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threadedComments/threadedComment1.xml" ContentType="application/vnd.ms-excel.threaded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202300"/>
  <mc:AlternateContent xmlns:mc="http://schemas.openxmlformats.org/markup-compatibility/2006">
    <mc:Choice Requires="x15">
      <x15ac:absPath xmlns:x15ac="http://schemas.microsoft.com/office/spreadsheetml/2010/11/ac" url="https://birminghamcitycouncil-my.sharepoint.com/personal/becky_shergill_birmingham_gov_uk/Documents/Desktop/HE Toolkit/"/>
    </mc:Choice>
  </mc:AlternateContent>
  <xr:revisionPtr revIDLastSave="0" documentId="8_{54CFEF35-6137-4F7A-B740-231DF5F502F6}" xr6:coauthVersionLast="47" xr6:coauthVersionMax="47" xr10:uidLastSave="{00000000-0000-0000-0000-000000000000}"/>
  <workbookProtection workbookAlgorithmName="SHA-512" workbookHashValue="4E6aY8FG8tSeg09z3Imw2A16th8UUdWT7URJocvmQVk1FB/lCb5jomzmCSskxUkvjm5n9yXTrPgL470pn5PMaA==" workbookSaltValue="vUfJLplK3b0ZIrFS/9Gfiw==" workbookSpinCount="100000" lockStructure="1"/>
  <bookViews>
    <workbookView xWindow="-110" yWindow="-110" windowWidth="19420" windowHeight="10300" firstSheet="1" activeTab="1" xr2:uid="{9AD7C52E-7F3C-4ABF-A545-FEF18599A994}"/>
  </bookViews>
  <sheets>
    <sheet name="Instructions " sheetId="9" r:id="rId1"/>
    <sheet name="EY Funding Notification" sheetId="1" r:id="rId2"/>
    <sheet name="EY Calculator Tool" sheetId="21" r:id="rId3"/>
    <sheet name="Differences Summer Term" sheetId="15" r:id="rId4"/>
    <sheet name="Sheet1" sheetId="23" state="hidden" r:id="rId5"/>
    <sheet name="Summer data team " sheetId="17" state="hidden" r:id="rId6"/>
    <sheet name="EY" sheetId="19" state="hidden" r:id="rId7"/>
    <sheet name="Lookup" sheetId="3" state="hidden" r:id="rId8"/>
    <sheet name="Indic Summer" sheetId="5" state="hidden" r:id="rId9"/>
    <sheet name="Indic Autumn" sheetId="6" state="hidden" r:id="rId10"/>
    <sheet name="Indic Spring" sheetId="7" state="hidden" r:id="rId11"/>
    <sheet name="MNS" sheetId="10" state="hidden" r:id="rId12"/>
    <sheet name="Indic Deprivation" sheetId="11" state="hidden" r:id="rId13"/>
    <sheet name="Actuals Summer" sheetId="12" state="hidden" r:id="rId14"/>
    <sheet name="SU2025_School" sheetId="22" state="hidden" r:id="rId15"/>
    <sheet name="Actuals Dep Summer" sheetId="13" state="hidden" r:id="rId16"/>
  </sheets>
  <definedNames>
    <definedName name="\">#REF!</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o">#REF!</definedName>
    <definedName name="\p">#REF!</definedName>
    <definedName name="\w">#N/A</definedName>
    <definedName name="______fsm3">#REF!</definedName>
    <definedName name="_____fsm3">#REF!</definedName>
    <definedName name="____fsm3">#REF!</definedName>
    <definedName name="___fsm3">#REF!</definedName>
    <definedName name="___v2" localSheetId="15" hidden="1">#REF!</definedName>
    <definedName name="___v2" localSheetId="13" hidden="1">#REF!</definedName>
    <definedName name="___v2" hidden="1">#REF!</definedName>
    <definedName name="__123Graph_ADUMMY" localSheetId="15" hidden="1">#REF!</definedName>
    <definedName name="__123Graph_ADUMMY" localSheetId="13" hidden="1">#REF!</definedName>
    <definedName name="__123Graph_ADUMMY" hidden="1">#REF!</definedName>
    <definedName name="__123Graph_AMAIN" localSheetId="15" hidden="1">#REF!</definedName>
    <definedName name="__123Graph_AMAIN" localSheetId="13" hidden="1">#REF!</definedName>
    <definedName name="__123Graph_AMAIN" hidden="1">#REF!</definedName>
    <definedName name="__123Graph_AMONTHLY" localSheetId="15" hidden="1">#REF!</definedName>
    <definedName name="__123Graph_AMONTHLY" localSheetId="13" hidden="1">#REF!</definedName>
    <definedName name="__123Graph_AMONTHLY" hidden="1">#REF!</definedName>
    <definedName name="__123Graph_AMONTHLY2" localSheetId="15" hidden="1">#REF!</definedName>
    <definedName name="__123Graph_AMONTHLY2" localSheetId="13" hidden="1">#REF!</definedName>
    <definedName name="__123Graph_AMONTHLY2" hidden="1">#REF!</definedName>
    <definedName name="__123Graph_BDUMMY" localSheetId="15" hidden="1">#REF!</definedName>
    <definedName name="__123Graph_BDUMMY" localSheetId="13" hidden="1">#REF!</definedName>
    <definedName name="__123Graph_BDUMMY" hidden="1">#REF!</definedName>
    <definedName name="__123Graph_BMAIN" localSheetId="15" hidden="1">#REF!</definedName>
    <definedName name="__123Graph_BMAIN" localSheetId="13" hidden="1">#REF!</definedName>
    <definedName name="__123Graph_BMAIN" hidden="1">#REF!</definedName>
    <definedName name="__123Graph_BMONTHLY" localSheetId="15" hidden="1">#REF!</definedName>
    <definedName name="__123Graph_BMONTHLY" localSheetId="13" hidden="1">#REF!</definedName>
    <definedName name="__123Graph_BMONTHLY" hidden="1">#REF!</definedName>
    <definedName name="__123Graph_BMONTHLY2" localSheetId="15" hidden="1">#REF!</definedName>
    <definedName name="__123Graph_BMONTHLY2" localSheetId="13" hidden="1">#REF!</definedName>
    <definedName name="__123Graph_BMONTHLY2" hidden="1">#REF!</definedName>
    <definedName name="__123Graph_CDUMMY" localSheetId="15" hidden="1">#REF!</definedName>
    <definedName name="__123Graph_CDUMMY" localSheetId="13" hidden="1">#REF!</definedName>
    <definedName name="__123Graph_CDUMMY" hidden="1">#REF!</definedName>
    <definedName name="__123Graph_CMONTHLY" localSheetId="15" hidden="1">#REF!</definedName>
    <definedName name="__123Graph_CMONTHLY" localSheetId="13" hidden="1">#REF!</definedName>
    <definedName name="__123Graph_CMONTHLY" hidden="1">#REF!</definedName>
    <definedName name="__123Graph_CMONTHLY2" localSheetId="15" hidden="1">#REF!</definedName>
    <definedName name="__123Graph_CMONTHLY2" localSheetId="13" hidden="1">#REF!</definedName>
    <definedName name="__123Graph_CMONTHLY2" hidden="1">#REF!</definedName>
    <definedName name="__123Graph_DMONTHLY2" localSheetId="15" hidden="1">#REF!</definedName>
    <definedName name="__123Graph_DMONTHLY2" localSheetId="13" hidden="1">#REF!</definedName>
    <definedName name="__123Graph_DMONTHLY2" hidden="1">#REF!</definedName>
    <definedName name="__123Graph_EMONTHLY2" localSheetId="15" hidden="1">#REF!</definedName>
    <definedName name="__123Graph_EMONTHLY2" localSheetId="13" hidden="1">#REF!</definedName>
    <definedName name="__123Graph_EMONTHLY2" hidden="1">#REF!</definedName>
    <definedName name="__123Graph_FMONTHLY2" localSheetId="15" hidden="1">#REF!</definedName>
    <definedName name="__123Graph_FMONTHLY2" localSheetId="13" hidden="1">#REF!</definedName>
    <definedName name="__123Graph_FMONTHLY2" hidden="1">#REF!</definedName>
    <definedName name="__123Graph_XMAIN" localSheetId="15" hidden="1">#REF!</definedName>
    <definedName name="__123Graph_XMAIN" localSheetId="13" hidden="1">#REF!</definedName>
    <definedName name="__123Graph_XMAIN" hidden="1">#REF!</definedName>
    <definedName name="__123Graph_XMONTHLY" localSheetId="15" hidden="1">#REF!</definedName>
    <definedName name="__123Graph_XMONTHLY" localSheetId="13" hidden="1">#REF!</definedName>
    <definedName name="__123Graph_XMONTHLY" hidden="1">#REF!</definedName>
    <definedName name="__123Graph_XMONTHLY2" localSheetId="15" hidden="1">#REF!</definedName>
    <definedName name="__123Graph_XMONTHLY2" localSheetId="13" hidden="1">#REF!</definedName>
    <definedName name="__123Graph_XMONTHLY2" hidden="1">#REF!</definedName>
    <definedName name="__fsm3">#REF!</definedName>
    <definedName name="__SEC2">#REF!</definedName>
    <definedName name="__SEC3">#REF!</definedName>
    <definedName name="__v2" localSheetId="15" hidden="1">#REF!</definedName>
    <definedName name="__v2" localSheetId="13" hidden="1">#REF!</definedName>
    <definedName name="__v2" hidden="1">#REF!</definedName>
    <definedName name="_10">#N/A</definedName>
    <definedName name="_11">#N/A</definedName>
    <definedName name="_12">#N/A</definedName>
    <definedName name="_13">#N/A</definedName>
    <definedName name="_14">#N/A</definedName>
    <definedName name="_15">#N/A</definedName>
    <definedName name="_3_dis">#REF!</definedName>
    <definedName name="_6">#N/A</definedName>
    <definedName name="_8">#N/A</definedName>
    <definedName name="_9">#N/A</definedName>
    <definedName name="_DAT10">#REF!</definedName>
    <definedName name="_xlnm._FilterDatabase" localSheetId="15" hidden="1">'Actuals Dep Summer'!$A$10:$AJ$202</definedName>
    <definedName name="_xlnm._FilterDatabase" localSheetId="13" hidden="1">'Actuals Summer'!$A$10:$CH$206</definedName>
    <definedName name="_xlnm._FilterDatabase" localSheetId="6" hidden="1">EY!$A$7:$EF$208</definedName>
    <definedName name="_xlnm._FilterDatabase" localSheetId="9" hidden="1">'Indic Autumn'!$A$6:$AO$195</definedName>
    <definedName name="_xlnm._FilterDatabase" localSheetId="12" hidden="1">'Indic Deprivation'!$A$10:$AK$202</definedName>
    <definedName name="_xlnm._FilterDatabase" localSheetId="10" hidden="1">'Indic Spring'!$A$5:$CI$194</definedName>
    <definedName name="_xlnm._FilterDatabase" localSheetId="8" hidden="1">'Indic Summer'!$A$6:$AO$194</definedName>
    <definedName name="_xlnm._FilterDatabase" localSheetId="7" hidden="1">Lookup!$A$1:$F$91</definedName>
    <definedName name="_xlnm._FilterDatabase" localSheetId="14" hidden="1">SU2025_School!$A$1:$BF$198</definedName>
    <definedName name="_xlnm._FilterDatabase" localSheetId="5" hidden="1">'Summer data team '!$CP$4:$DP$201</definedName>
    <definedName name="_fsm3">#REF!</definedName>
    <definedName name="_Key1" hidden="1">#REF!</definedName>
    <definedName name="_Key2" hidden="1">#REF!</definedName>
    <definedName name="_not6">#REF!</definedName>
    <definedName name="_Order1" localSheetId="15" hidden="1">0</definedName>
    <definedName name="_Order1" localSheetId="13" hidden="1">0</definedName>
    <definedName name="_Order1" localSheetId="11" hidden="1">0</definedName>
    <definedName name="_Order1" hidden="1">255</definedName>
    <definedName name="_Order2" hidden="1">255</definedName>
    <definedName name="_R11VUR">#REF!</definedName>
    <definedName name="_R16VUR">#REF!</definedName>
    <definedName name="_Sort" hidden="1">#REF!</definedName>
    <definedName name="_SP110">#REF!</definedName>
    <definedName name="_v2" localSheetId="15" hidden="1">#REF!</definedName>
    <definedName name="_v2" localSheetId="13" hidden="1">#REF!</definedName>
    <definedName name="_v2" hidden="1">#REF!</definedName>
    <definedName name="aaa">#REF!</definedName>
    <definedName name="abcde">#REF!</definedName>
    <definedName name="Accrual">#REF!</definedName>
    <definedName name="Accruals">#REF!</definedName>
    <definedName name="Accrualsrevised">#REF!</definedName>
    <definedName name="ACTEXP">#N/A</definedName>
    <definedName name="ACTINC">#N/A</definedName>
    <definedName name="ADDRESS">#N/A</definedName>
    <definedName name="Adjustment">#REF!</definedName>
    <definedName name="Adjustments_To_1415_SBS">#REF!</definedName>
    <definedName name="Adjustments_To_1516_SBS">#REF!</definedName>
    <definedName name="Adjustments_To_PY_SBS">#REF!</definedName>
    <definedName name="aenawpu">#REF!</definedName>
    <definedName name="aenfsm">#REF!</definedName>
    <definedName name="aenfurth">#REF!</definedName>
    <definedName name="aenks2">#REF!</definedName>
    <definedName name="aenprem">#REF!</definedName>
    <definedName name="aensafe">#REF!</definedName>
    <definedName name="Age_weighted_funding">#REF!</definedName>
    <definedName name="agrclient">#REF!</definedName>
    <definedName name="All_dist_taper">#REF!</definedName>
    <definedName name="All_distance_threshold">#REF!</definedName>
    <definedName name="All_PupilNo_threshold">#REF!</definedName>
    <definedName name="Alt_Gains_Cap">#REF!</definedName>
    <definedName name="anteprevious_year">#REF!</definedName>
    <definedName name="APList">#REF!</definedName>
    <definedName name="APRIL">#REF!</definedName>
    <definedName name="asd">#REF!</definedName>
    <definedName name="Attend">#REF!</definedName>
    <definedName name="AUGUST">#REF!</definedName>
    <definedName name="AV9_15">#N/A</definedName>
    <definedName name="AWPU_KS3_Rate">#REF!</definedName>
    <definedName name="AWPU_KS4_Rate">#REF!</definedName>
    <definedName name="AWPU_Pri_Rate">#REF!</definedName>
    <definedName name="AWPU_Primary_DD_rate">#REF!</definedName>
    <definedName name="AWPU_Sec_DD_rate">#REF!</definedName>
    <definedName name="BalanceSheet">#REF!</definedName>
    <definedName name="BANK">#REF!</definedName>
    <definedName name="BASS">#REF!</definedName>
    <definedName name="Bespoke">#REF!</definedName>
    <definedName name="BIFundsCenter">#REF!</definedName>
    <definedName name="Blank">#REF!</definedName>
    <definedName name="BlockTransfersDSGSchoolsBlock">#REF!</definedName>
    <definedName name="Borer">#REF!</definedName>
    <definedName name="BriefingList">#REF!</definedName>
    <definedName name="bss">#REF!</definedName>
    <definedName name="BUD">#N/A</definedName>
    <definedName name="BUDGET">#REF!</definedName>
    <definedName name="BUDGET94">#REF!</definedName>
    <definedName name="BudgetTracker">#REF!</definedName>
    <definedName name="BusinessArea">#REF!</definedName>
    <definedName name="BusinessUnit">#REF!</definedName>
    <definedName name="c_cnon">#REF!</definedName>
    <definedName name="Capping_Scaling_YesNo">#REF!</definedName>
    <definedName name="CAREA">#N/A</definedName>
    <definedName name="Category">#REF!</definedName>
    <definedName name="CB">#REF!</definedName>
    <definedName name="CCtr">#REF!</definedName>
    <definedName name="Cdmndr">#REF!</definedName>
    <definedName name="CEBP">#REF!</definedName>
    <definedName name="cebpawpu">#REF!</definedName>
    <definedName name="cebplump">#REF!</definedName>
    <definedName name="CEBUDGET">#N/A</definedName>
    <definedName name="Ceiling">#REF!</definedName>
    <definedName name="CELTRay">#REF!</definedName>
    <definedName name="CF">#N/A</definedName>
    <definedName name="Chatfield">#REF!</definedName>
    <definedName name="ChrisN">#REF!</definedName>
    <definedName name="CL">#N/A</definedName>
    <definedName name="claw_4">#REF!</definedName>
    <definedName name="claw16">#REF!</definedName>
    <definedName name="clawdec">#REF!</definedName>
    <definedName name="ClockCards">#REF!</definedName>
    <definedName name="CLUSTERS">#REF!</definedName>
    <definedName name="cmis_admission">#REF!</definedName>
    <definedName name="cmis_class">#REF!</definedName>
    <definedName name="cmis_dob">#REF!</definedName>
    <definedName name="cmis_forename">#REF!</definedName>
    <definedName name="cmis_incare">#REF!</definedName>
    <definedName name="cmis_ncyear">#REF!</definedName>
    <definedName name="cmis_need1">#REF!</definedName>
    <definedName name="cmis_need2">#REF!</definedName>
    <definedName name="cmis_need3">#REF!</definedName>
    <definedName name="cmis_postcode">#REF!</definedName>
    <definedName name="cmis_surname">#REF!</definedName>
    <definedName name="cmis_upn">#REF!</definedName>
    <definedName name="cmis_upn2">#REF!</definedName>
    <definedName name="cmis_upn3">#REF!</definedName>
    <definedName name="cmisid">#REF!</definedName>
    <definedName name="CODED">#REF!</definedName>
    <definedName name="Codes">#REF!</definedName>
    <definedName name="column">#REF!</definedName>
    <definedName name="COMMED">#REF!</definedName>
    <definedName name="CommentaryAdditionalFundingFromHN">#REF!</definedName>
    <definedName name="CommentaryFallingRollsFund">#REF!</definedName>
    <definedName name="CommentaryGrowth">#REF!</definedName>
    <definedName name="CommentaryPFI">#REF!</definedName>
    <definedName name="CommentarySplitSites">#REF!</definedName>
    <definedName name="Constituency">#REF!</definedName>
    <definedName name="costc">#REF!</definedName>
    <definedName name="CostCentre">#REF!</definedName>
    <definedName name="COUNTER">#REF!</definedName>
    <definedName name="Creditors">#REF!</definedName>
    <definedName name="CriteriaResults">#REF!</definedName>
    <definedName name="CSFP">#REF!</definedName>
    <definedName name="CTACC">#N/A</definedName>
    <definedName name="current_year">#REF!</definedName>
    <definedName name="current_year_full">#REF!</definedName>
    <definedName name="CY_MFG_Exclusion_Totals">#REF!</definedName>
    <definedName name="D11VUR">#REF!</definedName>
    <definedName name="D16VUR">#REF!</definedName>
    <definedName name="DATA1">#REF!</definedName>
    <definedName name="DATA10">#REF!</definedName>
    <definedName name="DATA11">#REF!</definedName>
    <definedName name="DATA12">#REF!</definedName>
    <definedName name="DATA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yDate">#REF!</definedName>
    <definedName name="DayDates">#REF!</definedName>
    <definedName name="DDELSUM">#REF!</definedName>
    <definedName name="DDETAIL">#REF!</definedName>
    <definedName name="Debtors">#REF!</definedName>
    <definedName name="Dec">#REF!</definedName>
    <definedName name="DECEMBER">#REF!</definedName>
    <definedName name="DeskNotes">#REF!</definedName>
    <definedName name="DETAIL">#REF!</definedName>
    <definedName name="DetailList">#REF!</definedName>
    <definedName name="DetailListBI">#REF!</definedName>
    <definedName name="DfEE">#REF!</definedName>
    <definedName name="DirectorateOptions">#REF!</definedName>
    <definedName name="Districts">#REF!</definedName>
    <definedName name="DNDELSUM">#REF!</definedName>
    <definedName name="DOT_MENU">#REF!</definedName>
    <definedName name="DPVUR">#REF!</definedName>
    <definedName name="DSM">#N/A</definedName>
    <definedName name="dsource">#REF!</definedName>
    <definedName name="DTSUM">#REF!</definedName>
    <definedName name="EAL_Pri">#REF!</definedName>
    <definedName name="EAL_Pri_DD_rate">#REF!</definedName>
    <definedName name="EAL_Pri_Option">#REF!</definedName>
    <definedName name="EAL_Sec">#REF!</definedName>
    <definedName name="EAL_Sec_DD_rate">#REF!</definedName>
    <definedName name="EAL_Sec_Option">#REF!</definedName>
    <definedName name="EarlyYears">#REF!</definedName>
    <definedName name="EASTER">#REF!</definedName>
    <definedName name="Ecode">#REF!</definedName>
    <definedName name="EDIT">#REF!</definedName>
    <definedName name="EMPMON">#REF!</definedName>
    <definedName name="end">#REF!</definedName>
    <definedName name="energy">#REF!</definedName>
    <definedName name="energyawpu">#REF!</definedName>
    <definedName name="energynon">#REF!</definedName>
    <definedName name="Esthablishments">#REF!</definedName>
    <definedName name="ETH_ACH">#REF!</definedName>
    <definedName name="ETH_X">#REF!</definedName>
    <definedName name="Ever6_Pri_DD_Rate">#REF!</definedName>
    <definedName name="Ever6_pri_rate">#REF!</definedName>
    <definedName name="Ever6_Sec_DD_Rate">#REF!</definedName>
    <definedName name="Ever6_sec_rate">#REF!</definedName>
    <definedName name="Ex_GM">#REF!</definedName>
    <definedName name="Exc_Cir1_Total">#REF!</definedName>
    <definedName name="Exc_Cir2_Total">#REF!</definedName>
    <definedName name="Exc_Cir3_Total">#REF!</definedName>
    <definedName name="Exc_Cir4_Total">#REF!</definedName>
    <definedName name="Exc_Cir5_Total">#REF!</definedName>
    <definedName name="Exc_Cir6_Total">#REF!</definedName>
    <definedName name="Exc_Cir7_Total">#REF!</definedName>
    <definedName name="Excel_BuiltIn__FilterDatabase_3">"['Maintained Schools'.$A$1:.$H$11636]"</definedName>
    <definedName name="Excel_BuiltIn__FilterDatabase_4">"[Academies.$A$1:.$H$6222]"</definedName>
    <definedName name="Excel_BuiltIn__FilterDatabase_5">"[NMSS.$A$1:.$H$56]"</definedName>
    <definedName name="excepcov">#REF!</definedName>
    <definedName name="excessen">#REF!</definedName>
    <definedName name="EXPENDITURE">#N/A</definedName>
    <definedName name="F1_">#N/A</definedName>
    <definedName name="F7_FSM_K">#REF!</definedName>
    <definedName name="FEBRUARY">#REF!</definedName>
    <definedName name="FEList">#REF!</definedName>
    <definedName name="File_Name">#REF!</definedName>
    <definedName name="File_Type">#REF!</definedName>
    <definedName name="FMP">#N/A</definedName>
    <definedName name="FOR">#REF!</definedName>
    <definedName name="Fringe_multiplier">#REF!</definedName>
    <definedName name="Fringe_Total">#REF!</definedName>
    <definedName name="From">#REF!</definedName>
    <definedName name="fsm">#REF!</definedName>
    <definedName name="FSM_Pri_DD_rate">#REF!</definedName>
    <definedName name="FSM_Pri_Option">#REF!</definedName>
    <definedName name="FSM_Pri_Rate">#REF!</definedName>
    <definedName name="FSM_Pri_Rate_2">#REF!</definedName>
    <definedName name="FSM_Sec_DD_rate">#REF!</definedName>
    <definedName name="FSM_Sec_Option">#REF!</definedName>
    <definedName name="FSM_Sec_Rate">#REF!</definedName>
    <definedName name="Funding_Category">#REF!</definedName>
    <definedName name="Funding_Floor">#REF!</definedName>
    <definedName name="Funding_Floor_Adjustment">#REF!</definedName>
    <definedName name="Garden2">#REF!</definedName>
    <definedName name="gfd">#REF!</definedName>
    <definedName name="GLAMIS">#REF!</definedName>
    <definedName name="glpage1">#REF!</definedName>
    <definedName name="glpage2">#REF!</definedName>
    <definedName name="glsum">#REF!</definedName>
    <definedName name="Gmbal">#REF!</definedName>
    <definedName name="GMProt">#REF!</definedName>
    <definedName name="gmtot">#REF!</definedName>
    <definedName name="GRANTP">#REF!</definedName>
    <definedName name="GRANTS">#REF!</definedName>
    <definedName name="grounds">#REF!</definedName>
    <definedName name="growthfunding">#REF!</definedName>
    <definedName name="GTU">#REF!</definedName>
    <definedName name="H1Tot">#REF!</definedName>
    <definedName name="H2Tot">#REF!</definedName>
    <definedName name="Header">#REF!</definedName>
    <definedName name="HEALTH">#REF!</definedName>
    <definedName name="HEDec">#REF!</definedName>
    <definedName name="HEPD">#REF!</definedName>
    <definedName name="HEPDc">#REF!</definedName>
    <definedName name="HGFTeam">#REF!</definedName>
    <definedName name="HlessGroup">#REF!</definedName>
    <definedName name="HoCFDaily">#REF!</definedName>
    <definedName name="Holding">#REF!</definedName>
    <definedName name="HPD">#REF!</definedName>
    <definedName name="HPDc">#REF!</definedName>
    <definedName name="HVUR">#REF!</definedName>
    <definedName name="IA_amalgamation">#REF!</definedName>
    <definedName name="IA_closed_preApril">#REF!</definedName>
    <definedName name="IA_conversion">#REF!</definedName>
    <definedName name="IA_new_free_school">#REF!</definedName>
    <definedName name="IA_NOR_change">#REF!</definedName>
    <definedName name="IA_open_postApril">#REF!</definedName>
    <definedName name="IA_open_preApril">#REF!</definedName>
    <definedName name="IDACI_B1_Pri">#REF!</definedName>
    <definedName name="IDACI_B1_Pri_DD_rate">#REF!</definedName>
    <definedName name="IDACI_B1_Sec">#REF!</definedName>
    <definedName name="IDACI_B1_Sec_DD_rate">#REF!</definedName>
    <definedName name="IDACI_B2_Pri">#REF!</definedName>
    <definedName name="IDACI_B2_Pri_DD_rate">#REF!</definedName>
    <definedName name="IDACI_B2_Sec">#REF!</definedName>
    <definedName name="IDACI_B2_Sec_DD_rate">#REF!</definedName>
    <definedName name="IDACI_B3_Pri">#REF!</definedName>
    <definedName name="IDACI_B3_Pri_DD_rate">#REF!</definedName>
    <definedName name="IDACI_B3_Sec">#REF!</definedName>
    <definedName name="IDACI_B3_Sec_DD_rate">#REF!</definedName>
    <definedName name="IDACI_B4_Pri">#REF!</definedName>
    <definedName name="IDACI_B4_Pri_DD_rate">#REF!</definedName>
    <definedName name="IDACI_B4_Sec">#REF!</definedName>
    <definedName name="IDACI_B4_Sec_DD_rate">#REF!</definedName>
    <definedName name="IDACI_B5_Pri">#REF!</definedName>
    <definedName name="IDACI_B5_Pri_DD_rate">#REF!</definedName>
    <definedName name="IDACI_B5_Sec">#REF!</definedName>
    <definedName name="IDACI_B5_Sec_DD_rate">#REF!</definedName>
    <definedName name="IDACI_B6_Pri">#REF!</definedName>
    <definedName name="IDACI_B6_Pri_DD_rate">#REF!</definedName>
    <definedName name="IDACI_B6_Sec">#REF!</definedName>
    <definedName name="IDACI_B6_Sec_DD_rate">#REF!</definedName>
    <definedName name="IDELSUM">#REF!</definedName>
    <definedName name="IDETAIL">#REF!</definedName>
    <definedName name="IMLTP">#REF!</definedName>
    <definedName name="IMPRESS_MENU">#REF!</definedName>
    <definedName name="INCOME" localSheetId="6">#REF!</definedName>
    <definedName name="INCOME">#N/A</definedName>
    <definedName name="Income_in_advance">#REF!</definedName>
    <definedName name="INCOME94">#REF!</definedName>
    <definedName name="INDELSUM">#REF!</definedName>
    <definedName name="infant">#REF!</definedName>
    <definedName name="inset">#REF!</definedName>
    <definedName name="InstantYellowBook">#REF!</definedName>
    <definedName name="InstType1">#REF!</definedName>
    <definedName name="InstType2">#REF!</definedName>
    <definedName name="IssuesPage">#REF!</definedName>
    <definedName name="ITSUM">#REF!</definedName>
    <definedName name="JANUARY">#REF!</definedName>
    <definedName name="JI">#REF!</definedName>
    <definedName name="JOURNALS">#REF!</definedName>
    <definedName name="JTOT">#N/A</definedName>
    <definedName name="JULY">#REF!</definedName>
    <definedName name="JUNE">#REF!</definedName>
    <definedName name="LA_Code">#REF!</definedName>
    <definedName name="LA_Name">#REF!</definedName>
    <definedName name="LAC">#REF!</definedName>
    <definedName name="LAC_Pri_DD_rate">#REF!</definedName>
    <definedName name="LAC_Rate">#REF!</definedName>
    <definedName name="LAC_Sec_DD_rate">#REF!</definedName>
    <definedName name="LANumber">#REF!</definedName>
    <definedName name="LCHI_Pri">#REF!</definedName>
    <definedName name="LCHI_Pri_DD_rate">#REF!</definedName>
    <definedName name="LCHI_Pri_Option">#REF!</definedName>
    <definedName name="LCHI_Sec">#REF!</definedName>
    <definedName name="LCHI_Sec_DD_rate">#REF!</definedName>
    <definedName name="LEDGER">#REF!</definedName>
    <definedName name="LETTER">#N/A</definedName>
    <definedName name="libawpu">#REF!</definedName>
    <definedName name="libfix">#REF!</definedName>
    <definedName name="liblump">#REF!</definedName>
    <definedName name="libvar">#REF!</definedName>
    <definedName name="LicensingP">#REF!</definedName>
    <definedName name="longname">#REF!</definedName>
    <definedName name="LOOKUP">#REF!</definedName>
    <definedName name="LOV_DesktopQuickInvoicesPageDef_AssetBookTypeCode" hidden="1">#REF!</definedName>
    <definedName name="LOV_DesktopQuickInvoicesPageDef_ExclusivePaymentFlag" hidden="1">#REF!</definedName>
    <definedName name="LOV_DesktopQuickInvoicesPageDef_FiscalChargeType" hidden="1">#REF!</definedName>
    <definedName name="LOV_DesktopQuickInvoicesPageDef_IncomeTaxRegion" hidden="1">#REF!</definedName>
    <definedName name="LOV_DesktopQuickInvoicesPageDef_InvoiceCurrencyCode" hidden="1">#REF!</definedName>
    <definedName name="LOV_DesktopQuickInvoicesPageDef_InvoiceIncludesPrepayFlag" hidden="1">#REF!</definedName>
    <definedName name="LOV_DesktopQuickInvoicesPageDef_InvoiceTypeLookupCode" hidden="1">#REF!</definedName>
    <definedName name="LOV_DesktopQuickInvoicesPageDef_LcmEnabledFlag" hidden="1">#REF!</definedName>
    <definedName name="LOV_DesktopQuickInvoicesPageDef_LineTypeLookupCode" hidden="1">#REF!</definedName>
    <definedName name="LOV_DesktopQuickInvoicesPageDef_OperatingUnit" hidden="1">#REF!</definedName>
    <definedName name="LOV_DesktopQuickInvoicesPageDef_PaymentCurrencyCode" hidden="1">#REF!</definedName>
    <definedName name="LPPC">#REF!</definedName>
    <definedName name="LS">#REF!</definedName>
    <definedName name="Lump_sum_Pri_DD_rate">#REF!</definedName>
    <definedName name="Lump_sum_Sec_DD_rate">#REF!</definedName>
    <definedName name="Lump_Sum_total">#REF!</definedName>
    <definedName name="MACRO">#REF!</definedName>
    <definedName name="MARCH">#REF!</definedName>
    <definedName name="MAT">#REF!</definedName>
    <definedName name="MAY">#REF!</definedName>
    <definedName name="mealkitch">#REF!</definedName>
    <definedName name="mealsawpu">#REF!</definedName>
    <definedName name="mealslump">#REF!</definedName>
    <definedName name="mealsprov">#REF!</definedName>
    <definedName name="mealsSafety">#REF!</definedName>
    <definedName name="MeetingNotes">#REF!</definedName>
    <definedName name="Meetings">#REF!</definedName>
    <definedName name="MFG_Rate">#REF!</definedName>
    <definedName name="MFG_Total">#REF!</definedName>
    <definedName name="Mid_dist_taper">#REF!</definedName>
    <definedName name="Mid_distance_threshold">#REF!</definedName>
    <definedName name="Mid_PupilNo_threshold">#REF!</definedName>
    <definedName name="Mile_Radius">#REF!</definedName>
    <definedName name="MileRadius">#REF!</definedName>
    <definedName name="min_pupil_rate_KS3">#REF!</definedName>
    <definedName name="min_pupil_rate_KS4">#REF!</definedName>
    <definedName name="min_pupil_rate_pri">#REF!</definedName>
    <definedName name="min_pupil_rate_sec">#REF!</definedName>
    <definedName name="MISCO">#N/A</definedName>
    <definedName name="MList">#REF!</definedName>
    <definedName name="Mobility_Pri">#REF!</definedName>
    <definedName name="Mobility_Pri_DD_Rate">#REF!</definedName>
    <definedName name="Mobility_Sec">#REF!</definedName>
    <definedName name="Mobility_Sec_DD_Rate">#REF!</definedName>
    <definedName name="MON">#REF!</definedName>
    <definedName name="Monitoring">#REF!</definedName>
    <definedName name="MonitoringMonth">#REF!</definedName>
    <definedName name="MorsCorsP">#REF!</definedName>
    <definedName name="mppf_pri">#REF!</definedName>
    <definedName name="mppf_sec">#REF!</definedName>
    <definedName name="music">#REF!</definedName>
    <definedName name="narr">#REF!</definedName>
    <definedName name="NASS">#REF!</definedName>
    <definedName name="Need">#REF!</definedName>
    <definedName name="NewsFile">#REF!</definedName>
    <definedName name="NewsHome">#REF!</definedName>
    <definedName name="NI">#REF!</definedName>
    <definedName name="NLUMP">#REF!</definedName>
    <definedName name="nndr">#REF!</definedName>
    <definedName name="Notional_SEN_AWPU_KS3">#REF!</definedName>
    <definedName name="Notional_SEN_AWPU_KS4">#REF!</definedName>
    <definedName name="Notional_SEN_AWPU_Pri">#REF!</definedName>
    <definedName name="Notional_SEN_EAL_Pri">#REF!</definedName>
    <definedName name="Notional_SEN_EAL_Sec">#REF!</definedName>
    <definedName name="Notional_SEN_Ever6_Pri">#REF!</definedName>
    <definedName name="Notional_SEN_Ever6_Sec">#REF!</definedName>
    <definedName name="Notional_SEN_ExCir2">#REF!</definedName>
    <definedName name="Notional_SEN_ExCir3">#REF!</definedName>
    <definedName name="Notional_SEN_ExCir4">#REF!</definedName>
    <definedName name="Notional_SEN_ExCir5">#REF!</definedName>
    <definedName name="Notional_SEN_ExCir6">#REF!</definedName>
    <definedName name="Notional_SEN_ExCir7">#REF!</definedName>
    <definedName name="Notional_SEN_FF">#REF!</definedName>
    <definedName name="Notional_SEN_FSM_Pri">#REF!</definedName>
    <definedName name="Notional_SEN_FSM_Sec">#REF!</definedName>
    <definedName name="Notional_SEN_IDACI_B1_Pri">#REF!</definedName>
    <definedName name="Notional_SEN_IDACI_B1_Sec">#REF!</definedName>
    <definedName name="Notional_SEN_IDACI_B2_Pri">#REF!</definedName>
    <definedName name="Notional_SEN_IDACI_B2_Sec">#REF!</definedName>
    <definedName name="Notional_SEN_IDACI_B3_Pri">#REF!</definedName>
    <definedName name="Notional_SEN_IDACI_B3_Sec">#REF!</definedName>
    <definedName name="Notional_SEN_IDACI_B4_Pri">#REF!</definedName>
    <definedName name="Notional_SEN_IDACI_B4_Sec">#REF!</definedName>
    <definedName name="Notional_SEN_IDACI_B5_Pri">#REF!</definedName>
    <definedName name="Notional_SEN_IDACI_B5_Sec">#REF!</definedName>
    <definedName name="Notional_SEN_IDACI_B6_Pri">#REF!</definedName>
    <definedName name="Notional_SEN_IDACI_B6_Sec">#REF!</definedName>
    <definedName name="Notional_SEN_LAC">#REF!</definedName>
    <definedName name="Notional_SEN_LCHI_Pri">#REF!</definedName>
    <definedName name="Notional_SEN_LCHI_Sec">#REF!</definedName>
    <definedName name="Notional_SEN_Lump_sum_Pri">#REF!</definedName>
    <definedName name="Notional_SEN_Lump_sum_Sec">#REF!</definedName>
    <definedName name="Notional_SEN_MFG">#REF!</definedName>
    <definedName name="Notional_SEN_Mobility_Pri">#REF!</definedName>
    <definedName name="Notional_SEN_Mobility_Sec">#REF!</definedName>
    <definedName name="Notional_SEN_MPPF">#REF!</definedName>
    <definedName name="Notional_SEN_PFI">#REF!</definedName>
    <definedName name="Notional_SEN_Rates">#REF!</definedName>
    <definedName name="Notional_SEN_SixthForm">#REF!</definedName>
    <definedName name="Notional_SEN_Sparsity_Pri">#REF!</definedName>
    <definedName name="Notional_SEN_Sparsity_Sec">#REF!</definedName>
    <definedName name="Notional_SEN_Split_sites">#REF!</definedName>
    <definedName name="NOVEMBER">#REF!</definedName>
    <definedName name="OCTOBER">#REF!</definedName>
    <definedName name="Office">#REF!</definedName>
    <definedName name="Ofsted">#REF!</definedName>
    <definedName name="OneToOne">#REF!</definedName>
    <definedName name="OPCC">#REF!</definedName>
    <definedName name="ORIGEXP">#N/A</definedName>
    <definedName name="ORIGINC">#N/A</definedName>
    <definedName name="OutofSchool">#REF!</definedName>
    <definedName name="p">#N/A</definedName>
    <definedName name="p_area_mi">#REF!</definedName>
    <definedName name="part">#REF!</definedName>
    <definedName name="Payment_in_advance">#REF!</definedName>
    <definedName name="PCAP">#N/A</definedName>
    <definedName name="PCODE">#N/A</definedName>
    <definedName name="PERFMAN">#REF!</definedName>
    <definedName name="PeriodNumber">#REF!</definedName>
    <definedName name="PERPAY">#REF!</definedName>
    <definedName name="PFI_Total">#REF!</definedName>
    <definedName name="Phase">#REF!</definedName>
    <definedName name="Phone">#REF!</definedName>
    <definedName name="PicTable">#REF!</definedName>
    <definedName name="POCAP">#REF!</definedName>
    <definedName name="POinitials">#REF!</definedName>
    <definedName name="POINT">#N/A</definedName>
    <definedName name="ppp">#REF!</definedName>
    <definedName name="Preference">#REF!</definedName>
    <definedName name="PREMIUM">#N/A</definedName>
    <definedName name="PrepFollow">#REF!</definedName>
    <definedName name="previous_year">#REF!</definedName>
    <definedName name="previous_year_full">#REF!</definedName>
    <definedName name="Pri_dist_taper">#REF!</definedName>
    <definedName name="Pri_distance_threshold">#REF!</definedName>
    <definedName name="Pri_PupilNo_threshold">#REF!</definedName>
    <definedName name="PRIM2">#REF!</definedName>
    <definedName name="PRIM3">#REF!</definedName>
    <definedName name="Primary_Lump_sum">#REF!</definedName>
    <definedName name="PrimaryList">#REF!</definedName>
    <definedName name="_xlnm.Print_Area">#REF!</definedName>
    <definedName name="PRINT_AREA_H2O">#REF!</definedName>
    <definedName name="Print_Area_MI">#REF!</definedName>
    <definedName name="PRINT_MENU">#REF!</definedName>
    <definedName name="Print_Titles_MI">#REF!</definedName>
    <definedName name="Printer">#REF!</definedName>
    <definedName name="PRINTS">#REF!</definedName>
    <definedName name="Private">#REF!</definedName>
    <definedName name="Profiles">#REF!</definedName>
    <definedName name="ProformaAdditionalFundingFromHN">#REF!</definedName>
    <definedName name="ProformaExceptionalCircumstanceTotals">#REF!</definedName>
    <definedName name="ProformaFallingRollsFund">#REF!</definedName>
    <definedName name="ProformaGrowthFund">#REF!</definedName>
    <definedName name="ProformaHNThreshold">#REF!</definedName>
    <definedName name="ProgramOfWorks">#REF!</definedName>
    <definedName name="PRYBASE">#N/A</definedName>
    <definedName name="PSGTTE">#REF!</definedName>
    <definedName name="pss">#REF!</definedName>
    <definedName name="PupilPremium">#REF!</definedName>
    <definedName name="pupnur">#REF!</definedName>
    <definedName name="PVEP">#REF!</definedName>
    <definedName name="PY_MFG_Exclusion_Totals">#REF!</definedName>
    <definedName name="Q_Count_of_NCY_for_all_schools">#REF!</definedName>
    <definedName name="Quarter">#REF!</definedName>
    <definedName name="r_mkitch">#REF!</definedName>
    <definedName name="r_mlump">#REF!</definedName>
    <definedName name="r_mnon">#REF!</definedName>
    <definedName name="r_mstruct">#REF!</definedName>
    <definedName name="range">#REF!</definedName>
    <definedName name="range2">#REF!</definedName>
    <definedName name="Rates_Total">#REF!</definedName>
    <definedName name="RawData">#REF!</definedName>
    <definedName name="RawHeader">#REF!</definedName>
    <definedName name="Reasons">#REF!</definedName>
    <definedName name="Reasons_list">#REF!</definedName>
    <definedName name="REC_COMM">#REF!</definedName>
    <definedName name="Reception_Uplift_YesNo">#REF!</definedName>
    <definedName name="Recharges">#REF!</definedName>
    <definedName name="Referral_Status">#REF!</definedName>
    <definedName name="refuse">#REF!</definedName>
    <definedName name="RegServices">#REF!</definedName>
    <definedName name="RegServs">#REF!</definedName>
    <definedName name="REP">#N/A</definedName>
    <definedName name="Res">#REF!</definedName>
    <definedName name="Residential_Home">#REF!</definedName>
    <definedName name="ResidentialorDay">#REF!</definedName>
    <definedName name="revbudg">#REF!</definedName>
    <definedName name="RMP">#N/A</definedName>
    <definedName name="RMV">#N/A</definedName>
    <definedName name="Role">#REF!</definedName>
    <definedName name="row">#REF!</definedName>
    <definedName name="RPVUR">#REF!</definedName>
    <definedName name="RT">#REF!</definedName>
    <definedName name="SAL">#REF!</definedName>
    <definedName name="SBHRota">#REF!</definedName>
    <definedName name="Scaling_Factor">#REF!</definedName>
    <definedName name="ScambusterP">#REF!</definedName>
    <definedName name="Scambusters">#REF!</definedName>
    <definedName name="Schd3Cont">#REF!</definedName>
    <definedName name="schedule4">#REF!</definedName>
    <definedName name="SCHIMP">#REF!</definedName>
    <definedName name="School">#REF!</definedName>
    <definedName name="School_list">#REF!</definedName>
    <definedName name="School_Name">#REF!</definedName>
    <definedName name="Schools">#REF!</definedName>
    <definedName name="Schoolsreference2">#REF!</definedName>
    <definedName name="SCHSERV">#REF!</definedName>
    <definedName name="SCODE">#N/A</definedName>
    <definedName name="Sec_dist_taper">#REF!</definedName>
    <definedName name="Sec_distance_threshold">#REF!</definedName>
    <definedName name="Sec_PupilNo_threshold">#REF!</definedName>
    <definedName name="SECBASE">#N/A</definedName>
    <definedName name="SECO">#REF!</definedName>
    <definedName name="Secondary_Lump_Sum">#REF!</definedName>
    <definedName name="SecondaryList">#REF!</definedName>
    <definedName name="SecondaryListBI">#REF!</definedName>
    <definedName name="SEN">#REF!</definedName>
    <definedName name="senaudit">#REF!</definedName>
    <definedName name="SEPTEMBER">#REF!</definedName>
    <definedName name="Service">#REF!</definedName>
    <definedName name="ServiceUnit">#REF!</definedName>
    <definedName name="SFS">#REF!</definedName>
    <definedName name="Sheet_Name">#REF!</definedName>
    <definedName name="Sixth_Form_Total">#REF!</definedName>
    <definedName name="SLUMP">#REF!</definedName>
    <definedName name="SM_KITCH_X">#REF!</definedName>
    <definedName name="Solihull">#REF!</definedName>
    <definedName name="SORT">#REF!</definedName>
    <definedName name="Sparsity_All_lump_sum">#REF!</definedName>
    <definedName name="Sparsity_Mid_lump_sum">#REF!</definedName>
    <definedName name="Sparsity_Pri_DD_percentage">#REF!</definedName>
    <definedName name="Sparsity_Pri_lump_sum">#REF!</definedName>
    <definedName name="Sparsity_Sec_DD_percentage">#REF!</definedName>
    <definedName name="Sparsity_Sec_lump_sum">#REF!</definedName>
    <definedName name="Sparsity_Total">#REF!</definedName>
    <definedName name="SPClusters">#REF!</definedName>
    <definedName name="SPLead">#REF!</definedName>
    <definedName name="SpList">#REF!</definedName>
    <definedName name="Split_sites_distance_rate">#REF!</definedName>
    <definedName name="Split_sites_lump_sum">#REF!</definedName>
    <definedName name="Split_Sites_Total">#REF!</definedName>
    <definedName name="SPMatrix">#REF!</definedName>
    <definedName name="SPOCC">#REF!</definedName>
    <definedName name="SPPayment">#REF!</definedName>
    <definedName name="SPRecon">#REF!</definedName>
    <definedName name="SPReport">#REF!</definedName>
    <definedName name="SPsecure">#REF!</definedName>
    <definedName name="spunit">#REF!</definedName>
    <definedName name="spunnon">#REF!</definedName>
    <definedName name="spunplace">#REF!</definedName>
    <definedName name="spunpup">#REF!</definedName>
    <definedName name="SRC_COUNT">#REF!</definedName>
    <definedName name="STAFF">#REF!</definedName>
    <definedName name="start">#REF!</definedName>
    <definedName name="Status">#REF!</definedName>
    <definedName name="StatusOptions">#REF!</definedName>
    <definedName name="STEP">#REF!</definedName>
    <definedName name="SubDetail">#REF!</definedName>
    <definedName name="SUPER">#REF!</definedName>
    <definedName name="T1_Notes">#REF!</definedName>
    <definedName name="table">#REF!</definedName>
    <definedName name="TABLE1">#REF!</definedName>
    <definedName name="TABLE2">#REF!</definedName>
    <definedName name="TakeTin">#REF!</definedName>
    <definedName name="Tapered_all_lump_sum">#REF!</definedName>
    <definedName name="Tapered_mid_lump_sum">#REF!</definedName>
    <definedName name="Tapered_primary_lump_sum">#REF!</definedName>
    <definedName name="Tapered_secondary_lump_sum">#REF!</definedName>
    <definedName name="TASTATS">#REF!</definedName>
    <definedName name="TB3School1">#REF!</definedName>
    <definedName name="Team">#REF!</definedName>
    <definedName name="TeamMeeting">#REF!</definedName>
    <definedName name="TeamWeekly">#REF!</definedName>
    <definedName name="Template3iii">#REF!</definedName>
    <definedName name="TEST0">#REF!</definedName>
    <definedName name="TESTHKEY">#REF!</definedName>
    <definedName name="TESTKEYS">#REF!</definedName>
    <definedName name="TESTVKEY">#REF!</definedName>
    <definedName name="Thompson">#REF!</definedName>
    <definedName name="Timesheet">#REF!</definedName>
    <definedName name="tm1\\_0_C">#REF!</definedName>
    <definedName name="tm1\\_0_H">"{ ""server"" : ""https://paw.oscar.hmt.gov.uk/"", ""cube"" : ""{ \""server\"" : \""oscar_prd\"", \""cube\"" : \""}ElementAttributes_cpid_wga\""}""}"</definedName>
    <definedName name="tm1\\_0_R">#REF!</definedName>
    <definedName name="tm1\\_0_S">#REF!</definedName>
    <definedName name="TopRankDefaultDistForRange" hidden="1">0</definedName>
    <definedName name="TopRankDefaultMaxChange" hidden="1">0.1</definedName>
    <definedName name="TopRankDefaultMinChange" hidden="1">-0.1</definedName>
    <definedName name="TopRankDefaultMultiGroupSize" hidden="1">2</definedName>
    <definedName name="TopRankDefaultMultiStepsPerInput" hidden="1">2</definedName>
    <definedName name="TopRankDefaultRangeType" hidden="1">0</definedName>
    <definedName name="TopRankDefaultStepsPerInput" hidden="1">5</definedName>
    <definedName name="TopRankDetailByInputReport" hidden="1">FALSE</definedName>
    <definedName name="TopRankMaxInputsPerGraph" hidden="1">10</definedName>
    <definedName name="TopRankMultiWayReport" hidden="1">FALSE</definedName>
    <definedName name="TopRankNumberOfRuns" hidden="1">1</definedName>
    <definedName name="TopRankOnlyInputsOverThreshold" hidden="1">TRUE</definedName>
    <definedName name="TopRankOnlyTopRanking" hidden="1">TRUE</definedName>
    <definedName name="TopRankOutputDetailReport" hidden="1">FALSE</definedName>
    <definedName name="TopRankOutputsAsPercentChange" hidden="1">FALSE</definedName>
    <definedName name="TopRankOverwriteExisting" hidden="1">FALSE</definedName>
    <definedName name="TopRankPauseOnError" hidden="1">FALSE</definedName>
    <definedName name="TopRankPerformPrecedentScanAddOutput" hidden="1">FALSE</definedName>
    <definedName name="TopRankPerformPrecedentScanAtStart" hidden="1">TRUE</definedName>
    <definedName name="TopRankPrecedentScanType" hidden="1">1</definedName>
    <definedName name="TopRankReportAllOutputCells" hidden="1">TRUE</definedName>
    <definedName name="TopRankReportsInExistingWorkbook" hidden="1">FALSE</definedName>
    <definedName name="TopRankReportsInExistingWorkbookName" hidden="1">"Active Workbook"</definedName>
    <definedName name="TopRankReportsInNewWorkbook" hidden="1">TRUE</definedName>
    <definedName name="TopRankSensitivityGraphs" hidden="1">FALSE</definedName>
    <definedName name="TopRankSingleWorkbookAllResults" hidden="1">FALSE</definedName>
    <definedName name="TopRankSpiderGraphs" hidden="1">TRUE</definedName>
    <definedName name="TopRankTornadoGraphs" hidden="1">TRUE</definedName>
    <definedName name="TopRankUpdateDisplay" hidden="1">FALSE</definedName>
    <definedName name="TOT">#N/A</definedName>
    <definedName name="TOTA">#REF!</definedName>
    <definedName name="Total_Notional_SEN">#REF!</definedName>
    <definedName name="Total_Primary_funding">#REF!</definedName>
    <definedName name="Total_Secondary_Funding">#REF!</definedName>
    <definedName name="Total1">#REF!</definedName>
    <definedName name="Total10">#REF!</definedName>
    <definedName name="Total11">#REF!</definedName>
    <definedName name="Total1a">#REF!</definedName>
    <definedName name="Total2">#REF!</definedName>
    <definedName name="Total3">#REF!</definedName>
    <definedName name="Total37a8">#REF!,#REF!,#REF!</definedName>
    <definedName name="Total6">#REF!</definedName>
    <definedName name="Total7">#REF!</definedName>
    <definedName name="totcebp">#REF!</definedName>
    <definedName name="totclaw">#REF!</definedName>
    <definedName name="totenergy">#REF!</definedName>
    <definedName name="totlib">#REF!</definedName>
    <definedName name="totmeals">#REF!</definedName>
    <definedName name="totnot">#REF!</definedName>
    <definedName name="totprem">#REF!</definedName>
    <definedName name="totr_m">#REF!</definedName>
    <definedName name="totspun">#REF!</definedName>
    <definedName name="totstrucrm">#REF!</definedName>
    <definedName name="TRIAL">#REF!</definedName>
    <definedName name="Tribunal">#REF!</definedName>
    <definedName name="TwoMonth">#REF!</definedName>
    <definedName name="Type">#REF!</definedName>
    <definedName name="U11VUR">#REF!</definedName>
    <definedName name="U16VUR">#REF!</definedName>
    <definedName name="unwater">#REF!</definedName>
    <definedName name="UPVUR">#REF!</definedName>
    <definedName name="URGENT">#REF!</definedName>
    <definedName name="V9K3">#REF!</definedName>
    <definedName name="ValidationList1">#REF!</definedName>
    <definedName name="ValidationList2">#REF!</definedName>
    <definedName name="VCodeList">#REF!</definedName>
    <definedName name="VirementChecklist">#REF!</definedName>
    <definedName name="VIREMENTS">#REF!</definedName>
    <definedName name="VireType">#REF!</definedName>
    <definedName name="vo_s">#REF!</definedName>
    <definedName name="Vol">#REF!</definedName>
    <definedName name="VType">#REF!</definedName>
    <definedName name="Wallchart">#REF!</definedName>
    <definedName name="WallPlanner">#REF!</definedName>
    <definedName name="WARD">#REF!</definedName>
    <definedName name="water">#REF!</definedName>
    <definedName name="WDELSUM">#REF!</definedName>
    <definedName name="WDETAIL">#REF!</definedName>
    <definedName name="WFService">#REF!</definedName>
    <definedName name="WFWhatFor">#REF!</definedName>
    <definedName name="WMACRO">#N/A</definedName>
    <definedName name="WMEALS">#N/A</definedName>
    <definedName name="WNDELSUM">#REF!</definedName>
    <definedName name="Workbooks">#REF!</definedName>
    <definedName name="WorkingBudget">#REF!</definedName>
    <definedName name="Worklist">#REF!</definedName>
    <definedName name="WTSUM">#REF!</definedName>
    <definedName name="WYSIWYG_MENU">#REF!</definedName>
    <definedName name="Year_Groups">#REF!</definedName>
    <definedName name="YearGroup">#REF!</definedName>
    <definedName name="YesNo">#REF!</definedName>
    <definedName name="Z">#N/A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Y7" i="17" l="1"/>
  <c r="CY5" i="17"/>
  <c r="C4" i="23" l="1"/>
  <c r="B4" i="23"/>
  <c r="BV2" i="17"/>
  <c r="BN5" i="17" l="1"/>
  <c r="BU5" i="17" l="1"/>
  <c r="BU200" i="17" l="1"/>
  <c r="BU199" i="17"/>
  <c r="BU198" i="17"/>
  <c r="BU197" i="17"/>
  <c r="BU196" i="17"/>
  <c r="BU195" i="17"/>
  <c r="BU194" i="17"/>
  <c r="BU193" i="17"/>
  <c r="BU192" i="17"/>
  <c r="BU191" i="17"/>
  <c r="BU190" i="17"/>
  <c r="BU189" i="17"/>
  <c r="BU188" i="17"/>
  <c r="BU187" i="17"/>
  <c r="BU186" i="17"/>
  <c r="BU185" i="17"/>
  <c r="BU184" i="17"/>
  <c r="BU183" i="17"/>
  <c r="BU182" i="17"/>
  <c r="BU181" i="17"/>
  <c r="BU180" i="17"/>
  <c r="BU179" i="17"/>
  <c r="BU178" i="17"/>
  <c r="BU177" i="17"/>
  <c r="BU176" i="17"/>
  <c r="BU175" i="17"/>
  <c r="BU174" i="17"/>
  <c r="BU173" i="17"/>
  <c r="BU172" i="17"/>
  <c r="BU171" i="17"/>
  <c r="BU170" i="17"/>
  <c r="BU169" i="17"/>
  <c r="BU168" i="17"/>
  <c r="BU167" i="17"/>
  <c r="BU166" i="17"/>
  <c r="BU165" i="17"/>
  <c r="BU164" i="17"/>
  <c r="BU163" i="17"/>
  <c r="BU162" i="17"/>
  <c r="BU161" i="17"/>
  <c r="BU160" i="17"/>
  <c r="BU159" i="17"/>
  <c r="BU158" i="17"/>
  <c r="BU157" i="17"/>
  <c r="BU156" i="17"/>
  <c r="BU155" i="17"/>
  <c r="BU154" i="17"/>
  <c r="BU153" i="17"/>
  <c r="BU152" i="17"/>
  <c r="BU151" i="17"/>
  <c r="BU150" i="17"/>
  <c r="BU149" i="17"/>
  <c r="BU148" i="17"/>
  <c r="BU147" i="17"/>
  <c r="BU146" i="17"/>
  <c r="BU145" i="17"/>
  <c r="BU144" i="17"/>
  <c r="BU143" i="17"/>
  <c r="BU142" i="17"/>
  <c r="BU141" i="17"/>
  <c r="BU140" i="17"/>
  <c r="BU139" i="17"/>
  <c r="BU138" i="17"/>
  <c r="BU137" i="17"/>
  <c r="BU136" i="17"/>
  <c r="BU135" i="17"/>
  <c r="BU134" i="17"/>
  <c r="BU133" i="17"/>
  <c r="BU132" i="17"/>
  <c r="BU131" i="17"/>
  <c r="BU130" i="17"/>
  <c r="BU129" i="17"/>
  <c r="BU128" i="17"/>
  <c r="BU127" i="17"/>
  <c r="BU126" i="17"/>
  <c r="BU125" i="17"/>
  <c r="BU124" i="17"/>
  <c r="BU123" i="17"/>
  <c r="BU122" i="17"/>
  <c r="BU121" i="17"/>
  <c r="BU120" i="17"/>
  <c r="BU119" i="17"/>
  <c r="BU118" i="17"/>
  <c r="BU117" i="17"/>
  <c r="BU116" i="17"/>
  <c r="BU115" i="17"/>
  <c r="BU114" i="17"/>
  <c r="BU113" i="17"/>
  <c r="BU112" i="17"/>
  <c r="BU111" i="17"/>
  <c r="BU110" i="17"/>
  <c r="BU109" i="17"/>
  <c r="BU108" i="17"/>
  <c r="BU107" i="17"/>
  <c r="BU106" i="17"/>
  <c r="BU105" i="17"/>
  <c r="BU104" i="17"/>
  <c r="BU103" i="17"/>
  <c r="BU102" i="17"/>
  <c r="BU101" i="17"/>
  <c r="BU100" i="17"/>
  <c r="BU99" i="17"/>
  <c r="BU98" i="17"/>
  <c r="BU97" i="17"/>
  <c r="BU96" i="17"/>
  <c r="BU95" i="17"/>
  <c r="BU94" i="17"/>
  <c r="BU93" i="17"/>
  <c r="BU92" i="17"/>
  <c r="BU91" i="17"/>
  <c r="BU90" i="17"/>
  <c r="BU89" i="17"/>
  <c r="BU88" i="17"/>
  <c r="BU87" i="17"/>
  <c r="BU86" i="17"/>
  <c r="BU85" i="17"/>
  <c r="BU84" i="17"/>
  <c r="BU83" i="17"/>
  <c r="BU82" i="17"/>
  <c r="BU81" i="17"/>
  <c r="BU80" i="17"/>
  <c r="BU79" i="17"/>
  <c r="BU78" i="17"/>
  <c r="BU77" i="17"/>
  <c r="BU76" i="17"/>
  <c r="BU75" i="17"/>
  <c r="BU74" i="17"/>
  <c r="BU73" i="17"/>
  <c r="BU72" i="17"/>
  <c r="BU71" i="17"/>
  <c r="BU70" i="17"/>
  <c r="BU69" i="17"/>
  <c r="BU68" i="17"/>
  <c r="BU67" i="17"/>
  <c r="BU66" i="17"/>
  <c r="BU65" i="17"/>
  <c r="BU64" i="17"/>
  <c r="BU63" i="17"/>
  <c r="BU62" i="17"/>
  <c r="BU61" i="17"/>
  <c r="BU60" i="17"/>
  <c r="BU59" i="17"/>
  <c r="BU58" i="17"/>
  <c r="BU57" i="17"/>
  <c r="BU56" i="17"/>
  <c r="BU55" i="17"/>
  <c r="BU54" i="17"/>
  <c r="BU53" i="17"/>
  <c r="BU52" i="17"/>
  <c r="BU51" i="17"/>
  <c r="BU50" i="17"/>
  <c r="BU49" i="17"/>
  <c r="BU48" i="17"/>
  <c r="BU47" i="17"/>
  <c r="BU46" i="17"/>
  <c r="BU45" i="17"/>
  <c r="BU44" i="17"/>
  <c r="BU43" i="17"/>
  <c r="BU42" i="17"/>
  <c r="BU41" i="17"/>
  <c r="BU40" i="17"/>
  <c r="BU39" i="17"/>
  <c r="BU38" i="17"/>
  <c r="BU37" i="17"/>
  <c r="BU36" i="17"/>
  <c r="BU35" i="17"/>
  <c r="BU34" i="17"/>
  <c r="BU33" i="17"/>
  <c r="BU32" i="17"/>
  <c r="BU31" i="17"/>
  <c r="BU30" i="17"/>
  <c r="BU29" i="17"/>
  <c r="BU28" i="17"/>
  <c r="BU27" i="17"/>
  <c r="BU26" i="17"/>
  <c r="BU25" i="17"/>
  <c r="BU24" i="17"/>
  <c r="BU23" i="17"/>
  <c r="BU22" i="17"/>
  <c r="BU21" i="17"/>
  <c r="BU20" i="17"/>
  <c r="BU19" i="17"/>
  <c r="BU18" i="17"/>
  <c r="BU17" i="17"/>
  <c r="BU16" i="17"/>
  <c r="BU15" i="17"/>
  <c r="BU14" i="17"/>
  <c r="BU13" i="17"/>
  <c r="BU12" i="17"/>
  <c r="BU11" i="17"/>
  <c r="BU10" i="17"/>
  <c r="BU9" i="17"/>
  <c r="BU8" i="17"/>
  <c r="BU7" i="17"/>
  <c r="BU6" i="17"/>
  <c r="BO5" i="17"/>
  <c r="BN200" i="17"/>
  <c r="BN6" i="17"/>
  <c r="BN7" i="17"/>
  <c r="BN8" i="17"/>
  <c r="BN9" i="17"/>
  <c r="BN10" i="17"/>
  <c r="BN11" i="17"/>
  <c r="BN12" i="17"/>
  <c r="BN13" i="17"/>
  <c r="BN14" i="17"/>
  <c r="BN15" i="17"/>
  <c r="BN16" i="17"/>
  <c r="BN17" i="17"/>
  <c r="BN18" i="17"/>
  <c r="BN19" i="17"/>
  <c r="BN20" i="17"/>
  <c r="BN21" i="17"/>
  <c r="BN22" i="17"/>
  <c r="BN23" i="17"/>
  <c r="BN24" i="17"/>
  <c r="BN25" i="17"/>
  <c r="BN26" i="17"/>
  <c r="BN27" i="17"/>
  <c r="BN28" i="17"/>
  <c r="BN29" i="17"/>
  <c r="BN30" i="17"/>
  <c r="BN31" i="17"/>
  <c r="BN32" i="17"/>
  <c r="BN33" i="17"/>
  <c r="BN34" i="17"/>
  <c r="BN35" i="17"/>
  <c r="BN36" i="17"/>
  <c r="BN37" i="17"/>
  <c r="BN38" i="17"/>
  <c r="BN39" i="17"/>
  <c r="BN40" i="17"/>
  <c r="BN41" i="17"/>
  <c r="BN42" i="17"/>
  <c r="BN43" i="17"/>
  <c r="BN44" i="17"/>
  <c r="BN45" i="17"/>
  <c r="BN46" i="17"/>
  <c r="BN47" i="17"/>
  <c r="BN48" i="17"/>
  <c r="BN49" i="17"/>
  <c r="BN50" i="17"/>
  <c r="BN51" i="17"/>
  <c r="BN52" i="17"/>
  <c r="BN53" i="17"/>
  <c r="BN54" i="17"/>
  <c r="BN55" i="17"/>
  <c r="BN56" i="17"/>
  <c r="BN57" i="17"/>
  <c r="BN58" i="17"/>
  <c r="BN59" i="17"/>
  <c r="BN60" i="17"/>
  <c r="BN61" i="17"/>
  <c r="BN62" i="17"/>
  <c r="BN63" i="17"/>
  <c r="BN64" i="17"/>
  <c r="BN65" i="17"/>
  <c r="BN66" i="17"/>
  <c r="BN67" i="17"/>
  <c r="BN68" i="17"/>
  <c r="BN69" i="17"/>
  <c r="BN70" i="17"/>
  <c r="BN71" i="17"/>
  <c r="BN72" i="17"/>
  <c r="BN73" i="17"/>
  <c r="BN74" i="17"/>
  <c r="BN75" i="17"/>
  <c r="BN76" i="17"/>
  <c r="BN77" i="17"/>
  <c r="BN78" i="17"/>
  <c r="BN79" i="17"/>
  <c r="BN80" i="17"/>
  <c r="BN81" i="17"/>
  <c r="BN82" i="17"/>
  <c r="BN83" i="17"/>
  <c r="BN84" i="17"/>
  <c r="BN85" i="17"/>
  <c r="BN86" i="17"/>
  <c r="BN87" i="17"/>
  <c r="BN88" i="17"/>
  <c r="BN89" i="17"/>
  <c r="BN90" i="17"/>
  <c r="BN91" i="17"/>
  <c r="BN92" i="17"/>
  <c r="BN93" i="17"/>
  <c r="BN94" i="17"/>
  <c r="BN95" i="17"/>
  <c r="BN96" i="17"/>
  <c r="BN97" i="17"/>
  <c r="BN98" i="17"/>
  <c r="BN99" i="17"/>
  <c r="BN100" i="17"/>
  <c r="BN101" i="17"/>
  <c r="BN102" i="17"/>
  <c r="BN103" i="17"/>
  <c r="BN104" i="17"/>
  <c r="BN105" i="17"/>
  <c r="BN106" i="17"/>
  <c r="BN107" i="17"/>
  <c r="BN108" i="17"/>
  <c r="BN109" i="17"/>
  <c r="BN110" i="17"/>
  <c r="BN111" i="17"/>
  <c r="BN112" i="17"/>
  <c r="BN113" i="17"/>
  <c r="BN114" i="17"/>
  <c r="BN115" i="17"/>
  <c r="BN116" i="17"/>
  <c r="BN117" i="17"/>
  <c r="BN118" i="17"/>
  <c r="BN119" i="17"/>
  <c r="BN120" i="17"/>
  <c r="BN121" i="17"/>
  <c r="BN122" i="17"/>
  <c r="BN123" i="17"/>
  <c r="BN124" i="17"/>
  <c r="BN125" i="17"/>
  <c r="BN126" i="17"/>
  <c r="BN127" i="17"/>
  <c r="BN128" i="17"/>
  <c r="BN129" i="17"/>
  <c r="BN130" i="17"/>
  <c r="BN131" i="17"/>
  <c r="BN132" i="17"/>
  <c r="BN133" i="17"/>
  <c r="BN134" i="17"/>
  <c r="BN135" i="17"/>
  <c r="BN136" i="17"/>
  <c r="BN137" i="17"/>
  <c r="BN138" i="17"/>
  <c r="BN139" i="17"/>
  <c r="BN140" i="17"/>
  <c r="BN141" i="17"/>
  <c r="BN142" i="17"/>
  <c r="BN143" i="17"/>
  <c r="BN144" i="17"/>
  <c r="BN145" i="17"/>
  <c r="BN146" i="17"/>
  <c r="BN147" i="17"/>
  <c r="BN148" i="17"/>
  <c r="BN149" i="17"/>
  <c r="BN150" i="17"/>
  <c r="BN151" i="17"/>
  <c r="BN152" i="17"/>
  <c r="BN153" i="17"/>
  <c r="BN154" i="17"/>
  <c r="BN155" i="17"/>
  <c r="BN156" i="17"/>
  <c r="BN157" i="17"/>
  <c r="BN158" i="17"/>
  <c r="BN159" i="17"/>
  <c r="BN160" i="17"/>
  <c r="BN161" i="17"/>
  <c r="BN162" i="17"/>
  <c r="BN163" i="17"/>
  <c r="BN164" i="17"/>
  <c r="BN165" i="17"/>
  <c r="BN166" i="17"/>
  <c r="BN167" i="17"/>
  <c r="BN168" i="17"/>
  <c r="BN169" i="17"/>
  <c r="BN170" i="17"/>
  <c r="BN171" i="17"/>
  <c r="BN172" i="17"/>
  <c r="BN173" i="17"/>
  <c r="BN174" i="17"/>
  <c r="BN175" i="17"/>
  <c r="BN176" i="17"/>
  <c r="BN177" i="17"/>
  <c r="BN178" i="17"/>
  <c r="BN179" i="17"/>
  <c r="BN180" i="17"/>
  <c r="BN181" i="17"/>
  <c r="BN182" i="17"/>
  <c r="BN183" i="17"/>
  <c r="BN184" i="17"/>
  <c r="BN185" i="17"/>
  <c r="BN186" i="17"/>
  <c r="BN187" i="17"/>
  <c r="BN188" i="17"/>
  <c r="BN189" i="17"/>
  <c r="BN190" i="17"/>
  <c r="BN191" i="17"/>
  <c r="BN192" i="17"/>
  <c r="BN193" i="17"/>
  <c r="BN194" i="17"/>
  <c r="BN195" i="17"/>
  <c r="BN196" i="17"/>
  <c r="BN197" i="17"/>
  <c r="BN198" i="17"/>
  <c r="BN199" i="17"/>
  <c r="CQ5" i="17"/>
  <c r="BO6" i="17"/>
  <c r="F35" i="21"/>
  <c r="G35" i="21"/>
  <c r="F36" i="21"/>
  <c r="G36" i="21"/>
  <c r="F37" i="21"/>
  <c r="G37" i="21"/>
  <c r="F38" i="21"/>
  <c r="G38" i="21"/>
  <c r="F39" i="21"/>
  <c r="G39" i="21"/>
  <c r="F40" i="21"/>
  <c r="G40" i="21"/>
  <c r="F41" i="21"/>
  <c r="G41" i="21"/>
  <c r="F42" i="21"/>
  <c r="F44" i="21"/>
  <c r="G44" i="21"/>
  <c r="F45" i="21"/>
  <c r="G45" i="21"/>
  <c r="F18" i="21"/>
  <c r="G18" i="21"/>
  <c r="U18" i="21" s="1"/>
  <c r="F19" i="21"/>
  <c r="G19" i="21"/>
  <c r="F20" i="21"/>
  <c r="T20" i="21" s="1"/>
  <c r="G20" i="21"/>
  <c r="F21" i="21"/>
  <c r="T21" i="21" s="1"/>
  <c r="G21" i="21"/>
  <c r="U21" i="21" s="1"/>
  <c r="F22" i="21"/>
  <c r="G22" i="21"/>
  <c r="U22" i="21" s="1"/>
  <c r="F23" i="21"/>
  <c r="G23" i="21"/>
  <c r="F24" i="21"/>
  <c r="T24" i="21" s="1"/>
  <c r="G24" i="21"/>
  <c r="F25" i="21"/>
  <c r="G25" i="21"/>
  <c r="F26" i="21"/>
  <c r="G26" i="21"/>
  <c r="U26" i="21" s="1"/>
  <c r="F27" i="21"/>
  <c r="G27" i="21"/>
  <c r="F28" i="21"/>
  <c r="G28" i="21"/>
  <c r="F29" i="21"/>
  <c r="T29" i="21" s="1"/>
  <c r="G29" i="21"/>
  <c r="U29" i="21" s="1"/>
  <c r="L34" i="21"/>
  <c r="M42" i="21"/>
  <c r="N42" i="21"/>
  <c r="L42" i="21"/>
  <c r="D27" i="21"/>
  <c r="K27" i="21"/>
  <c r="R27" i="21"/>
  <c r="D43" i="21"/>
  <c r="K43" i="21"/>
  <c r="M43" i="21" s="1"/>
  <c r="R43" i="21"/>
  <c r="BQ198" i="22"/>
  <c r="BR3" i="22"/>
  <c r="BT3" i="22" s="1"/>
  <c r="BS3" i="22"/>
  <c r="BR4" i="22"/>
  <c r="BS4" i="22"/>
  <c r="BU4" i="22" s="1"/>
  <c r="BR5" i="22"/>
  <c r="BT5" i="22" s="1"/>
  <c r="BS5" i="22"/>
  <c r="BR6" i="22"/>
  <c r="BS6" i="22"/>
  <c r="BU6" i="22" s="1"/>
  <c r="BR7" i="22"/>
  <c r="BT7" i="22" s="1"/>
  <c r="BS7" i="22"/>
  <c r="BR8" i="22"/>
  <c r="BS8" i="22"/>
  <c r="BU8" i="22" s="1"/>
  <c r="BR9" i="22"/>
  <c r="BT9" i="22" s="1"/>
  <c r="BS9" i="22"/>
  <c r="BR10" i="22"/>
  <c r="BS10" i="22"/>
  <c r="BU10" i="22" s="1"/>
  <c r="BR11" i="22"/>
  <c r="BT11" i="22" s="1"/>
  <c r="BS11" i="22"/>
  <c r="BR12" i="22"/>
  <c r="BS12" i="22"/>
  <c r="BU12" i="22" s="1"/>
  <c r="BR13" i="22"/>
  <c r="BT13" i="22" s="1"/>
  <c r="BS13" i="22"/>
  <c r="BR14" i="22"/>
  <c r="BS14" i="22"/>
  <c r="BU14" i="22" s="1"/>
  <c r="BR15" i="22"/>
  <c r="BT15" i="22" s="1"/>
  <c r="BS15" i="22"/>
  <c r="BR16" i="22"/>
  <c r="BS16" i="22"/>
  <c r="BU16" i="22" s="1"/>
  <c r="BR17" i="22"/>
  <c r="BT17" i="22" s="1"/>
  <c r="BS17" i="22"/>
  <c r="BR18" i="22"/>
  <c r="BS18" i="22"/>
  <c r="BU18" i="22" s="1"/>
  <c r="BR19" i="22"/>
  <c r="BT19" i="22" s="1"/>
  <c r="BS19" i="22"/>
  <c r="BR20" i="22"/>
  <c r="BS20" i="22"/>
  <c r="BU20" i="22" s="1"/>
  <c r="BR21" i="22"/>
  <c r="BT21" i="22" s="1"/>
  <c r="BS21" i="22"/>
  <c r="BR22" i="22"/>
  <c r="BS22" i="22"/>
  <c r="BU22" i="22" s="1"/>
  <c r="BR23" i="22"/>
  <c r="BT23" i="22" s="1"/>
  <c r="BS23" i="22"/>
  <c r="BR24" i="22"/>
  <c r="BS24" i="22"/>
  <c r="BU24" i="22" s="1"/>
  <c r="BR25" i="22"/>
  <c r="BT25" i="22" s="1"/>
  <c r="BS25" i="22"/>
  <c r="BR26" i="22"/>
  <c r="BS26" i="22"/>
  <c r="BU26" i="22" s="1"/>
  <c r="BR27" i="22"/>
  <c r="BT27" i="22" s="1"/>
  <c r="BS27" i="22"/>
  <c r="BR28" i="22"/>
  <c r="BS28" i="22"/>
  <c r="BU28" i="22" s="1"/>
  <c r="BR29" i="22"/>
  <c r="BT29" i="22" s="1"/>
  <c r="BS29" i="22"/>
  <c r="BR30" i="22"/>
  <c r="BS30" i="22"/>
  <c r="BU30" i="22" s="1"/>
  <c r="BR31" i="22"/>
  <c r="BT31" i="22" s="1"/>
  <c r="BS31" i="22"/>
  <c r="BR32" i="22"/>
  <c r="BS32" i="22"/>
  <c r="BU32" i="22" s="1"/>
  <c r="BR33" i="22"/>
  <c r="BT33" i="22" s="1"/>
  <c r="BS33" i="22"/>
  <c r="BR34" i="22"/>
  <c r="BS34" i="22"/>
  <c r="BU34" i="22" s="1"/>
  <c r="BR35" i="22"/>
  <c r="BT35" i="22" s="1"/>
  <c r="BS35" i="22"/>
  <c r="BR36" i="22"/>
  <c r="BS36" i="22"/>
  <c r="BU36" i="22" s="1"/>
  <c r="BR37" i="22"/>
  <c r="BT37" i="22" s="1"/>
  <c r="BS37" i="22"/>
  <c r="BR38" i="22"/>
  <c r="BS38" i="22"/>
  <c r="BU38" i="22" s="1"/>
  <c r="BR39" i="22"/>
  <c r="BT39" i="22" s="1"/>
  <c r="BS39" i="22"/>
  <c r="BR40" i="22"/>
  <c r="BS40" i="22"/>
  <c r="BU40" i="22" s="1"/>
  <c r="BR41" i="22"/>
  <c r="BT41" i="22" s="1"/>
  <c r="BS41" i="22"/>
  <c r="BR42" i="22"/>
  <c r="BS42" i="22"/>
  <c r="BU42" i="22" s="1"/>
  <c r="BR43" i="22"/>
  <c r="BT43" i="22" s="1"/>
  <c r="BS43" i="22"/>
  <c r="BR44" i="22"/>
  <c r="BS44" i="22"/>
  <c r="BU44" i="22" s="1"/>
  <c r="BR45" i="22"/>
  <c r="BT45" i="22" s="1"/>
  <c r="BS45" i="22"/>
  <c r="BR46" i="22"/>
  <c r="BS46" i="22"/>
  <c r="BU46" i="22" s="1"/>
  <c r="BR47" i="22"/>
  <c r="BT47" i="22" s="1"/>
  <c r="BS47" i="22"/>
  <c r="BR48" i="22"/>
  <c r="BS48" i="22"/>
  <c r="BU48" i="22" s="1"/>
  <c r="BR49" i="22"/>
  <c r="BT49" i="22" s="1"/>
  <c r="BS49" i="22"/>
  <c r="BR50" i="22"/>
  <c r="BS50" i="22"/>
  <c r="BU50" i="22" s="1"/>
  <c r="BR51" i="22"/>
  <c r="BT51" i="22" s="1"/>
  <c r="BS51" i="22"/>
  <c r="BR52" i="22"/>
  <c r="BS52" i="22"/>
  <c r="BU52" i="22" s="1"/>
  <c r="BR53" i="22"/>
  <c r="BT53" i="22" s="1"/>
  <c r="BS53" i="22"/>
  <c r="BR54" i="22"/>
  <c r="BS54" i="22"/>
  <c r="BU54" i="22" s="1"/>
  <c r="BR55" i="22"/>
  <c r="BT55" i="22" s="1"/>
  <c r="BS55" i="22"/>
  <c r="BR56" i="22"/>
  <c r="BS56" i="22"/>
  <c r="BU56" i="22" s="1"/>
  <c r="BR57" i="22"/>
  <c r="BT57" i="22" s="1"/>
  <c r="BS57" i="22"/>
  <c r="BR58" i="22"/>
  <c r="BS58" i="22"/>
  <c r="BU58" i="22" s="1"/>
  <c r="BR59" i="22"/>
  <c r="BT59" i="22" s="1"/>
  <c r="BS59" i="22"/>
  <c r="BR60" i="22"/>
  <c r="BS60" i="22"/>
  <c r="BU60" i="22" s="1"/>
  <c r="BR61" i="22"/>
  <c r="BT61" i="22" s="1"/>
  <c r="BS61" i="22"/>
  <c r="BR62" i="22"/>
  <c r="BS62" i="22"/>
  <c r="BU62" i="22" s="1"/>
  <c r="BR63" i="22"/>
  <c r="BT63" i="22" s="1"/>
  <c r="BS63" i="22"/>
  <c r="BR64" i="22"/>
  <c r="BS64" i="22"/>
  <c r="BU64" i="22" s="1"/>
  <c r="BR65" i="22"/>
  <c r="BT65" i="22" s="1"/>
  <c r="BS65" i="22"/>
  <c r="BR66" i="22"/>
  <c r="BS66" i="22"/>
  <c r="BU66" i="22" s="1"/>
  <c r="BR67" i="22"/>
  <c r="BT67" i="22" s="1"/>
  <c r="BS67" i="22"/>
  <c r="BR68" i="22"/>
  <c r="BS68" i="22"/>
  <c r="BU68" i="22" s="1"/>
  <c r="BR69" i="22"/>
  <c r="BT69" i="22" s="1"/>
  <c r="BS69" i="22"/>
  <c r="BR70" i="22"/>
  <c r="BS70" i="22"/>
  <c r="BU70" i="22" s="1"/>
  <c r="BR71" i="22"/>
  <c r="BT71" i="22" s="1"/>
  <c r="BS71" i="22"/>
  <c r="BR72" i="22"/>
  <c r="BS72" i="22"/>
  <c r="BU72" i="22" s="1"/>
  <c r="BR73" i="22"/>
  <c r="BT73" i="22" s="1"/>
  <c r="BS73" i="22"/>
  <c r="BR74" i="22"/>
  <c r="BS74" i="22"/>
  <c r="BU74" i="22" s="1"/>
  <c r="BR75" i="22"/>
  <c r="BT75" i="22" s="1"/>
  <c r="BS75" i="22"/>
  <c r="BR76" i="22"/>
  <c r="BS76" i="22"/>
  <c r="BU76" i="22" s="1"/>
  <c r="BR77" i="22"/>
  <c r="BT77" i="22" s="1"/>
  <c r="BS77" i="22"/>
  <c r="BR78" i="22"/>
  <c r="BS78" i="22"/>
  <c r="BU78" i="22" s="1"/>
  <c r="BR79" i="22"/>
  <c r="BT79" i="22" s="1"/>
  <c r="BS79" i="22"/>
  <c r="BR80" i="22"/>
  <c r="BS80" i="22"/>
  <c r="BU80" i="22" s="1"/>
  <c r="BR81" i="22"/>
  <c r="BT81" i="22" s="1"/>
  <c r="BS81" i="22"/>
  <c r="BR82" i="22"/>
  <c r="BS82" i="22"/>
  <c r="BU82" i="22" s="1"/>
  <c r="BR83" i="22"/>
  <c r="BT83" i="22" s="1"/>
  <c r="BS83" i="22"/>
  <c r="BR84" i="22"/>
  <c r="BS84" i="22"/>
  <c r="BU84" i="22" s="1"/>
  <c r="BR85" i="22"/>
  <c r="BT85" i="22" s="1"/>
  <c r="BS85" i="22"/>
  <c r="BR86" i="22"/>
  <c r="BS86" i="22"/>
  <c r="BU86" i="22" s="1"/>
  <c r="BR87" i="22"/>
  <c r="BT87" i="22" s="1"/>
  <c r="BS87" i="22"/>
  <c r="BR88" i="22"/>
  <c r="BS88" i="22"/>
  <c r="BU88" i="22" s="1"/>
  <c r="BR89" i="22"/>
  <c r="BT89" i="22" s="1"/>
  <c r="BS89" i="22"/>
  <c r="BR90" i="22"/>
  <c r="BS90" i="22"/>
  <c r="BU90" i="22" s="1"/>
  <c r="BR91" i="22"/>
  <c r="BT91" i="22" s="1"/>
  <c r="BS91" i="22"/>
  <c r="BR92" i="22"/>
  <c r="BS92" i="22"/>
  <c r="BU92" i="22" s="1"/>
  <c r="BR93" i="22"/>
  <c r="BT93" i="22" s="1"/>
  <c r="BS93" i="22"/>
  <c r="BR94" i="22"/>
  <c r="BS94" i="22"/>
  <c r="BU94" i="22" s="1"/>
  <c r="BR95" i="22"/>
  <c r="BT95" i="22" s="1"/>
  <c r="BS95" i="22"/>
  <c r="BR96" i="22"/>
  <c r="BS96" i="22"/>
  <c r="BU96" i="22" s="1"/>
  <c r="BR97" i="22"/>
  <c r="BT97" i="22" s="1"/>
  <c r="BS97" i="22"/>
  <c r="BR98" i="22"/>
  <c r="BS98" i="22"/>
  <c r="BU98" i="22" s="1"/>
  <c r="BR99" i="22"/>
  <c r="BT99" i="22" s="1"/>
  <c r="BS99" i="22"/>
  <c r="BR100" i="22"/>
  <c r="BS100" i="22"/>
  <c r="BU100" i="22" s="1"/>
  <c r="BR101" i="22"/>
  <c r="BT101" i="22" s="1"/>
  <c r="BS101" i="22"/>
  <c r="BR102" i="22"/>
  <c r="BS102" i="22"/>
  <c r="BU102" i="22" s="1"/>
  <c r="BR103" i="22"/>
  <c r="BT103" i="22" s="1"/>
  <c r="BS103" i="22"/>
  <c r="BR104" i="22"/>
  <c r="BS104" i="22"/>
  <c r="BU104" i="22" s="1"/>
  <c r="BR105" i="22"/>
  <c r="BT105" i="22" s="1"/>
  <c r="BS105" i="22"/>
  <c r="BR106" i="22"/>
  <c r="BS106" i="22"/>
  <c r="BU106" i="22" s="1"/>
  <c r="BR107" i="22"/>
  <c r="BT107" i="22" s="1"/>
  <c r="BS107" i="22"/>
  <c r="BR108" i="22"/>
  <c r="BS108" i="22"/>
  <c r="BU108" i="22" s="1"/>
  <c r="BR109" i="22"/>
  <c r="BT109" i="22" s="1"/>
  <c r="BS109" i="22"/>
  <c r="BR110" i="22"/>
  <c r="BS110" i="22"/>
  <c r="BU110" i="22" s="1"/>
  <c r="BR111" i="22"/>
  <c r="BT111" i="22" s="1"/>
  <c r="BS111" i="22"/>
  <c r="BR112" i="22"/>
  <c r="BS112" i="22"/>
  <c r="BU112" i="22" s="1"/>
  <c r="BR113" i="22"/>
  <c r="BT113" i="22" s="1"/>
  <c r="BS113" i="22"/>
  <c r="BR114" i="22"/>
  <c r="BS114" i="22"/>
  <c r="BU114" i="22" s="1"/>
  <c r="BR115" i="22"/>
  <c r="BT115" i="22" s="1"/>
  <c r="BS115" i="22"/>
  <c r="BR116" i="22"/>
  <c r="BS116" i="22"/>
  <c r="BU116" i="22" s="1"/>
  <c r="BR117" i="22"/>
  <c r="BT117" i="22" s="1"/>
  <c r="BS117" i="22"/>
  <c r="BR118" i="22"/>
  <c r="BS118" i="22"/>
  <c r="BU118" i="22" s="1"/>
  <c r="BR119" i="22"/>
  <c r="BT119" i="22" s="1"/>
  <c r="BS119" i="22"/>
  <c r="BR120" i="22"/>
  <c r="BS120" i="22"/>
  <c r="BU120" i="22" s="1"/>
  <c r="BR121" i="22"/>
  <c r="BT121" i="22" s="1"/>
  <c r="BS121" i="22"/>
  <c r="BR122" i="22"/>
  <c r="BS122" i="22"/>
  <c r="BU122" i="22" s="1"/>
  <c r="BR123" i="22"/>
  <c r="BT123" i="22" s="1"/>
  <c r="BS123" i="22"/>
  <c r="BR124" i="22"/>
  <c r="BS124" i="22"/>
  <c r="BU124" i="22" s="1"/>
  <c r="BR125" i="22"/>
  <c r="BT125" i="22" s="1"/>
  <c r="BS125" i="22"/>
  <c r="BR126" i="22"/>
  <c r="BS126" i="22"/>
  <c r="BU126" i="22" s="1"/>
  <c r="BR127" i="22"/>
  <c r="BT127" i="22" s="1"/>
  <c r="BS127" i="22"/>
  <c r="BR128" i="22"/>
  <c r="BS128" i="22"/>
  <c r="BU128" i="22" s="1"/>
  <c r="BR129" i="22"/>
  <c r="BT129" i="22" s="1"/>
  <c r="BS129" i="22"/>
  <c r="BR130" i="22"/>
  <c r="BS130" i="22"/>
  <c r="BU130" i="22" s="1"/>
  <c r="BR131" i="22"/>
  <c r="BT131" i="22" s="1"/>
  <c r="BS131" i="22"/>
  <c r="BR132" i="22"/>
  <c r="BS132" i="22"/>
  <c r="BU132" i="22" s="1"/>
  <c r="BR133" i="22"/>
  <c r="BT133" i="22" s="1"/>
  <c r="BS133" i="22"/>
  <c r="BR134" i="22"/>
  <c r="BS134" i="22"/>
  <c r="BU134" i="22" s="1"/>
  <c r="BR135" i="22"/>
  <c r="BT135" i="22" s="1"/>
  <c r="BS135" i="22"/>
  <c r="BR136" i="22"/>
  <c r="BS136" i="22"/>
  <c r="BU136" i="22" s="1"/>
  <c r="BR137" i="22"/>
  <c r="BT137" i="22" s="1"/>
  <c r="BS137" i="22"/>
  <c r="BR138" i="22"/>
  <c r="BS138" i="22"/>
  <c r="BU138" i="22" s="1"/>
  <c r="BR139" i="22"/>
  <c r="BT139" i="22" s="1"/>
  <c r="BS139" i="22"/>
  <c r="BR140" i="22"/>
  <c r="BS140" i="22"/>
  <c r="BU140" i="22" s="1"/>
  <c r="BR141" i="22"/>
  <c r="BT141" i="22" s="1"/>
  <c r="BS141" i="22"/>
  <c r="BR142" i="22"/>
  <c r="BS142" i="22"/>
  <c r="BU142" i="22" s="1"/>
  <c r="BR143" i="22"/>
  <c r="BT143" i="22" s="1"/>
  <c r="BS143" i="22"/>
  <c r="BR144" i="22"/>
  <c r="BS144" i="22"/>
  <c r="BU144" i="22" s="1"/>
  <c r="BR145" i="22"/>
  <c r="BT145" i="22" s="1"/>
  <c r="BS145" i="22"/>
  <c r="BR146" i="22"/>
  <c r="BS146" i="22"/>
  <c r="BU146" i="22" s="1"/>
  <c r="BR147" i="22"/>
  <c r="BT147" i="22" s="1"/>
  <c r="BS147" i="22"/>
  <c r="BR148" i="22"/>
  <c r="BS148" i="22"/>
  <c r="BU148" i="22" s="1"/>
  <c r="BR149" i="22"/>
  <c r="BT149" i="22" s="1"/>
  <c r="BS149" i="22"/>
  <c r="BR150" i="22"/>
  <c r="BS150" i="22"/>
  <c r="BU150" i="22" s="1"/>
  <c r="BR151" i="22"/>
  <c r="BT151" i="22" s="1"/>
  <c r="BS151" i="22"/>
  <c r="BR152" i="22"/>
  <c r="BS152" i="22"/>
  <c r="BU152" i="22" s="1"/>
  <c r="BR153" i="22"/>
  <c r="BT153" i="22" s="1"/>
  <c r="BS153" i="22"/>
  <c r="BR154" i="22"/>
  <c r="BS154" i="22"/>
  <c r="BU154" i="22" s="1"/>
  <c r="BR155" i="22"/>
  <c r="BT155" i="22" s="1"/>
  <c r="BS155" i="22"/>
  <c r="BR156" i="22"/>
  <c r="BS156" i="22"/>
  <c r="BU156" i="22" s="1"/>
  <c r="BR157" i="22"/>
  <c r="BT157" i="22" s="1"/>
  <c r="BS157" i="22"/>
  <c r="BR158" i="22"/>
  <c r="BS158" i="22"/>
  <c r="BU158" i="22" s="1"/>
  <c r="BR159" i="22"/>
  <c r="BT159" i="22" s="1"/>
  <c r="BS159" i="22"/>
  <c r="BR160" i="22"/>
  <c r="BS160" i="22"/>
  <c r="BU160" i="22" s="1"/>
  <c r="BR161" i="22"/>
  <c r="BT161" i="22" s="1"/>
  <c r="BS161" i="22"/>
  <c r="BR162" i="22"/>
  <c r="BS162" i="22"/>
  <c r="BU162" i="22" s="1"/>
  <c r="BR163" i="22"/>
  <c r="BT163" i="22" s="1"/>
  <c r="BS163" i="22"/>
  <c r="BR164" i="22"/>
  <c r="BS164" i="22"/>
  <c r="BU164" i="22" s="1"/>
  <c r="BR165" i="22"/>
  <c r="BT165" i="22" s="1"/>
  <c r="BS165" i="22"/>
  <c r="BR166" i="22"/>
  <c r="BS166" i="22"/>
  <c r="BU166" i="22" s="1"/>
  <c r="BR167" i="22"/>
  <c r="BT167" i="22" s="1"/>
  <c r="BS167" i="22"/>
  <c r="BR168" i="22"/>
  <c r="BS168" i="22"/>
  <c r="BU168" i="22" s="1"/>
  <c r="BR169" i="22"/>
  <c r="BT169" i="22" s="1"/>
  <c r="BS169" i="22"/>
  <c r="BR170" i="22"/>
  <c r="BS170" i="22"/>
  <c r="BU170" i="22" s="1"/>
  <c r="BR171" i="22"/>
  <c r="BT171" i="22" s="1"/>
  <c r="BS171" i="22"/>
  <c r="BR172" i="22"/>
  <c r="BS172" i="22"/>
  <c r="BU172" i="22" s="1"/>
  <c r="BR173" i="22"/>
  <c r="BT173" i="22" s="1"/>
  <c r="BS173" i="22"/>
  <c r="BR174" i="22"/>
  <c r="BS174" i="22"/>
  <c r="BU174" i="22" s="1"/>
  <c r="BR175" i="22"/>
  <c r="BT175" i="22" s="1"/>
  <c r="BS175" i="22"/>
  <c r="BR176" i="22"/>
  <c r="BS176" i="22"/>
  <c r="BU176" i="22" s="1"/>
  <c r="BR177" i="22"/>
  <c r="BT177" i="22" s="1"/>
  <c r="BS177" i="22"/>
  <c r="BR178" i="22"/>
  <c r="BS178" i="22"/>
  <c r="BU178" i="22" s="1"/>
  <c r="BR179" i="22"/>
  <c r="BT179" i="22" s="1"/>
  <c r="BS179" i="22"/>
  <c r="BR180" i="22"/>
  <c r="BS180" i="22"/>
  <c r="BU180" i="22" s="1"/>
  <c r="BR181" i="22"/>
  <c r="BT181" i="22" s="1"/>
  <c r="BS181" i="22"/>
  <c r="BR182" i="22"/>
  <c r="BS182" i="22"/>
  <c r="BU182" i="22" s="1"/>
  <c r="BR183" i="22"/>
  <c r="BT183" i="22" s="1"/>
  <c r="BS183" i="22"/>
  <c r="BR184" i="22"/>
  <c r="BS184" i="22"/>
  <c r="BU184" i="22" s="1"/>
  <c r="BR185" i="22"/>
  <c r="BT185" i="22" s="1"/>
  <c r="BS185" i="22"/>
  <c r="BR186" i="22"/>
  <c r="BS186" i="22"/>
  <c r="BU186" i="22" s="1"/>
  <c r="BR187" i="22"/>
  <c r="BT187" i="22" s="1"/>
  <c r="BS187" i="22"/>
  <c r="BR188" i="22"/>
  <c r="BS188" i="22"/>
  <c r="BU188" i="22" s="1"/>
  <c r="BR189" i="22"/>
  <c r="BT189" i="22" s="1"/>
  <c r="BS189" i="22"/>
  <c r="BR190" i="22"/>
  <c r="BS190" i="22"/>
  <c r="BU190" i="22" s="1"/>
  <c r="BR191" i="22"/>
  <c r="BT191" i="22" s="1"/>
  <c r="BS191" i="22"/>
  <c r="BR192" i="22"/>
  <c r="BS192" i="22"/>
  <c r="BU192" i="22" s="1"/>
  <c r="BR193" i="22"/>
  <c r="BT193" i="22" s="1"/>
  <c r="BS193" i="22"/>
  <c r="BR194" i="22"/>
  <c r="BS194" i="22"/>
  <c r="BU194" i="22" s="1"/>
  <c r="BR195" i="22"/>
  <c r="BT195" i="22" s="1"/>
  <c r="BS195" i="22"/>
  <c r="BR196" i="22"/>
  <c r="BS196" i="22"/>
  <c r="BU196" i="22" s="1"/>
  <c r="BR197" i="22"/>
  <c r="BT197" i="22" s="1"/>
  <c r="BS197" i="22"/>
  <c r="BS2" i="22"/>
  <c r="BR2" i="22"/>
  <c r="BT2" i="22" s="1"/>
  <c r="BO3" i="22"/>
  <c r="BP3" i="22"/>
  <c r="BO4" i="22"/>
  <c r="BP4" i="22"/>
  <c r="BO5" i="22"/>
  <c r="BP5" i="22"/>
  <c r="BO6" i="22"/>
  <c r="BP6" i="22"/>
  <c r="BO7" i="22"/>
  <c r="BP7" i="22"/>
  <c r="BO8" i="22"/>
  <c r="BP8" i="22"/>
  <c r="BO9" i="22"/>
  <c r="BP9" i="22"/>
  <c r="BO10" i="22"/>
  <c r="BP10" i="22"/>
  <c r="BO11" i="22"/>
  <c r="BP11" i="22"/>
  <c r="BO12" i="22"/>
  <c r="BP12" i="22"/>
  <c r="BO13" i="22"/>
  <c r="BP13" i="22"/>
  <c r="BO14" i="22"/>
  <c r="BP14" i="22"/>
  <c r="BO15" i="22"/>
  <c r="BP15" i="22"/>
  <c r="BO16" i="22"/>
  <c r="BP16" i="22"/>
  <c r="BO17" i="22"/>
  <c r="BP17" i="22"/>
  <c r="BO18" i="22"/>
  <c r="BP18" i="22"/>
  <c r="BO19" i="22"/>
  <c r="BP19" i="22"/>
  <c r="BO20" i="22"/>
  <c r="BP20" i="22"/>
  <c r="BO21" i="22"/>
  <c r="BP21" i="22"/>
  <c r="BO22" i="22"/>
  <c r="BP22" i="22"/>
  <c r="BO23" i="22"/>
  <c r="BP23" i="22"/>
  <c r="BO24" i="22"/>
  <c r="BP24" i="22"/>
  <c r="BO25" i="22"/>
  <c r="BP25" i="22"/>
  <c r="BO26" i="22"/>
  <c r="BP26" i="22"/>
  <c r="BO27" i="22"/>
  <c r="BP27" i="22"/>
  <c r="BO28" i="22"/>
  <c r="BP28" i="22"/>
  <c r="BO29" i="22"/>
  <c r="BP29" i="22"/>
  <c r="BO30" i="22"/>
  <c r="BP30" i="22"/>
  <c r="BO31" i="22"/>
  <c r="BP31" i="22"/>
  <c r="BO32" i="22"/>
  <c r="BP32" i="22"/>
  <c r="BO33" i="22"/>
  <c r="BP33" i="22"/>
  <c r="BO34" i="22"/>
  <c r="BP34" i="22"/>
  <c r="BO35" i="22"/>
  <c r="BP35" i="22"/>
  <c r="BO36" i="22"/>
  <c r="BP36" i="22"/>
  <c r="BO37" i="22"/>
  <c r="BP37" i="22"/>
  <c r="BO38" i="22"/>
  <c r="BP38" i="22"/>
  <c r="BO39" i="22"/>
  <c r="BP39" i="22"/>
  <c r="BO40" i="22"/>
  <c r="BP40" i="22"/>
  <c r="BO41" i="22"/>
  <c r="BP41" i="22"/>
  <c r="BO42" i="22"/>
  <c r="BP42" i="22"/>
  <c r="BO43" i="22"/>
  <c r="BP43" i="22"/>
  <c r="BO44" i="22"/>
  <c r="BP44" i="22"/>
  <c r="BO45" i="22"/>
  <c r="BP45" i="22"/>
  <c r="BO46" i="22"/>
  <c r="BP46" i="22"/>
  <c r="BO47" i="22"/>
  <c r="BP47" i="22"/>
  <c r="BO48" i="22"/>
  <c r="BP48" i="22"/>
  <c r="BO49" i="22"/>
  <c r="BP49" i="22"/>
  <c r="BO50" i="22"/>
  <c r="BP50" i="22"/>
  <c r="BO51" i="22"/>
  <c r="BP51" i="22"/>
  <c r="BO52" i="22"/>
  <c r="BP52" i="22"/>
  <c r="BO53" i="22"/>
  <c r="BP53" i="22"/>
  <c r="BO54" i="22"/>
  <c r="BP54" i="22"/>
  <c r="BO55" i="22"/>
  <c r="BP55" i="22"/>
  <c r="BO56" i="22"/>
  <c r="BP56" i="22"/>
  <c r="BO57" i="22"/>
  <c r="BP57" i="22"/>
  <c r="BO58" i="22"/>
  <c r="BP58" i="22"/>
  <c r="BO59" i="22"/>
  <c r="BP59" i="22"/>
  <c r="BO60" i="22"/>
  <c r="BP60" i="22"/>
  <c r="BO61" i="22"/>
  <c r="BP61" i="22"/>
  <c r="BO62" i="22"/>
  <c r="BP62" i="22"/>
  <c r="BO63" i="22"/>
  <c r="BP63" i="22"/>
  <c r="BO64" i="22"/>
  <c r="BP64" i="22"/>
  <c r="BO65" i="22"/>
  <c r="BP65" i="22"/>
  <c r="BO66" i="22"/>
  <c r="BP66" i="22"/>
  <c r="BO67" i="22"/>
  <c r="BP67" i="22"/>
  <c r="BO68" i="22"/>
  <c r="BP68" i="22"/>
  <c r="BO69" i="22"/>
  <c r="BP69" i="22"/>
  <c r="BO70" i="22"/>
  <c r="BP70" i="22"/>
  <c r="BO71" i="22"/>
  <c r="BP71" i="22"/>
  <c r="BO72" i="22"/>
  <c r="BP72" i="22"/>
  <c r="BO73" i="22"/>
  <c r="BP73" i="22"/>
  <c r="BO74" i="22"/>
  <c r="BP74" i="22"/>
  <c r="BO75" i="22"/>
  <c r="BP75" i="22"/>
  <c r="BO76" i="22"/>
  <c r="BP76" i="22"/>
  <c r="BO77" i="22"/>
  <c r="BP77" i="22"/>
  <c r="BO78" i="22"/>
  <c r="BP78" i="22"/>
  <c r="BO79" i="22"/>
  <c r="BP79" i="22"/>
  <c r="BO80" i="22"/>
  <c r="BP80" i="22"/>
  <c r="BO81" i="22"/>
  <c r="BP81" i="22"/>
  <c r="BO82" i="22"/>
  <c r="BP82" i="22"/>
  <c r="BO83" i="22"/>
  <c r="BP83" i="22"/>
  <c r="BO84" i="22"/>
  <c r="BP84" i="22"/>
  <c r="BO85" i="22"/>
  <c r="BP85" i="22"/>
  <c r="BO86" i="22"/>
  <c r="BP86" i="22"/>
  <c r="BO87" i="22"/>
  <c r="BP87" i="22"/>
  <c r="BO88" i="22"/>
  <c r="BP88" i="22"/>
  <c r="BO89" i="22"/>
  <c r="BP89" i="22"/>
  <c r="BO90" i="22"/>
  <c r="BP90" i="22"/>
  <c r="BO91" i="22"/>
  <c r="BP91" i="22"/>
  <c r="BO92" i="22"/>
  <c r="BP92" i="22"/>
  <c r="BO93" i="22"/>
  <c r="BP93" i="22"/>
  <c r="BO94" i="22"/>
  <c r="BP94" i="22"/>
  <c r="BO95" i="22"/>
  <c r="BP95" i="22"/>
  <c r="BO96" i="22"/>
  <c r="BP96" i="22"/>
  <c r="BO97" i="22"/>
  <c r="BP97" i="22"/>
  <c r="BO98" i="22"/>
  <c r="BP98" i="22"/>
  <c r="BO99" i="22"/>
  <c r="BP99" i="22"/>
  <c r="BO100" i="22"/>
  <c r="BP100" i="22"/>
  <c r="BO101" i="22"/>
  <c r="BP101" i="22"/>
  <c r="BO102" i="22"/>
  <c r="BP102" i="22"/>
  <c r="BO103" i="22"/>
  <c r="BP103" i="22"/>
  <c r="BO104" i="22"/>
  <c r="BP104" i="22"/>
  <c r="BO105" i="22"/>
  <c r="BP105" i="22"/>
  <c r="BO106" i="22"/>
  <c r="BP106" i="22"/>
  <c r="BO107" i="22"/>
  <c r="BP107" i="22"/>
  <c r="BO108" i="22"/>
  <c r="BP108" i="22"/>
  <c r="BO109" i="22"/>
  <c r="BP109" i="22"/>
  <c r="BO110" i="22"/>
  <c r="BP110" i="22"/>
  <c r="BO111" i="22"/>
  <c r="BP111" i="22"/>
  <c r="BO112" i="22"/>
  <c r="BP112" i="22"/>
  <c r="BO113" i="22"/>
  <c r="BP113" i="22"/>
  <c r="BO114" i="22"/>
  <c r="BP114" i="22"/>
  <c r="BO115" i="22"/>
  <c r="BP115" i="22"/>
  <c r="BO116" i="22"/>
  <c r="BP116" i="22"/>
  <c r="BO117" i="22"/>
  <c r="BP117" i="22"/>
  <c r="BO118" i="22"/>
  <c r="BP118" i="22"/>
  <c r="BO119" i="22"/>
  <c r="BP119" i="22"/>
  <c r="BO120" i="22"/>
  <c r="BP120" i="22"/>
  <c r="BO121" i="22"/>
  <c r="BP121" i="22"/>
  <c r="BO122" i="22"/>
  <c r="BP122" i="22"/>
  <c r="BO123" i="22"/>
  <c r="BP123" i="22"/>
  <c r="BO124" i="22"/>
  <c r="BP124" i="22"/>
  <c r="BO125" i="22"/>
  <c r="BP125" i="22"/>
  <c r="BO126" i="22"/>
  <c r="BP126" i="22"/>
  <c r="BO127" i="22"/>
  <c r="BP127" i="22"/>
  <c r="BO128" i="22"/>
  <c r="BP128" i="22"/>
  <c r="BO129" i="22"/>
  <c r="BP129" i="22"/>
  <c r="BO130" i="22"/>
  <c r="BP130" i="22"/>
  <c r="BO131" i="22"/>
  <c r="BP131" i="22"/>
  <c r="BO132" i="22"/>
  <c r="BP132" i="22"/>
  <c r="BO133" i="22"/>
  <c r="BP133" i="22"/>
  <c r="BO134" i="22"/>
  <c r="BP134" i="22"/>
  <c r="BO135" i="22"/>
  <c r="BP135" i="22"/>
  <c r="BO136" i="22"/>
  <c r="BP136" i="22"/>
  <c r="BO137" i="22"/>
  <c r="BP137" i="22"/>
  <c r="BO138" i="22"/>
  <c r="BP138" i="22"/>
  <c r="BO139" i="22"/>
  <c r="BP139" i="22"/>
  <c r="BO140" i="22"/>
  <c r="BP140" i="22"/>
  <c r="BO141" i="22"/>
  <c r="BP141" i="22"/>
  <c r="BO142" i="22"/>
  <c r="BP142" i="22"/>
  <c r="BO143" i="22"/>
  <c r="BP143" i="22"/>
  <c r="BO144" i="22"/>
  <c r="BP144" i="22"/>
  <c r="BO145" i="22"/>
  <c r="BP145" i="22"/>
  <c r="BO146" i="22"/>
  <c r="BP146" i="22"/>
  <c r="BO147" i="22"/>
  <c r="BP147" i="22"/>
  <c r="BO148" i="22"/>
  <c r="BP148" i="22"/>
  <c r="BO149" i="22"/>
  <c r="BP149" i="22"/>
  <c r="BO150" i="22"/>
  <c r="BP150" i="22"/>
  <c r="BO151" i="22"/>
  <c r="BP151" i="22"/>
  <c r="BO152" i="22"/>
  <c r="BP152" i="22"/>
  <c r="BO153" i="22"/>
  <c r="BP153" i="22"/>
  <c r="BO154" i="22"/>
  <c r="BP154" i="22"/>
  <c r="BO155" i="22"/>
  <c r="BP155" i="22"/>
  <c r="BO156" i="22"/>
  <c r="BP156" i="22"/>
  <c r="BO157" i="22"/>
  <c r="BP157" i="22"/>
  <c r="BO158" i="22"/>
  <c r="BP158" i="22"/>
  <c r="BO159" i="22"/>
  <c r="BP159" i="22"/>
  <c r="BO160" i="22"/>
  <c r="BP160" i="22"/>
  <c r="BO161" i="22"/>
  <c r="BP161" i="22"/>
  <c r="BO162" i="22"/>
  <c r="BP162" i="22"/>
  <c r="BO163" i="22"/>
  <c r="BP163" i="22"/>
  <c r="BO164" i="22"/>
  <c r="BP164" i="22"/>
  <c r="BO165" i="22"/>
  <c r="BP165" i="22"/>
  <c r="BO166" i="22"/>
  <c r="BP166" i="22"/>
  <c r="BO167" i="22"/>
  <c r="BP167" i="22"/>
  <c r="BO168" i="22"/>
  <c r="BP168" i="22"/>
  <c r="BO169" i="22"/>
  <c r="BP169" i="22"/>
  <c r="BO170" i="22"/>
  <c r="BP170" i="22"/>
  <c r="BO171" i="22"/>
  <c r="BP171" i="22"/>
  <c r="BO172" i="22"/>
  <c r="BP172" i="22"/>
  <c r="BO173" i="22"/>
  <c r="BP173" i="22"/>
  <c r="BO174" i="22"/>
  <c r="BP174" i="22"/>
  <c r="BO175" i="22"/>
  <c r="BP175" i="22"/>
  <c r="BO176" i="22"/>
  <c r="BP176" i="22"/>
  <c r="BO177" i="22"/>
  <c r="BP177" i="22"/>
  <c r="BO178" i="22"/>
  <c r="BP178" i="22"/>
  <c r="BO179" i="22"/>
  <c r="BP179" i="22"/>
  <c r="BO180" i="22"/>
  <c r="BP180" i="22"/>
  <c r="BO181" i="22"/>
  <c r="BP181" i="22"/>
  <c r="BO182" i="22"/>
  <c r="BP182" i="22"/>
  <c r="BO183" i="22"/>
  <c r="BP183" i="22"/>
  <c r="BO184" i="22"/>
  <c r="BP184" i="22"/>
  <c r="BO185" i="22"/>
  <c r="BP185" i="22"/>
  <c r="BO186" i="22"/>
  <c r="BP186" i="22"/>
  <c r="BO187" i="22"/>
  <c r="BP187" i="22"/>
  <c r="BO188" i="22"/>
  <c r="BP188" i="22"/>
  <c r="BO189" i="22"/>
  <c r="BP189" i="22"/>
  <c r="BO190" i="22"/>
  <c r="BP190" i="22"/>
  <c r="BO191" i="22"/>
  <c r="BP191" i="22"/>
  <c r="BO192" i="22"/>
  <c r="BP192" i="22"/>
  <c r="BO193" i="22"/>
  <c r="BP193" i="22"/>
  <c r="BO194" i="22"/>
  <c r="BP194" i="22"/>
  <c r="BO195" i="22"/>
  <c r="BP195" i="22"/>
  <c r="BO196" i="22"/>
  <c r="BP196" i="22"/>
  <c r="BO197" i="22"/>
  <c r="BP197" i="22"/>
  <c r="BP2" i="22"/>
  <c r="BP198" i="22" s="1"/>
  <c r="BO2" i="22"/>
  <c r="BO198" i="22" s="1"/>
  <c r="BR30" i="17"/>
  <c r="BS30" i="17"/>
  <c r="BT30" i="17"/>
  <c r="BB5" i="17"/>
  <c r="CR6" i="17"/>
  <c r="BO7" i="17"/>
  <c r="CR7" i="17" s="1"/>
  <c r="BO8" i="17"/>
  <c r="CR8" i="17" s="1"/>
  <c r="BO9" i="17"/>
  <c r="CR9" i="17" s="1"/>
  <c r="BO10" i="17"/>
  <c r="CR10" i="17" s="1"/>
  <c r="BO11" i="17"/>
  <c r="CR11" i="17" s="1"/>
  <c r="BO12" i="17"/>
  <c r="CR12" i="17" s="1"/>
  <c r="BO13" i="17"/>
  <c r="CR13" i="17" s="1"/>
  <c r="BO14" i="17"/>
  <c r="CR14" i="17" s="1"/>
  <c r="BO15" i="17"/>
  <c r="CR15" i="17" s="1"/>
  <c r="BO16" i="17"/>
  <c r="CR16" i="17" s="1"/>
  <c r="BO17" i="17"/>
  <c r="CR17" i="17" s="1"/>
  <c r="BO18" i="17"/>
  <c r="CR18" i="17" s="1"/>
  <c r="BO19" i="17"/>
  <c r="CR19" i="17" s="1"/>
  <c r="BO20" i="17"/>
  <c r="CR20" i="17" s="1"/>
  <c r="BO21" i="17"/>
  <c r="CR21" i="17" s="1"/>
  <c r="BO22" i="17"/>
  <c r="CR22" i="17" s="1"/>
  <c r="BO23" i="17"/>
  <c r="CR23" i="17" s="1"/>
  <c r="BO24" i="17"/>
  <c r="CR24" i="17" s="1"/>
  <c r="BO25" i="17"/>
  <c r="CR25" i="17" s="1"/>
  <c r="BO26" i="17"/>
  <c r="CR26" i="17" s="1"/>
  <c r="BO27" i="17"/>
  <c r="CR27" i="17" s="1"/>
  <c r="BO28" i="17"/>
  <c r="CR28" i="17" s="1"/>
  <c r="BO29" i="17"/>
  <c r="CR29" i="17" s="1"/>
  <c r="BO30" i="17"/>
  <c r="CR30" i="17" s="1"/>
  <c r="BO31" i="17"/>
  <c r="CR31" i="17" s="1"/>
  <c r="BO32" i="17"/>
  <c r="CR32" i="17" s="1"/>
  <c r="BO33" i="17"/>
  <c r="CR33" i="17" s="1"/>
  <c r="BO34" i="17"/>
  <c r="CR34" i="17" s="1"/>
  <c r="BO35" i="17"/>
  <c r="CR35" i="17" s="1"/>
  <c r="BO36" i="17"/>
  <c r="CR36" i="17" s="1"/>
  <c r="BO37" i="17"/>
  <c r="CR37" i="17" s="1"/>
  <c r="BO38" i="17"/>
  <c r="CR38" i="17" s="1"/>
  <c r="BO39" i="17"/>
  <c r="CR39" i="17" s="1"/>
  <c r="BO40" i="17"/>
  <c r="CR40" i="17" s="1"/>
  <c r="BO41" i="17"/>
  <c r="CR41" i="17" s="1"/>
  <c r="BO42" i="17"/>
  <c r="CR42" i="17" s="1"/>
  <c r="BO43" i="17"/>
  <c r="CR43" i="17" s="1"/>
  <c r="BO44" i="17"/>
  <c r="CR44" i="17" s="1"/>
  <c r="BO45" i="17"/>
  <c r="CR45" i="17" s="1"/>
  <c r="BO46" i="17"/>
  <c r="CR46" i="17" s="1"/>
  <c r="BO47" i="17"/>
  <c r="CR47" i="17" s="1"/>
  <c r="BO48" i="17"/>
  <c r="CR48" i="17" s="1"/>
  <c r="BO49" i="17"/>
  <c r="CR49" i="17" s="1"/>
  <c r="BO50" i="17"/>
  <c r="CR50" i="17" s="1"/>
  <c r="BO51" i="17"/>
  <c r="CR51" i="17" s="1"/>
  <c r="BO52" i="17"/>
  <c r="CR52" i="17" s="1"/>
  <c r="BO53" i="17"/>
  <c r="CR53" i="17" s="1"/>
  <c r="BO54" i="17"/>
  <c r="CR54" i="17" s="1"/>
  <c r="BO55" i="17"/>
  <c r="CR55" i="17" s="1"/>
  <c r="BO56" i="17"/>
  <c r="CR56" i="17" s="1"/>
  <c r="BO57" i="17"/>
  <c r="CR57" i="17" s="1"/>
  <c r="BO58" i="17"/>
  <c r="CR58" i="17" s="1"/>
  <c r="BO59" i="17"/>
  <c r="CR59" i="17" s="1"/>
  <c r="BO60" i="17"/>
  <c r="CR60" i="17" s="1"/>
  <c r="BO61" i="17"/>
  <c r="CR61" i="17" s="1"/>
  <c r="BO62" i="17"/>
  <c r="CR62" i="17" s="1"/>
  <c r="BO63" i="17"/>
  <c r="CR63" i="17" s="1"/>
  <c r="BO64" i="17"/>
  <c r="CR64" i="17" s="1"/>
  <c r="BO65" i="17"/>
  <c r="CR65" i="17" s="1"/>
  <c r="BO66" i="17"/>
  <c r="CR66" i="17" s="1"/>
  <c r="BO67" i="17"/>
  <c r="CR67" i="17" s="1"/>
  <c r="BO68" i="17"/>
  <c r="CR68" i="17" s="1"/>
  <c r="BO69" i="17"/>
  <c r="CR69" i="17" s="1"/>
  <c r="BO70" i="17"/>
  <c r="CR70" i="17" s="1"/>
  <c r="BO71" i="17"/>
  <c r="CR71" i="17" s="1"/>
  <c r="BO72" i="17"/>
  <c r="CR72" i="17" s="1"/>
  <c r="BO73" i="17"/>
  <c r="CR73" i="17" s="1"/>
  <c r="BO74" i="17"/>
  <c r="CR74" i="17" s="1"/>
  <c r="BO75" i="17"/>
  <c r="CR75" i="17" s="1"/>
  <c r="BO76" i="17"/>
  <c r="CR76" i="17" s="1"/>
  <c r="BO77" i="17"/>
  <c r="CR77" i="17" s="1"/>
  <c r="BO78" i="17"/>
  <c r="CR78" i="17" s="1"/>
  <c r="BO79" i="17"/>
  <c r="CR79" i="17" s="1"/>
  <c r="BO80" i="17"/>
  <c r="CR80" i="17" s="1"/>
  <c r="BO81" i="17"/>
  <c r="CR81" i="17" s="1"/>
  <c r="BO82" i="17"/>
  <c r="CR82" i="17" s="1"/>
  <c r="BO83" i="17"/>
  <c r="CR83" i="17" s="1"/>
  <c r="BO84" i="17"/>
  <c r="CR84" i="17" s="1"/>
  <c r="BO85" i="17"/>
  <c r="CR85" i="17" s="1"/>
  <c r="BO86" i="17"/>
  <c r="CR86" i="17" s="1"/>
  <c r="BO87" i="17"/>
  <c r="CR87" i="17" s="1"/>
  <c r="BO88" i="17"/>
  <c r="CR88" i="17" s="1"/>
  <c r="BO89" i="17"/>
  <c r="CR89" i="17" s="1"/>
  <c r="BO90" i="17"/>
  <c r="CR90" i="17" s="1"/>
  <c r="BO91" i="17"/>
  <c r="CR91" i="17" s="1"/>
  <c r="BO92" i="17"/>
  <c r="CR92" i="17" s="1"/>
  <c r="BO93" i="17"/>
  <c r="CR93" i="17" s="1"/>
  <c r="BO94" i="17"/>
  <c r="CR94" i="17" s="1"/>
  <c r="BO95" i="17"/>
  <c r="CR95" i="17" s="1"/>
  <c r="BO96" i="17"/>
  <c r="CR96" i="17" s="1"/>
  <c r="BO97" i="17"/>
  <c r="CR97" i="17" s="1"/>
  <c r="BO98" i="17"/>
  <c r="CR98" i="17" s="1"/>
  <c r="BO99" i="17"/>
  <c r="CR99" i="17" s="1"/>
  <c r="BO100" i="17"/>
  <c r="CR100" i="17" s="1"/>
  <c r="BO101" i="17"/>
  <c r="CR101" i="17" s="1"/>
  <c r="BO102" i="17"/>
  <c r="CR102" i="17" s="1"/>
  <c r="BO103" i="17"/>
  <c r="CR103" i="17" s="1"/>
  <c r="BO104" i="17"/>
  <c r="CR104" i="17" s="1"/>
  <c r="BO105" i="17"/>
  <c r="CR105" i="17" s="1"/>
  <c r="BO106" i="17"/>
  <c r="CR106" i="17" s="1"/>
  <c r="BO107" i="17"/>
  <c r="CR107" i="17" s="1"/>
  <c r="BO108" i="17"/>
  <c r="CR108" i="17" s="1"/>
  <c r="BO109" i="17"/>
  <c r="CR109" i="17" s="1"/>
  <c r="BO110" i="17"/>
  <c r="CR110" i="17" s="1"/>
  <c r="BO111" i="17"/>
  <c r="CR111" i="17" s="1"/>
  <c r="BO112" i="17"/>
  <c r="CR112" i="17" s="1"/>
  <c r="BO113" i="17"/>
  <c r="CR113" i="17" s="1"/>
  <c r="BO114" i="17"/>
  <c r="CR114" i="17" s="1"/>
  <c r="BO115" i="17"/>
  <c r="CR115" i="17" s="1"/>
  <c r="BO116" i="17"/>
  <c r="CR116" i="17" s="1"/>
  <c r="BO117" i="17"/>
  <c r="CR117" i="17" s="1"/>
  <c r="BO118" i="17"/>
  <c r="CR118" i="17" s="1"/>
  <c r="BO119" i="17"/>
  <c r="CR119" i="17" s="1"/>
  <c r="BO120" i="17"/>
  <c r="CR120" i="17" s="1"/>
  <c r="BO121" i="17"/>
  <c r="CR121" i="17" s="1"/>
  <c r="BO122" i="17"/>
  <c r="CR122" i="17" s="1"/>
  <c r="BO123" i="17"/>
  <c r="CR123" i="17" s="1"/>
  <c r="BO124" i="17"/>
  <c r="CR124" i="17" s="1"/>
  <c r="BO125" i="17"/>
  <c r="CR125" i="17" s="1"/>
  <c r="BO126" i="17"/>
  <c r="CR126" i="17" s="1"/>
  <c r="BO127" i="17"/>
  <c r="CR127" i="17" s="1"/>
  <c r="BO128" i="17"/>
  <c r="CR128" i="17" s="1"/>
  <c r="BO129" i="17"/>
  <c r="CR129" i="17" s="1"/>
  <c r="BO130" i="17"/>
  <c r="CR130" i="17" s="1"/>
  <c r="BO131" i="17"/>
  <c r="CR131" i="17" s="1"/>
  <c r="BO132" i="17"/>
  <c r="CR132" i="17" s="1"/>
  <c r="BO133" i="17"/>
  <c r="CR133" i="17" s="1"/>
  <c r="BO134" i="17"/>
  <c r="CR134" i="17" s="1"/>
  <c r="BO135" i="17"/>
  <c r="CR135" i="17" s="1"/>
  <c r="BO136" i="17"/>
  <c r="CR136" i="17" s="1"/>
  <c r="BO137" i="17"/>
  <c r="CR137" i="17" s="1"/>
  <c r="BO138" i="17"/>
  <c r="CR138" i="17" s="1"/>
  <c r="BO139" i="17"/>
  <c r="CR139" i="17" s="1"/>
  <c r="BO140" i="17"/>
  <c r="CR140" i="17" s="1"/>
  <c r="BO141" i="17"/>
  <c r="CR141" i="17" s="1"/>
  <c r="BO142" i="17"/>
  <c r="CR142" i="17" s="1"/>
  <c r="BO143" i="17"/>
  <c r="CR143" i="17" s="1"/>
  <c r="BO144" i="17"/>
  <c r="CR144" i="17" s="1"/>
  <c r="BO145" i="17"/>
  <c r="CR145" i="17" s="1"/>
  <c r="BO146" i="17"/>
  <c r="CR146" i="17" s="1"/>
  <c r="BO147" i="17"/>
  <c r="CR147" i="17" s="1"/>
  <c r="BO148" i="17"/>
  <c r="CR148" i="17" s="1"/>
  <c r="BO149" i="17"/>
  <c r="CR149" i="17" s="1"/>
  <c r="BO150" i="17"/>
  <c r="CR150" i="17" s="1"/>
  <c r="BO151" i="17"/>
  <c r="CR151" i="17" s="1"/>
  <c r="BO152" i="17"/>
  <c r="CR152" i="17" s="1"/>
  <c r="BO153" i="17"/>
  <c r="CR153" i="17" s="1"/>
  <c r="BO154" i="17"/>
  <c r="CR154" i="17" s="1"/>
  <c r="BO155" i="17"/>
  <c r="CR155" i="17" s="1"/>
  <c r="BO156" i="17"/>
  <c r="CR156" i="17" s="1"/>
  <c r="BO157" i="17"/>
  <c r="CR157" i="17" s="1"/>
  <c r="BO158" i="17"/>
  <c r="CR158" i="17" s="1"/>
  <c r="BO159" i="17"/>
  <c r="CR159" i="17" s="1"/>
  <c r="BO160" i="17"/>
  <c r="CR160" i="17" s="1"/>
  <c r="BO161" i="17"/>
  <c r="CR161" i="17" s="1"/>
  <c r="BO162" i="17"/>
  <c r="CR162" i="17" s="1"/>
  <c r="BO163" i="17"/>
  <c r="CR163" i="17" s="1"/>
  <c r="BO164" i="17"/>
  <c r="CR164" i="17" s="1"/>
  <c r="BO165" i="17"/>
  <c r="CR165" i="17" s="1"/>
  <c r="BO166" i="17"/>
  <c r="CR166" i="17" s="1"/>
  <c r="BO167" i="17"/>
  <c r="CR167" i="17" s="1"/>
  <c r="BO168" i="17"/>
  <c r="CR168" i="17" s="1"/>
  <c r="BO169" i="17"/>
  <c r="CR169" i="17" s="1"/>
  <c r="BO170" i="17"/>
  <c r="CR170" i="17" s="1"/>
  <c r="BO171" i="17"/>
  <c r="CR171" i="17" s="1"/>
  <c r="BO172" i="17"/>
  <c r="CR172" i="17" s="1"/>
  <c r="BO173" i="17"/>
  <c r="CR173" i="17" s="1"/>
  <c r="BO174" i="17"/>
  <c r="CR174" i="17" s="1"/>
  <c r="BO175" i="17"/>
  <c r="CR175" i="17" s="1"/>
  <c r="BO176" i="17"/>
  <c r="CR176" i="17" s="1"/>
  <c r="BO177" i="17"/>
  <c r="CR177" i="17" s="1"/>
  <c r="BO178" i="17"/>
  <c r="CR178" i="17" s="1"/>
  <c r="BO179" i="17"/>
  <c r="CR179" i="17" s="1"/>
  <c r="BO180" i="17"/>
  <c r="CR180" i="17" s="1"/>
  <c r="BO181" i="17"/>
  <c r="CR181" i="17" s="1"/>
  <c r="BO182" i="17"/>
  <c r="CR182" i="17" s="1"/>
  <c r="BO183" i="17"/>
  <c r="CR183" i="17" s="1"/>
  <c r="BO184" i="17"/>
  <c r="CR184" i="17" s="1"/>
  <c r="BO185" i="17"/>
  <c r="CR185" i="17" s="1"/>
  <c r="BO186" i="17"/>
  <c r="CR186" i="17" s="1"/>
  <c r="BO187" i="17"/>
  <c r="CR187" i="17" s="1"/>
  <c r="BO188" i="17"/>
  <c r="CR188" i="17" s="1"/>
  <c r="BO189" i="17"/>
  <c r="CR189" i="17" s="1"/>
  <c r="BO190" i="17"/>
  <c r="CR190" i="17" s="1"/>
  <c r="BO191" i="17"/>
  <c r="CR191" i="17" s="1"/>
  <c r="BO192" i="17"/>
  <c r="CR192" i="17" s="1"/>
  <c r="BO193" i="17"/>
  <c r="CR193" i="17" s="1"/>
  <c r="BO194" i="17"/>
  <c r="CR194" i="17" s="1"/>
  <c r="BO195" i="17"/>
  <c r="CR195" i="17" s="1"/>
  <c r="BO196" i="17"/>
  <c r="CR196" i="17" s="1"/>
  <c r="BO197" i="17"/>
  <c r="CR197" i="17" s="1"/>
  <c r="BO198" i="17"/>
  <c r="CR198" i="17" s="1"/>
  <c r="BO199" i="17"/>
  <c r="CR199" i="17" s="1"/>
  <c r="BO200" i="17"/>
  <c r="CR200" i="17" s="1"/>
  <c r="CR5" i="17"/>
  <c r="BQ5" i="17"/>
  <c r="CE19" i="17"/>
  <c r="Z11" i="12"/>
  <c r="AA11" i="12"/>
  <c r="BM200" i="22"/>
  <c r="BL200" i="22"/>
  <c r="BK200" i="22"/>
  <c r="BJ200" i="22"/>
  <c r="BI200" i="22"/>
  <c r="BH200" i="22"/>
  <c r="BG200" i="22"/>
  <c r="BF200" i="22"/>
  <c r="AU198" i="22"/>
  <c r="AT198" i="22"/>
  <c r="AS198" i="22"/>
  <c r="AR198" i="22"/>
  <c r="AQ198" i="22"/>
  <c r="BC197" i="22"/>
  <c r="AP197" i="22"/>
  <c r="BC196" i="22"/>
  <c r="AP196" i="22"/>
  <c r="BC195" i="22"/>
  <c r="AP195" i="22"/>
  <c r="BC194" i="22"/>
  <c r="AP194" i="22"/>
  <c r="BC193" i="22"/>
  <c r="AP193" i="22"/>
  <c r="BC192" i="22"/>
  <c r="AP192" i="22"/>
  <c r="BC191" i="22"/>
  <c r="AP191" i="22"/>
  <c r="BC190" i="22"/>
  <c r="AP190" i="22"/>
  <c r="BC189" i="22"/>
  <c r="AP189" i="22"/>
  <c r="BC188" i="22"/>
  <c r="AP188" i="22"/>
  <c r="BC187" i="22"/>
  <c r="AP187" i="22"/>
  <c r="BC186" i="22"/>
  <c r="AP186" i="22"/>
  <c r="BC185" i="22"/>
  <c r="AP185" i="22"/>
  <c r="BC184" i="22"/>
  <c r="AP184" i="22"/>
  <c r="BC183" i="22"/>
  <c r="AP183" i="22"/>
  <c r="BC182" i="22"/>
  <c r="AP182" i="22"/>
  <c r="BC181" i="22"/>
  <c r="AP181" i="22"/>
  <c r="BC180" i="22"/>
  <c r="AP180" i="22"/>
  <c r="BC179" i="22"/>
  <c r="AP179" i="22"/>
  <c r="BC178" i="22"/>
  <c r="AP178" i="22"/>
  <c r="BC177" i="22"/>
  <c r="AP177" i="22"/>
  <c r="BC176" i="22"/>
  <c r="AP176" i="22"/>
  <c r="BC175" i="22"/>
  <c r="AP175" i="22"/>
  <c r="BC174" i="22"/>
  <c r="AP174" i="22"/>
  <c r="BC173" i="22"/>
  <c r="AP173" i="22"/>
  <c r="BC172" i="22"/>
  <c r="AP172" i="22"/>
  <c r="BC171" i="22"/>
  <c r="AP171" i="22"/>
  <c r="BC170" i="22"/>
  <c r="AP170" i="22"/>
  <c r="BC169" i="22"/>
  <c r="AP169" i="22"/>
  <c r="BC168" i="22"/>
  <c r="AP168" i="22"/>
  <c r="BC167" i="22"/>
  <c r="AP167" i="22"/>
  <c r="BC166" i="22"/>
  <c r="AP166" i="22"/>
  <c r="BC165" i="22"/>
  <c r="AP165" i="22"/>
  <c r="BC164" i="22"/>
  <c r="AP164" i="22"/>
  <c r="BC163" i="22"/>
  <c r="AP163" i="22"/>
  <c r="BC162" i="22"/>
  <c r="AP162" i="22"/>
  <c r="BC161" i="22"/>
  <c r="AP161" i="22"/>
  <c r="BC160" i="22"/>
  <c r="AP160" i="22"/>
  <c r="BC159" i="22"/>
  <c r="AP159" i="22"/>
  <c r="BC158" i="22"/>
  <c r="AP158" i="22"/>
  <c r="BC157" i="22"/>
  <c r="AP157" i="22"/>
  <c r="BC156" i="22"/>
  <c r="AP156" i="22"/>
  <c r="BC155" i="22"/>
  <c r="AP155" i="22"/>
  <c r="BC154" i="22"/>
  <c r="AP154" i="22"/>
  <c r="BC153" i="22"/>
  <c r="AP153" i="22"/>
  <c r="BC152" i="22"/>
  <c r="AP152" i="22"/>
  <c r="BC151" i="22"/>
  <c r="AP151" i="22"/>
  <c r="BC150" i="22"/>
  <c r="AP150" i="22"/>
  <c r="BC149" i="22"/>
  <c r="AP149" i="22"/>
  <c r="BC148" i="22"/>
  <c r="AP148" i="22"/>
  <c r="BC147" i="22"/>
  <c r="AP147" i="22"/>
  <c r="BC146" i="22"/>
  <c r="AP146" i="22"/>
  <c r="BC145" i="22"/>
  <c r="AP145" i="22"/>
  <c r="BC144" i="22"/>
  <c r="AP144" i="22"/>
  <c r="BC143" i="22"/>
  <c r="AP143" i="22"/>
  <c r="BC142" i="22"/>
  <c r="AP142" i="22"/>
  <c r="BC141" i="22"/>
  <c r="AP141" i="22"/>
  <c r="BC140" i="22"/>
  <c r="AP140" i="22"/>
  <c r="BC139" i="22"/>
  <c r="AP139" i="22"/>
  <c r="BC138" i="22"/>
  <c r="AP138" i="22"/>
  <c r="BC137" i="22"/>
  <c r="AP137" i="22"/>
  <c r="BC136" i="22"/>
  <c r="AP136" i="22"/>
  <c r="BC135" i="22"/>
  <c r="AP135" i="22"/>
  <c r="BC134" i="22"/>
  <c r="AP134" i="22"/>
  <c r="BC133" i="22"/>
  <c r="AP133" i="22"/>
  <c r="BC132" i="22"/>
  <c r="AP132" i="22"/>
  <c r="BC131" i="22"/>
  <c r="AP131" i="22"/>
  <c r="BC130" i="22"/>
  <c r="AP130" i="22"/>
  <c r="BC129" i="22"/>
  <c r="AP129" i="22"/>
  <c r="BC128" i="22"/>
  <c r="AP128" i="22"/>
  <c r="BC127" i="22"/>
  <c r="AP127" i="22"/>
  <c r="BC126" i="22"/>
  <c r="AP126" i="22"/>
  <c r="BC125" i="22"/>
  <c r="AP125" i="22"/>
  <c r="BC124" i="22"/>
  <c r="AP124" i="22"/>
  <c r="BC123" i="22"/>
  <c r="AP123" i="22"/>
  <c r="BC122" i="22"/>
  <c r="AP122" i="22"/>
  <c r="BC121" i="22"/>
  <c r="AP121" i="22"/>
  <c r="BC120" i="22"/>
  <c r="AP120" i="22"/>
  <c r="BC119" i="22"/>
  <c r="AP119" i="22"/>
  <c r="BC118" i="22"/>
  <c r="AP118" i="22"/>
  <c r="BC117" i="22"/>
  <c r="AP117" i="22"/>
  <c r="BC116" i="22"/>
  <c r="AP116" i="22"/>
  <c r="BC115" i="22"/>
  <c r="AP115" i="22"/>
  <c r="BC114" i="22"/>
  <c r="AP114" i="22"/>
  <c r="BC113" i="22"/>
  <c r="AP113" i="22"/>
  <c r="BC112" i="22"/>
  <c r="AP112" i="22"/>
  <c r="BC111" i="22"/>
  <c r="AP111" i="22"/>
  <c r="BC110" i="22"/>
  <c r="AP110" i="22"/>
  <c r="BC109" i="22"/>
  <c r="AP109" i="22"/>
  <c r="BC108" i="22"/>
  <c r="AP108" i="22"/>
  <c r="BC107" i="22"/>
  <c r="AP107" i="22"/>
  <c r="BC106" i="22"/>
  <c r="AP106" i="22"/>
  <c r="BC105" i="22"/>
  <c r="AP105" i="22"/>
  <c r="BC104" i="22"/>
  <c r="AP104" i="22"/>
  <c r="BC103" i="22"/>
  <c r="AP103" i="22"/>
  <c r="BC102" i="22"/>
  <c r="AP102" i="22"/>
  <c r="BC101" i="22"/>
  <c r="AP101" i="22"/>
  <c r="BC100" i="22"/>
  <c r="AP100" i="22"/>
  <c r="BC99" i="22"/>
  <c r="AP99" i="22"/>
  <c r="BC98" i="22"/>
  <c r="AP98" i="22"/>
  <c r="BC97" i="22"/>
  <c r="AP97" i="22"/>
  <c r="BC96" i="22"/>
  <c r="AP96" i="22"/>
  <c r="BC95" i="22"/>
  <c r="AP95" i="22"/>
  <c r="BC94" i="22"/>
  <c r="AP94" i="22"/>
  <c r="BC93" i="22"/>
  <c r="AP93" i="22"/>
  <c r="BC92" i="22"/>
  <c r="AP92" i="22"/>
  <c r="BC91" i="22"/>
  <c r="AP91" i="22"/>
  <c r="BC90" i="22"/>
  <c r="AP90" i="22"/>
  <c r="BC89" i="22"/>
  <c r="AP89" i="22"/>
  <c r="BC88" i="22"/>
  <c r="AP88" i="22"/>
  <c r="BC87" i="22"/>
  <c r="AP87" i="22"/>
  <c r="BC86" i="22"/>
  <c r="AP86" i="22"/>
  <c r="BC85" i="22"/>
  <c r="AP85" i="22"/>
  <c r="BC84" i="22"/>
  <c r="AP84" i="22"/>
  <c r="BC83" i="22"/>
  <c r="AP83" i="22"/>
  <c r="BC82" i="22"/>
  <c r="AP82" i="22"/>
  <c r="BC81" i="22"/>
  <c r="AP81" i="22"/>
  <c r="BC80" i="22"/>
  <c r="AP80" i="22"/>
  <c r="BC79" i="22"/>
  <c r="AP79" i="22"/>
  <c r="BC78" i="22"/>
  <c r="AP78" i="22"/>
  <c r="BC77" i="22"/>
  <c r="AP77" i="22"/>
  <c r="BC76" i="22"/>
  <c r="AP76" i="22"/>
  <c r="BC75" i="22"/>
  <c r="AP75" i="22"/>
  <c r="BC74" i="22"/>
  <c r="AP74" i="22"/>
  <c r="BC73" i="22"/>
  <c r="AP73" i="22"/>
  <c r="BC72" i="22"/>
  <c r="AP72" i="22"/>
  <c r="BC71" i="22"/>
  <c r="AP71" i="22"/>
  <c r="BC70" i="22"/>
  <c r="AP70" i="22"/>
  <c r="BC69" i="22"/>
  <c r="AP69" i="22"/>
  <c r="BC68" i="22"/>
  <c r="AP68" i="22"/>
  <c r="BC67" i="22"/>
  <c r="AP67" i="22"/>
  <c r="BC66" i="22"/>
  <c r="AP66" i="22"/>
  <c r="BC65" i="22"/>
  <c r="AP65" i="22"/>
  <c r="BC64" i="22"/>
  <c r="AP64" i="22"/>
  <c r="BC63" i="22"/>
  <c r="AP63" i="22"/>
  <c r="BC62" i="22"/>
  <c r="AP62" i="22"/>
  <c r="BC61" i="22"/>
  <c r="AP61" i="22"/>
  <c r="BC60" i="22"/>
  <c r="AP60" i="22"/>
  <c r="BC59" i="22"/>
  <c r="AP59" i="22"/>
  <c r="BC58" i="22"/>
  <c r="AP58" i="22"/>
  <c r="BC57" i="22"/>
  <c r="AP57" i="22"/>
  <c r="BC56" i="22"/>
  <c r="AP56" i="22"/>
  <c r="BC55" i="22"/>
  <c r="AP55" i="22"/>
  <c r="BC54" i="22"/>
  <c r="AP54" i="22"/>
  <c r="BC53" i="22"/>
  <c r="AP53" i="22"/>
  <c r="BC52" i="22"/>
  <c r="AP52" i="22"/>
  <c r="BC51" i="22"/>
  <c r="AP51" i="22"/>
  <c r="BC50" i="22"/>
  <c r="AP50" i="22"/>
  <c r="BC49" i="22"/>
  <c r="AP49" i="22"/>
  <c r="BC48" i="22"/>
  <c r="AP48" i="22"/>
  <c r="BC47" i="22"/>
  <c r="AP47" i="22"/>
  <c r="BC46" i="22"/>
  <c r="AP46" i="22"/>
  <c r="BC45" i="22"/>
  <c r="AP45" i="22"/>
  <c r="BC44" i="22"/>
  <c r="AP44" i="22"/>
  <c r="BC43" i="22"/>
  <c r="AP43" i="22"/>
  <c r="BC42" i="22"/>
  <c r="AP42" i="22"/>
  <c r="BC41" i="22"/>
  <c r="AP41" i="22"/>
  <c r="BC40" i="22"/>
  <c r="AP40" i="22"/>
  <c r="BC39" i="22"/>
  <c r="AP39" i="22"/>
  <c r="BC38" i="22"/>
  <c r="AP38" i="22"/>
  <c r="BC37" i="22"/>
  <c r="AP37" i="22"/>
  <c r="BC36" i="22"/>
  <c r="AP36" i="22"/>
  <c r="BC35" i="22"/>
  <c r="AP35" i="22"/>
  <c r="BC34" i="22"/>
  <c r="AP34" i="22"/>
  <c r="BC33" i="22"/>
  <c r="AP33" i="22"/>
  <c r="BC32" i="22"/>
  <c r="AP32" i="22"/>
  <c r="BC31" i="22"/>
  <c r="AP31" i="22"/>
  <c r="BC30" i="22"/>
  <c r="AP30" i="22"/>
  <c r="BC29" i="22"/>
  <c r="AP29" i="22"/>
  <c r="BC28" i="22"/>
  <c r="AP28" i="22"/>
  <c r="BC27" i="22"/>
  <c r="AP27" i="22"/>
  <c r="BC26" i="22"/>
  <c r="AP26" i="22"/>
  <c r="BC25" i="22"/>
  <c r="AP25" i="22"/>
  <c r="BC24" i="22"/>
  <c r="AP24" i="22"/>
  <c r="BC23" i="22"/>
  <c r="AP23" i="22"/>
  <c r="BC22" i="22"/>
  <c r="AP22" i="22"/>
  <c r="BC21" i="22"/>
  <c r="AP21" i="22"/>
  <c r="BC20" i="22"/>
  <c r="AP20" i="22"/>
  <c r="BC19" i="22"/>
  <c r="AP19" i="22"/>
  <c r="BC18" i="22"/>
  <c r="AP18" i="22"/>
  <c r="BC17" i="22"/>
  <c r="AP17" i="22"/>
  <c r="BC16" i="22"/>
  <c r="AP16" i="22"/>
  <c r="BC15" i="22"/>
  <c r="AP15" i="22"/>
  <c r="BC14" i="22"/>
  <c r="AP14" i="22"/>
  <c r="BC13" i="22"/>
  <c r="AP13" i="22"/>
  <c r="BC12" i="22"/>
  <c r="AP12" i="22"/>
  <c r="BC11" i="22"/>
  <c r="AP11" i="22"/>
  <c r="BC10" i="22"/>
  <c r="AP10" i="22"/>
  <c r="BC9" i="22"/>
  <c r="AP9" i="22"/>
  <c r="BC8" i="22"/>
  <c r="AP8" i="22"/>
  <c r="BC7" i="22"/>
  <c r="AP7" i="22"/>
  <c r="BC6" i="22"/>
  <c r="AP6" i="22"/>
  <c r="BC5" i="22"/>
  <c r="AP5" i="22"/>
  <c r="BC4" i="22"/>
  <c r="AP4" i="22"/>
  <c r="BC3" i="22"/>
  <c r="AP3" i="22"/>
  <c r="BC2" i="22"/>
  <c r="AP2" i="22"/>
  <c r="AA12" i="12"/>
  <c r="AA13" i="12"/>
  <c r="AA14" i="12"/>
  <c r="AA15" i="12"/>
  <c r="AA16" i="12"/>
  <c r="AA17" i="12"/>
  <c r="AA18" i="12"/>
  <c r="AA19" i="12"/>
  <c r="AA20" i="12"/>
  <c r="AA21" i="12"/>
  <c r="AA22" i="12"/>
  <c r="AA23" i="12"/>
  <c r="AA24" i="12"/>
  <c r="AA25" i="12"/>
  <c r="AA26" i="12"/>
  <c r="AA27" i="12"/>
  <c r="AA28" i="12"/>
  <c r="AA29" i="12"/>
  <c r="AA30" i="12"/>
  <c r="AA31" i="12"/>
  <c r="AA32" i="12"/>
  <c r="AA33" i="12"/>
  <c r="AA34" i="12"/>
  <c r="AA35" i="12"/>
  <c r="AA36" i="12"/>
  <c r="AA37" i="12"/>
  <c r="AA38" i="12"/>
  <c r="AA39" i="12"/>
  <c r="AA40" i="12"/>
  <c r="AA41" i="12"/>
  <c r="AA42" i="12"/>
  <c r="AA43" i="12"/>
  <c r="AA44" i="12"/>
  <c r="AA45" i="12"/>
  <c r="AA46" i="12"/>
  <c r="AA47" i="12"/>
  <c r="AA48" i="12"/>
  <c r="AA49" i="12"/>
  <c r="AA50" i="12"/>
  <c r="AA51" i="12"/>
  <c r="AA52" i="12"/>
  <c r="AA53" i="12"/>
  <c r="AA54" i="12"/>
  <c r="AA55" i="12"/>
  <c r="AA56" i="12"/>
  <c r="AA57" i="12"/>
  <c r="AA58" i="12"/>
  <c r="AA59" i="12"/>
  <c r="AA60" i="12"/>
  <c r="AA61" i="12"/>
  <c r="AA62" i="12"/>
  <c r="AA63" i="12"/>
  <c r="AA64" i="12"/>
  <c r="AA65" i="12"/>
  <c r="AA66" i="12"/>
  <c r="AA67" i="12"/>
  <c r="AA68" i="12"/>
  <c r="AA69" i="12"/>
  <c r="AA70" i="12"/>
  <c r="AA71" i="12"/>
  <c r="AA72" i="12"/>
  <c r="AA73" i="12"/>
  <c r="AA74" i="12"/>
  <c r="AA75" i="12"/>
  <c r="AA76" i="12"/>
  <c r="AA77" i="12"/>
  <c r="AA78" i="12"/>
  <c r="AA79" i="12"/>
  <c r="AA80" i="12"/>
  <c r="AA81" i="12"/>
  <c r="AA82" i="12"/>
  <c r="AA83" i="12"/>
  <c r="AA84" i="12"/>
  <c r="AA85" i="12"/>
  <c r="AA86" i="12"/>
  <c r="AA87" i="12"/>
  <c r="AA88" i="12"/>
  <c r="AA89" i="12"/>
  <c r="AA90" i="12"/>
  <c r="AA91" i="12"/>
  <c r="AA92" i="12"/>
  <c r="AA93" i="12"/>
  <c r="AA94" i="12"/>
  <c r="AA95" i="12"/>
  <c r="AA96" i="12"/>
  <c r="AA97" i="12"/>
  <c r="AA98" i="12"/>
  <c r="AA99" i="12"/>
  <c r="AA100" i="12"/>
  <c r="AA101" i="12"/>
  <c r="AA102" i="12"/>
  <c r="AA103" i="12"/>
  <c r="AA104" i="12"/>
  <c r="AA105" i="12"/>
  <c r="AA106" i="12"/>
  <c r="AA107" i="12"/>
  <c r="AA108" i="12"/>
  <c r="AA109" i="12"/>
  <c r="AA110" i="12"/>
  <c r="AA111" i="12"/>
  <c r="AA112" i="12"/>
  <c r="AA113" i="12"/>
  <c r="AA114" i="12"/>
  <c r="AA115" i="12"/>
  <c r="AA116" i="12"/>
  <c r="AA117" i="12"/>
  <c r="AA118" i="12"/>
  <c r="AA119" i="12"/>
  <c r="AA120" i="12"/>
  <c r="AA121" i="12"/>
  <c r="AA122" i="12"/>
  <c r="AA123" i="12"/>
  <c r="AA124" i="12"/>
  <c r="AA125" i="12"/>
  <c r="AA126" i="12"/>
  <c r="AA127" i="12"/>
  <c r="AA128" i="12"/>
  <c r="AA129" i="12"/>
  <c r="AA130" i="12"/>
  <c r="AA131" i="12"/>
  <c r="AA132" i="12"/>
  <c r="AA133" i="12"/>
  <c r="AA134" i="12"/>
  <c r="AA135" i="12"/>
  <c r="AA136" i="12"/>
  <c r="AA137" i="12"/>
  <c r="AA138" i="12"/>
  <c r="AA139" i="12"/>
  <c r="AA140" i="12"/>
  <c r="AA141" i="12"/>
  <c r="AA142" i="12"/>
  <c r="AA143" i="12"/>
  <c r="AA144" i="12"/>
  <c r="AA145" i="12"/>
  <c r="AA146" i="12"/>
  <c r="AA147" i="12"/>
  <c r="AA148" i="12"/>
  <c r="AA149" i="12"/>
  <c r="AA150" i="12"/>
  <c r="AA151" i="12"/>
  <c r="AA152" i="12"/>
  <c r="AA153" i="12"/>
  <c r="AA154" i="12"/>
  <c r="AA155" i="12"/>
  <c r="AA156" i="12"/>
  <c r="AA157" i="12"/>
  <c r="AA158" i="12"/>
  <c r="AA159" i="12"/>
  <c r="AA160" i="12"/>
  <c r="AA161" i="12"/>
  <c r="AA162" i="12"/>
  <c r="AA163" i="12"/>
  <c r="AA164" i="12"/>
  <c r="AA165" i="12"/>
  <c r="AA166" i="12"/>
  <c r="AA167" i="12"/>
  <c r="AA168" i="12"/>
  <c r="AA169" i="12"/>
  <c r="AA170" i="12"/>
  <c r="AA171" i="12"/>
  <c r="AA172" i="12"/>
  <c r="AA173" i="12"/>
  <c r="AA174" i="12"/>
  <c r="AA175" i="12"/>
  <c r="AA176" i="12"/>
  <c r="AA177" i="12"/>
  <c r="AA178" i="12"/>
  <c r="AA179" i="12"/>
  <c r="AA180" i="12"/>
  <c r="AA181" i="12"/>
  <c r="AA182" i="12"/>
  <c r="AA183" i="12"/>
  <c r="AA184" i="12"/>
  <c r="AA185" i="12"/>
  <c r="AA186" i="12"/>
  <c r="AA187" i="12"/>
  <c r="AA188" i="12"/>
  <c r="AA189" i="12"/>
  <c r="AA190" i="12"/>
  <c r="AA191" i="12"/>
  <c r="AA192" i="12"/>
  <c r="AA193" i="12"/>
  <c r="AA194" i="12"/>
  <c r="AA195" i="12"/>
  <c r="AA196" i="12"/>
  <c r="AA197" i="12"/>
  <c r="AA198" i="12"/>
  <c r="AA199" i="12"/>
  <c r="AA200" i="12"/>
  <c r="AA201" i="12"/>
  <c r="AG12" i="12"/>
  <c r="AG13" i="12"/>
  <c r="AG14" i="12"/>
  <c r="AG15" i="12"/>
  <c r="AG16" i="12"/>
  <c r="AG17" i="12"/>
  <c r="AG18" i="12"/>
  <c r="AG19" i="12"/>
  <c r="AG20" i="12"/>
  <c r="AG21" i="12"/>
  <c r="AG22" i="12"/>
  <c r="AG23" i="12"/>
  <c r="AG24" i="12"/>
  <c r="AG25" i="12"/>
  <c r="AG26" i="12"/>
  <c r="AG27" i="12"/>
  <c r="AG28" i="12"/>
  <c r="AG29" i="12"/>
  <c r="AG30" i="12"/>
  <c r="AG31" i="12"/>
  <c r="AG32" i="12"/>
  <c r="AG33" i="12"/>
  <c r="AG34" i="12"/>
  <c r="AG35" i="12"/>
  <c r="AG36" i="12"/>
  <c r="AG37" i="12"/>
  <c r="AG38" i="12"/>
  <c r="AG39" i="12"/>
  <c r="AG40" i="12"/>
  <c r="AG41" i="12"/>
  <c r="AG42" i="12"/>
  <c r="AG43" i="12"/>
  <c r="AG44" i="12"/>
  <c r="AG45" i="12"/>
  <c r="AG46" i="12"/>
  <c r="AG47" i="12"/>
  <c r="AG48" i="12"/>
  <c r="AG49" i="12"/>
  <c r="AG50" i="12"/>
  <c r="AG51" i="12"/>
  <c r="AG52" i="12"/>
  <c r="AG53" i="12"/>
  <c r="AG54" i="12"/>
  <c r="AG55" i="12"/>
  <c r="AG56" i="12"/>
  <c r="AG57" i="12"/>
  <c r="AG58" i="12"/>
  <c r="AG59" i="12"/>
  <c r="AG60" i="12"/>
  <c r="AG61" i="12"/>
  <c r="AG62" i="12"/>
  <c r="AG63" i="12"/>
  <c r="AG64" i="12"/>
  <c r="AG65" i="12"/>
  <c r="AG66" i="12"/>
  <c r="AG67" i="12"/>
  <c r="AG68" i="12"/>
  <c r="AG69" i="12"/>
  <c r="AG70" i="12"/>
  <c r="AG71" i="12"/>
  <c r="AG72" i="12"/>
  <c r="AG73" i="12"/>
  <c r="AG74" i="12"/>
  <c r="AG75" i="12"/>
  <c r="AG76" i="12"/>
  <c r="AG77" i="12"/>
  <c r="AG78" i="12"/>
  <c r="AG79" i="12"/>
  <c r="AG80" i="12"/>
  <c r="AG81" i="12"/>
  <c r="AG82" i="12"/>
  <c r="AG83" i="12"/>
  <c r="AG84" i="12"/>
  <c r="AG85" i="12"/>
  <c r="AG86" i="12"/>
  <c r="AG87" i="12"/>
  <c r="AG88" i="12"/>
  <c r="AG89" i="12"/>
  <c r="AG90" i="12"/>
  <c r="AG91" i="12"/>
  <c r="AG92" i="12"/>
  <c r="AG93" i="12"/>
  <c r="AG94" i="12"/>
  <c r="AG95" i="12"/>
  <c r="AG96" i="12"/>
  <c r="AG97" i="12"/>
  <c r="AG98" i="12"/>
  <c r="AG99" i="12"/>
  <c r="AG100" i="12"/>
  <c r="AG101" i="12"/>
  <c r="AG102" i="12"/>
  <c r="AG103" i="12"/>
  <c r="AG104" i="12"/>
  <c r="AG105" i="12"/>
  <c r="AG106" i="12"/>
  <c r="AG107" i="12"/>
  <c r="AG108" i="12"/>
  <c r="AG109" i="12"/>
  <c r="AG110" i="12"/>
  <c r="AG111" i="12"/>
  <c r="AG112" i="12"/>
  <c r="AG113" i="12"/>
  <c r="AG114" i="12"/>
  <c r="AG115" i="12"/>
  <c r="AG116" i="12"/>
  <c r="AG117" i="12"/>
  <c r="AG118" i="12"/>
  <c r="AG119" i="12"/>
  <c r="AG120" i="12"/>
  <c r="AG121" i="12"/>
  <c r="AG122" i="12"/>
  <c r="AG123" i="12"/>
  <c r="AG124" i="12"/>
  <c r="AG125" i="12"/>
  <c r="AG126" i="12"/>
  <c r="AG127" i="12"/>
  <c r="AG128" i="12"/>
  <c r="AG129" i="12"/>
  <c r="AG130" i="12"/>
  <c r="AG131" i="12"/>
  <c r="AG132" i="12"/>
  <c r="AG133" i="12"/>
  <c r="AG134" i="12"/>
  <c r="AG135" i="12"/>
  <c r="AG136" i="12"/>
  <c r="AG137" i="12"/>
  <c r="AG138" i="12"/>
  <c r="AG139" i="12"/>
  <c r="AG140" i="12"/>
  <c r="AG141" i="12"/>
  <c r="AG142" i="12"/>
  <c r="AG143" i="12"/>
  <c r="AG144" i="12"/>
  <c r="AG145" i="12"/>
  <c r="AG146" i="12"/>
  <c r="AG147" i="12"/>
  <c r="AG148" i="12"/>
  <c r="AG149" i="12"/>
  <c r="AG150" i="12"/>
  <c r="AG151" i="12"/>
  <c r="AG152" i="12"/>
  <c r="AG153" i="12"/>
  <c r="AG154" i="12"/>
  <c r="AG155" i="12"/>
  <c r="AG156" i="12"/>
  <c r="AG157" i="12"/>
  <c r="AG158" i="12"/>
  <c r="AG159" i="12"/>
  <c r="AG160" i="12"/>
  <c r="AG161" i="12"/>
  <c r="AG162" i="12"/>
  <c r="AG163" i="12"/>
  <c r="AG164" i="12"/>
  <c r="AG165" i="12"/>
  <c r="AG166" i="12"/>
  <c r="AG167" i="12"/>
  <c r="AG168" i="12"/>
  <c r="AG169" i="12"/>
  <c r="AG170" i="12"/>
  <c r="AG171" i="12"/>
  <c r="AG172" i="12"/>
  <c r="AG173" i="12"/>
  <c r="AG174" i="12"/>
  <c r="AG175" i="12"/>
  <c r="AG176" i="12"/>
  <c r="AG177" i="12"/>
  <c r="AG178" i="12"/>
  <c r="AG179" i="12"/>
  <c r="AG180" i="12"/>
  <c r="AG181" i="12"/>
  <c r="AG182" i="12"/>
  <c r="AG183" i="12"/>
  <c r="AG184" i="12"/>
  <c r="AG185" i="12"/>
  <c r="AG186" i="12"/>
  <c r="AG187" i="12"/>
  <c r="AG188" i="12"/>
  <c r="AG189" i="12"/>
  <c r="AG190" i="12"/>
  <c r="AG191" i="12"/>
  <c r="AG192" i="12"/>
  <c r="AG193" i="12"/>
  <c r="AG194" i="12"/>
  <c r="AG195" i="12"/>
  <c r="AG196" i="12"/>
  <c r="AG197" i="12"/>
  <c r="AG198" i="12"/>
  <c r="AG199" i="12"/>
  <c r="AG200" i="12"/>
  <c r="AG201" i="12"/>
  <c r="AG11" i="12"/>
  <c r="DL201" i="17"/>
  <c r="DD6" i="17"/>
  <c r="DD7" i="17"/>
  <c r="DD8" i="17"/>
  <c r="DD9" i="17"/>
  <c r="DD10" i="17"/>
  <c r="DD11" i="17"/>
  <c r="DD12" i="17"/>
  <c r="DD13" i="17"/>
  <c r="DD14" i="17"/>
  <c r="DD15" i="17"/>
  <c r="DD16" i="17"/>
  <c r="DD17" i="17"/>
  <c r="DD18" i="17"/>
  <c r="DD19" i="17"/>
  <c r="DD20" i="17"/>
  <c r="DD21" i="17"/>
  <c r="DD22" i="17"/>
  <c r="DD23" i="17"/>
  <c r="DD24" i="17"/>
  <c r="DD25" i="17"/>
  <c r="DD26" i="17"/>
  <c r="DD27" i="17"/>
  <c r="DD28" i="17"/>
  <c r="DD29" i="17"/>
  <c r="DD30" i="17"/>
  <c r="DD31" i="17"/>
  <c r="DD32" i="17"/>
  <c r="DD33" i="17"/>
  <c r="DD34" i="17"/>
  <c r="DD35" i="17"/>
  <c r="DD36" i="17"/>
  <c r="DD37" i="17"/>
  <c r="DD38" i="17"/>
  <c r="DD39" i="17"/>
  <c r="DD40" i="17"/>
  <c r="DD41" i="17"/>
  <c r="DD42" i="17"/>
  <c r="DD43" i="17"/>
  <c r="DD44" i="17"/>
  <c r="DD45" i="17"/>
  <c r="DD46" i="17"/>
  <c r="DD47" i="17"/>
  <c r="DD48" i="17"/>
  <c r="DD49" i="17"/>
  <c r="DD50" i="17"/>
  <c r="DD51" i="17"/>
  <c r="DD52" i="17"/>
  <c r="DD53" i="17"/>
  <c r="DD54" i="17"/>
  <c r="DD55" i="17"/>
  <c r="DD56" i="17"/>
  <c r="DD57" i="17"/>
  <c r="DD58" i="17"/>
  <c r="DD59" i="17"/>
  <c r="DD60" i="17"/>
  <c r="DD61" i="17"/>
  <c r="DD62" i="17"/>
  <c r="DD63" i="17"/>
  <c r="DD64" i="17"/>
  <c r="DD65" i="17"/>
  <c r="DD66" i="17"/>
  <c r="DD67" i="17"/>
  <c r="DD68" i="17"/>
  <c r="DD69" i="17"/>
  <c r="DD70" i="17"/>
  <c r="DD71" i="17"/>
  <c r="DD72" i="17"/>
  <c r="DD73" i="17"/>
  <c r="DD74" i="17"/>
  <c r="DD75" i="17"/>
  <c r="DD76" i="17"/>
  <c r="DD77" i="17"/>
  <c r="DD78" i="17"/>
  <c r="DD79" i="17"/>
  <c r="DD80" i="17"/>
  <c r="DD81" i="17"/>
  <c r="DD82" i="17"/>
  <c r="DD83" i="17"/>
  <c r="DD84" i="17"/>
  <c r="DD85" i="17"/>
  <c r="DD86" i="17"/>
  <c r="DD87" i="17"/>
  <c r="DD88" i="17"/>
  <c r="DD89" i="17"/>
  <c r="DD90" i="17"/>
  <c r="DD91" i="17"/>
  <c r="DD92" i="17"/>
  <c r="DD93" i="17"/>
  <c r="DD94" i="17"/>
  <c r="DD95" i="17"/>
  <c r="DD96" i="17"/>
  <c r="DD97" i="17"/>
  <c r="DD98" i="17"/>
  <c r="DD99" i="17"/>
  <c r="DD100" i="17"/>
  <c r="DD101" i="17"/>
  <c r="DD102" i="17"/>
  <c r="DD103" i="17"/>
  <c r="DD104" i="17"/>
  <c r="DD105" i="17"/>
  <c r="DD106" i="17"/>
  <c r="DD107" i="17"/>
  <c r="DD108" i="17"/>
  <c r="DD109" i="17"/>
  <c r="DD110" i="17"/>
  <c r="DD111" i="17"/>
  <c r="DD112" i="17"/>
  <c r="DD113" i="17"/>
  <c r="DD114" i="17"/>
  <c r="DD115" i="17"/>
  <c r="DD116" i="17"/>
  <c r="DD117" i="17"/>
  <c r="DD118" i="17"/>
  <c r="DD119" i="17"/>
  <c r="DD120" i="17"/>
  <c r="DD121" i="17"/>
  <c r="DD122" i="17"/>
  <c r="DD123" i="17"/>
  <c r="DD124" i="17"/>
  <c r="DD125" i="17"/>
  <c r="DD126" i="17"/>
  <c r="DD127" i="17"/>
  <c r="DD128" i="17"/>
  <c r="DD129" i="17"/>
  <c r="DD130" i="17"/>
  <c r="DD131" i="17"/>
  <c r="DD132" i="17"/>
  <c r="DD133" i="17"/>
  <c r="DD134" i="17"/>
  <c r="DD135" i="17"/>
  <c r="DD136" i="17"/>
  <c r="DD137" i="17"/>
  <c r="DD138" i="17"/>
  <c r="DD139" i="17"/>
  <c r="DD140" i="17"/>
  <c r="DD141" i="17"/>
  <c r="DD142" i="17"/>
  <c r="DD143" i="17"/>
  <c r="DD144" i="17"/>
  <c r="DD145" i="17"/>
  <c r="DD146" i="17"/>
  <c r="DD147" i="17"/>
  <c r="DD148" i="17"/>
  <c r="DD149" i="17"/>
  <c r="DD150" i="17"/>
  <c r="DD151" i="17"/>
  <c r="DD152" i="17"/>
  <c r="DD153" i="17"/>
  <c r="DD154" i="17"/>
  <c r="DD155" i="17"/>
  <c r="DD156" i="17"/>
  <c r="DD157" i="17"/>
  <c r="DD158" i="17"/>
  <c r="DD159" i="17"/>
  <c r="DD160" i="17"/>
  <c r="DD161" i="17"/>
  <c r="DD162" i="17"/>
  <c r="DD163" i="17"/>
  <c r="DD164" i="17"/>
  <c r="DD165" i="17"/>
  <c r="DD166" i="17"/>
  <c r="DD167" i="17"/>
  <c r="DD168" i="17"/>
  <c r="DD169" i="17"/>
  <c r="DD170" i="17"/>
  <c r="DD171" i="17"/>
  <c r="DD172" i="17"/>
  <c r="DD173" i="17"/>
  <c r="DD174" i="17"/>
  <c r="DD175" i="17"/>
  <c r="DD176" i="17"/>
  <c r="DD177" i="17"/>
  <c r="DD178" i="17"/>
  <c r="DD179" i="17"/>
  <c r="DD180" i="17"/>
  <c r="DD181" i="17"/>
  <c r="DD182" i="17"/>
  <c r="DD183" i="17"/>
  <c r="DD184" i="17"/>
  <c r="DD185" i="17"/>
  <c r="DD186" i="17"/>
  <c r="DD187" i="17"/>
  <c r="DD188" i="17"/>
  <c r="DD189" i="17"/>
  <c r="DD190" i="17"/>
  <c r="DD191" i="17"/>
  <c r="DD192" i="17"/>
  <c r="DD193" i="17"/>
  <c r="DD194" i="17"/>
  <c r="DD195" i="17"/>
  <c r="DD196" i="17"/>
  <c r="DD197" i="17"/>
  <c r="DD198" i="17"/>
  <c r="DD199" i="17"/>
  <c r="DD200" i="17"/>
  <c r="DD5" i="17"/>
  <c r="CY6" i="17"/>
  <c r="CZ6" i="17"/>
  <c r="CZ7" i="17"/>
  <c r="CY8" i="17"/>
  <c r="CZ8" i="17"/>
  <c r="CY9" i="17"/>
  <c r="CZ9" i="17"/>
  <c r="CY10" i="17"/>
  <c r="CZ10" i="17"/>
  <c r="CY11" i="17"/>
  <c r="CZ11" i="17"/>
  <c r="CY12" i="17"/>
  <c r="CZ12" i="17"/>
  <c r="CY13" i="17"/>
  <c r="CZ13" i="17"/>
  <c r="CY14" i="17"/>
  <c r="CZ14" i="17"/>
  <c r="CY15" i="17"/>
  <c r="CZ15" i="17"/>
  <c r="CY16" i="17"/>
  <c r="CZ16" i="17"/>
  <c r="CY17" i="17"/>
  <c r="CZ17" i="17"/>
  <c r="CY18" i="17"/>
  <c r="CZ18" i="17"/>
  <c r="CY19" i="17"/>
  <c r="CZ19" i="17"/>
  <c r="CY20" i="17"/>
  <c r="CZ20" i="17"/>
  <c r="CY21" i="17"/>
  <c r="CZ21" i="17"/>
  <c r="CY22" i="17"/>
  <c r="CZ22" i="17"/>
  <c r="CY23" i="17"/>
  <c r="CZ23" i="17"/>
  <c r="CY24" i="17"/>
  <c r="CZ24" i="17"/>
  <c r="CY25" i="17"/>
  <c r="CZ25" i="17"/>
  <c r="CY26" i="17"/>
  <c r="CZ26" i="17"/>
  <c r="CY27" i="17"/>
  <c r="CZ27" i="17"/>
  <c r="CY28" i="17"/>
  <c r="CZ28" i="17"/>
  <c r="CY29" i="17"/>
  <c r="CZ29" i="17"/>
  <c r="CY30" i="17"/>
  <c r="CZ30" i="17"/>
  <c r="CY31" i="17"/>
  <c r="CZ31" i="17"/>
  <c r="CY32" i="17"/>
  <c r="CZ32" i="17"/>
  <c r="CY33" i="17"/>
  <c r="CZ33" i="17"/>
  <c r="CY34" i="17"/>
  <c r="CZ34" i="17"/>
  <c r="CY35" i="17"/>
  <c r="CZ35" i="17"/>
  <c r="CY36" i="17"/>
  <c r="CZ36" i="17"/>
  <c r="CY37" i="17"/>
  <c r="CZ37" i="17"/>
  <c r="CY38" i="17"/>
  <c r="CZ38" i="17"/>
  <c r="CY39" i="17"/>
  <c r="CZ39" i="17"/>
  <c r="CY40" i="17"/>
  <c r="CZ40" i="17"/>
  <c r="CY41" i="17"/>
  <c r="CZ41" i="17"/>
  <c r="CY42" i="17"/>
  <c r="CZ42" i="17"/>
  <c r="CY43" i="17"/>
  <c r="CZ43" i="17"/>
  <c r="CY44" i="17"/>
  <c r="CZ44" i="17"/>
  <c r="CY45" i="17"/>
  <c r="CZ45" i="17"/>
  <c r="CY46" i="17"/>
  <c r="CZ46" i="17"/>
  <c r="CY47" i="17"/>
  <c r="CZ47" i="17"/>
  <c r="CY48" i="17"/>
  <c r="CZ48" i="17"/>
  <c r="CY49" i="17"/>
  <c r="CZ49" i="17"/>
  <c r="CY50" i="17"/>
  <c r="CZ50" i="17"/>
  <c r="CY51" i="17"/>
  <c r="CZ51" i="17"/>
  <c r="CY52" i="17"/>
  <c r="CZ52" i="17"/>
  <c r="CY53" i="17"/>
  <c r="CZ53" i="17"/>
  <c r="CY54" i="17"/>
  <c r="CZ54" i="17"/>
  <c r="CY55" i="17"/>
  <c r="CZ55" i="17"/>
  <c r="CY56" i="17"/>
  <c r="CZ56" i="17"/>
  <c r="CY57" i="17"/>
  <c r="CZ57" i="17"/>
  <c r="CY58" i="17"/>
  <c r="CZ58" i="17"/>
  <c r="CY59" i="17"/>
  <c r="CZ59" i="17"/>
  <c r="CY60" i="17"/>
  <c r="CZ60" i="17"/>
  <c r="CY61" i="17"/>
  <c r="CZ61" i="17"/>
  <c r="CY62" i="17"/>
  <c r="CZ62" i="17"/>
  <c r="CY63" i="17"/>
  <c r="CZ63" i="17"/>
  <c r="CY64" i="17"/>
  <c r="CZ64" i="17"/>
  <c r="CY65" i="17"/>
  <c r="CZ65" i="17"/>
  <c r="CY66" i="17"/>
  <c r="CZ66" i="17"/>
  <c r="CY67" i="17"/>
  <c r="CZ67" i="17"/>
  <c r="CY68" i="17"/>
  <c r="CZ68" i="17"/>
  <c r="CY69" i="17"/>
  <c r="CZ69" i="17"/>
  <c r="CY70" i="17"/>
  <c r="CZ70" i="17"/>
  <c r="CY71" i="17"/>
  <c r="CZ71" i="17"/>
  <c r="CY72" i="17"/>
  <c r="CZ72" i="17"/>
  <c r="CY73" i="17"/>
  <c r="CZ73" i="17"/>
  <c r="CY74" i="17"/>
  <c r="CZ74" i="17"/>
  <c r="CY75" i="17"/>
  <c r="CZ75" i="17"/>
  <c r="CY76" i="17"/>
  <c r="CZ76" i="17"/>
  <c r="CY77" i="17"/>
  <c r="CZ77" i="17"/>
  <c r="CY78" i="17"/>
  <c r="CZ78" i="17"/>
  <c r="CY79" i="17"/>
  <c r="CZ79" i="17"/>
  <c r="CY80" i="17"/>
  <c r="CZ80" i="17"/>
  <c r="CY81" i="17"/>
  <c r="CZ81" i="17"/>
  <c r="CY82" i="17"/>
  <c r="CZ82" i="17"/>
  <c r="CY83" i="17"/>
  <c r="CZ83" i="17"/>
  <c r="CY84" i="17"/>
  <c r="CZ84" i="17"/>
  <c r="CY85" i="17"/>
  <c r="CZ85" i="17"/>
  <c r="CY86" i="17"/>
  <c r="CZ86" i="17"/>
  <c r="CY87" i="17"/>
  <c r="CZ87" i="17"/>
  <c r="CY88" i="17"/>
  <c r="CZ88" i="17"/>
  <c r="CY89" i="17"/>
  <c r="CZ89" i="17"/>
  <c r="CY90" i="17"/>
  <c r="CZ90" i="17"/>
  <c r="CY91" i="17"/>
  <c r="CZ91" i="17"/>
  <c r="CY92" i="17"/>
  <c r="CZ92" i="17"/>
  <c r="CY93" i="17"/>
  <c r="CZ93" i="17"/>
  <c r="CY94" i="17"/>
  <c r="CZ94" i="17"/>
  <c r="CY95" i="17"/>
  <c r="CZ95" i="17"/>
  <c r="CY96" i="17"/>
  <c r="CZ96" i="17"/>
  <c r="CY97" i="17"/>
  <c r="CZ97" i="17"/>
  <c r="CY98" i="17"/>
  <c r="CZ98" i="17"/>
  <c r="CY99" i="17"/>
  <c r="CZ99" i="17"/>
  <c r="CY100" i="17"/>
  <c r="CZ100" i="17"/>
  <c r="CY101" i="17"/>
  <c r="CZ101" i="17"/>
  <c r="CY102" i="17"/>
  <c r="CZ102" i="17"/>
  <c r="CY103" i="17"/>
  <c r="CZ103" i="17"/>
  <c r="CY104" i="17"/>
  <c r="CZ104" i="17"/>
  <c r="CY105" i="17"/>
  <c r="CZ105" i="17"/>
  <c r="CY106" i="17"/>
  <c r="CZ106" i="17"/>
  <c r="CY107" i="17"/>
  <c r="CZ107" i="17"/>
  <c r="CY108" i="17"/>
  <c r="CZ108" i="17"/>
  <c r="CY109" i="17"/>
  <c r="CZ109" i="17"/>
  <c r="CY110" i="17"/>
  <c r="CZ110" i="17"/>
  <c r="CY111" i="17"/>
  <c r="CZ111" i="17"/>
  <c r="CY112" i="17"/>
  <c r="CZ112" i="17"/>
  <c r="CY113" i="17"/>
  <c r="CZ113" i="17"/>
  <c r="CY114" i="17"/>
  <c r="CZ114" i="17"/>
  <c r="CY115" i="17"/>
  <c r="CZ115" i="17"/>
  <c r="CY116" i="17"/>
  <c r="CZ116" i="17"/>
  <c r="CY117" i="17"/>
  <c r="CZ117" i="17"/>
  <c r="CY118" i="17"/>
  <c r="CZ118" i="17"/>
  <c r="CY119" i="17"/>
  <c r="CZ119" i="17"/>
  <c r="CY120" i="17"/>
  <c r="CZ120" i="17"/>
  <c r="CY121" i="17"/>
  <c r="CZ121" i="17"/>
  <c r="CY122" i="17"/>
  <c r="CZ122" i="17"/>
  <c r="CY123" i="17"/>
  <c r="CZ123" i="17"/>
  <c r="CY124" i="17"/>
  <c r="CZ124" i="17"/>
  <c r="CY125" i="17"/>
  <c r="CZ125" i="17"/>
  <c r="CY126" i="17"/>
  <c r="CZ126" i="17"/>
  <c r="CY127" i="17"/>
  <c r="CZ127" i="17"/>
  <c r="CY128" i="17"/>
  <c r="CZ128" i="17"/>
  <c r="CY129" i="17"/>
  <c r="CZ129" i="17"/>
  <c r="CY130" i="17"/>
  <c r="CZ130" i="17"/>
  <c r="CY131" i="17"/>
  <c r="CZ131" i="17"/>
  <c r="CY132" i="17"/>
  <c r="CZ132" i="17"/>
  <c r="CY133" i="17"/>
  <c r="CZ133" i="17"/>
  <c r="CY134" i="17"/>
  <c r="CZ134" i="17"/>
  <c r="CY135" i="17"/>
  <c r="CZ135" i="17"/>
  <c r="CY136" i="17"/>
  <c r="CZ136" i="17"/>
  <c r="CY137" i="17"/>
  <c r="CZ137" i="17"/>
  <c r="CY138" i="17"/>
  <c r="CZ138" i="17"/>
  <c r="CY139" i="17"/>
  <c r="CZ139" i="17"/>
  <c r="CY140" i="17"/>
  <c r="CZ140" i="17"/>
  <c r="CY141" i="17"/>
  <c r="CZ141" i="17"/>
  <c r="CY142" i="17"/>
  <c r="CZ142" i="17"/>
  <c r="CY143" i="17"/>
  <c r="CZ143" i="17"/>
  <c r="CY144" i="17"/>
  <c r="CZ144" i="17"/>
  <c r="CY145" i="17"/>
  <c r="CZ145" i="17"/>
  <c r="CY146" i="17"/>
  <c r="CZ146" i="17"/>
  <c r="CY147" i="17"/>
  <c r="CZ147" i="17"/>
  <c r="CY148" i="17"/>
  <c r="CZ148" i="17"/>
  <c r="CY149" i="17"/>
  <c r="CZ149" i="17"/>
  <c r="CY150" i="17"/>
  <c r="CZ150" i="17"/>
  <c r="CY151" i="17"/>
  <c r="CZ151" i="17"/>
  <c r="CY152" i="17"/>
  <c r="CZ152" i="17"/>
  <c r="CY153" i="17"/>
  <c r="CZ153" i="17"/>
  <c r="CY154" i="17"/>
  <c r="CZ154" i="17"/>
  <c r="CY155" i="17"/>
  <c r="CZ155" i="17"/>
  <c r="CY156" i="17"/>
  <c r="CZ156" i="17"/>
  <c r="CY157" i="17"/>
  <c r="CZ157" i="17"/>
  <c r="CY158" i="17"/>
  <c r="CZ158" i="17"/>
  <c r="CY159" i="17"/>
  <c r="CZ159" i="17"/>
  <c r="CY160" i="17"/>
  <c r="CZ160" i="17"/>
  <c r="CY161" i="17"/>
  <c r="CZ161" i="17"/>
  <c r="CY162" i="17"/>
  <c r="CZ162" i="17"/>
  <c r="CY163" i="17"/>
  <c r="CZ163" i="17"/>
  <c r="CY164" i="17"/>
  <c r="CZ164" i="17"/>
  <c r="CY165" i="17"/>
  <c r="CZ165" i="17"/>
  <c r="CY166" i="17"/>
  <c r="CZ166" i="17"/>
  <c r="CY167" i="17"/>
  <c r="CZ167" i="17"/>
  <c r="CY168" i="17"/>
  <c r="CZ168" i="17"/>
  <c r="CY169" i="17"/>
  <c r="CZ169" i="17"/>
  <c r="CY170" i="17"/>
  <c r="CZ170" i="17"/>
  <c r="CY171" i="17"/>
  <c r="CZ171" i="17"/>
  <c r="CY172" i="17"/>
  <c r="CZ172" i="17"/>
  <c r="CY173" i="17"/>
  <c r="CZ173" i="17"/>
  <c r="CY174" i="17"/>
  <c r="CZ174" i="17"/>
  <c r="CY175" i="17"/>
  <c r="CZ175" i="17"/>
  <c r="CY176" i="17"/>
  <c r="CZ176" i="17"/>
  <c r="CY177" i="17"/>
  <c r="CZ177" i="17"/>
  <c r="CY178" i="17"/>
  <c r="CZ178" i="17"/>
  <c r="CY179" i="17"/>
  <c r="CZ179" i="17"/>
  <c r="CY180" i="17"/>
  <c r="CZ180" i="17"/>
  <c r="CY181" i="17"/>
  <c r="CZ181" i="17"/>
  <c r="CY182" i="17"/>
  <c r="CZ182" i="17"/>
  <c r="CY183" i="17"/>
  <c r="CZ183" i="17"/>
  <c r="CY184" i="17"/>
  <c r="CZ184" i="17"/>
  <c r="CY185" i="17"/>
  <c r="CZ185" i="17"/>
  <c r="CY186" i="17"/>
  <c r="CZ186" i="17"/>
  <c r="CY187" i="17"/>
  <c r="CZ187" i="17"/>
  <c r="CY188" i="17"/>
  <c r="CZ188" i="17"/>
  <c r="CY189" i="17"/>
  <c r="CZ189" i="17"/>
  <c r="CY190" i="17"/>
  <c r="CZ190" i="17"/>
  <c r="CY191" i="17"/>
  <c r="CZ191" i="17"/>
  <c r="CY192" i="17"/>
  <c r="CZ192" i="17"/>
  <c r="CY193" i="17"/>
  <c r="CZ193" i="17"/>
  <c r="CY194" i="17"/>
  <c r="CZ194" i="17"/>
  <c r="CY195" i="17"/>
  <c r="CZ195" i="17"/>
  <c r="CY196" i="17"/>
  <c r="CZ196" i="17"/>
  <c r="CY197" i="17"/>
  <c r="CZ197" i="17"/>
  <c r="CY198" i="17"/>
  <c r="CZ198" i="17"/>
  <c r="CY199" i="17"/>
  <c r="CZ199" i="17"/>
  <c r="CY200" i="17"/>
  <c r="CZ200" i="17"/>
  <c r="DE6" i="17"/>
  <c r="DE7" i="17"/>
  <c r="DE8" i="17"/>
  <c r="DE9" i="17"/>
  <c r="DE10" i="17"/>
  <c r="DE11" i="17"/>
  <c r="DE12" i="17"/>
  <c r="DE13" i="17"/>
  <c r="DE14" i="17"/>
  <c r="DE15" i="17"/>
  <c r="DE16" i="17"/>
  <c r="DE17" i="17"/>
  <c r="DE18" i="17"/>
  <c r="DE19" i="17"/>
  <c r="DE20" i="17"/>
  <c r="DE21" i="17"/>
  <c r="DE22" i="17"/>
  <c r="DE23" i="17"/>
  <c r="DE24" i="17"/>
  <c r="DE25" i="17"/>
  <c r="DE26" i="17"/>
  <c r="DE27" i="17"/>
  <c r="DE28" i="17"/>
  <c r="DE29" i="17"/>
  <c r="DE30" i="17"/>
  <c r="DE31" i="17"/>
  <c r="DE32" i="17"/>
  <c r="DE33" i="17"/>
  <c r="DE34" i="17"/>
  <c r="DE35" i="17"/>
  <c r="DE36" i="17"/>
  <c r="DE37" i="17"/>
  <c r="DE38" i="17"/>
  <c r="DE39" i="17"/>
  <c r="DE40" i="17"/>
  <c r="DE41" i="17"/>
  <c r="DE42" i="17"/>
  <c r="DE43" i="17"/>
  <c r="DE44" i="17"/>
  <c r="DE45" i="17"/>
  <c r="DE46" i="17"/>
  <c r="DE47" i="17"/>
  <c r="DE48" i="17"/>
  <c r="DE49" i="17"/>
  <c r="DE50" i="17"/>
  <c r="DE51" i="17"/>
  <c r="DE52" i="17"/>
  <c r="DE53" i="17"/>
  <c r="DE54" i="17"/>
  <c r="DE55" i="17"/>
  <c r="DE56" i="17"/>
  <c r="DE57" i="17"/>
  <c r="DE58" i="17"/>
  <c r="DE59" i="17"/>
  <c r="DE60" i="17"/>
  <c r="DE61" i="17"/>
  <c r="DE62" i="17"/>
  <c r="DE63" i="17"/>
  <c r="DE64" i="17"/>
  <c r="DE65" i="17"/>
  <c r="DE66" i="17"/>
  <c r="DE67" i="17"/>
  <c r="DE68" i="17"/>
  <c r="DE69" i="17"/>
  <c r="DE70" i="17"/>
  <c r="DE71" i="17"/>
  <c r="DE72" i="17"/>
  <c r="DE73" i="17"/>
  <c r="DE74" i="17"/>
  <c r="DE75" i="17"/>
  <c r="DE76" i="17"/>
  <c r="DE77" i="17"/>
  <c r="DE78" i="17"/>
  <c r="DE79" i="17"/>
  <c r="DE80" i="17"/>
  <c r="DE81" i="17"/>
  <c r="DE82" i="17"/>
  <c r="DE83" i="17"/>
  <c r="DE84" i="17"/>
  <c r="DE85" i="17"/>
  <c r="DE86" i="17"/>
  <c r="DE87" i="17"/>
  <c r="DE88" i="17"/>
  <c r="DE89" i="17"/>
  <c r="DE90" i="17"/>
  <c r="DE91" i="17"/>
  <c r="DE92" i="17"/>
  <c r="DE93" i="17"/>
  <c r="DE94" i="17"/>
  <c r="DE95" i="17"/>
  <c r="DE96" i="17"/>
  <c r="DE97" i="17"/>
  <c r="DE98" i="17"/>
  <c r="DE99" i="17"/>
  <c r="DE100" i="17"/>
  <c r="DE101" i="17"/>
  <c r="DE102" i="17"/>
  <c r="DE103" i="17"/>
  <c r="DE104" i="17"/>
  <c r="DE105" i="17"/>
  <c r="DE106" i="17"/>
  <c r="DE107" i="17"/>
  <c r="DE108" i="17"/>
  <c r="DE109" i="17"/>
  <c r="DE110" i="17"/>
  <c r="DE111" i="17"/>
  <c r="DE112" i="17"/>
  <c r="DE113" i="17"/>
  <c r="DE114" i="17"/>
  <c r="DE115" i="17"/>
  <c r="DE116" i="17"/>
  <c r="DE117" i="17"/>
  <c r="DE118" i="17"/>
  <c r="DE119" i="17"/>
  <c r="DE120" i="17"/>
  <c r="DE121" i="17"/>
  <c r="DE122" i="17"/>
  <c r="DE123" i="17"/>
  <c r="DE124" i="17"/>
  <c r="DE125" i="17"/>
  <c r="DE126" i="17"/>
  <c r="DE127" i="17"/>
  <c r="DE128" i="17"/>
  <c r="DE129" i="17"/>
  <c r="DE130" i="17"/>
  <c r="DE131" i="17"/>
  <c r="DE132" i="17"/>
  <c r="DE133" i="17"/>
  <c r="DE134" i="17"/>
  <c r="DE135" i="17"/>
  <c r="DE136" i="17"/>
  <c r="DE137" i="17"/>
  <c r="DE138" i="17"/>
  <c r="DE139" i="17"/>
  <c r="DE140" i="17"/>
  <c r="DE141" i="17"/>
  <c r="DE142" i="17"/>
  <c r="DE143" i="17"/>
  <c r="DE144" i="17"/>
  <c r="DE145" i="17"/>
  <c r="DE146" i="17"/>
  <c r="DE147" i="17"/>
  <c r="DE148" i="17"/>
  <c r="DE149" i="17"/>
  <c r="DE150" i="17"/>
  <c r="DE151" i="17"/>
  <c r="DE152" i="17"/>
  <c r="DE153" i="17"/>
  <c r="DE154" i="17"/>
  <c r="DE155" i="17"/>
  <c r="DE156" i="17"/>
  <c r="DE157" i="17"/>
  <c r="DE158" i="17"/>
  <c r="DE159" i="17"/>
  <c r="DE160" i="17"/>
  <c r="DE161" i="17"/>
  <c r="DE162" i="17"/>
  <c r="DE163" i="17"/>
  <c r="DE164" i="17"/>
  <c r="DE165" i="17"/>
  <c r="DE166" i="17"/>
  <c r="DE167" i="17"/>
  <c r="DE168" i="17"/>
  <c r="DE169" i="17"/>
  <c r="DE170" i="17"/>
  <c r="DE171" i="17"/>
  <c r="DE172" i="17"/>
  <c r="DE173" i="17"/>
  <c r="DE174" i="17"/>
  <c r="DE175" i="17"/>
  <c r="DE176" i="17"/>
  <c r="DE177" i="17"/>
  <c r="DE178" i="17"/>
  <c r="DE179" i="17"/>
  <c r="DE180" i="17"/>
  <c r="DE181" i="17"/>
  <c r="DE182" i="17"/>
  <c r="DE183" i="17"/>
  <c r="DE184" i="17"/>
  <c r="DE185" i="17"/>
  <c r="DE186" i="17"/>
  <c r="DE187" i="17"/>
  <c r="DE188" i="17"/>
  <c r="DE189" i="17"/>
  <c r="DE190" i="17"/>
  <c r="DE191" i="17"/>
  <c r="DE192" i="17"/>
  <c r="DE193" i="17"/>
  <c r="DE194" i="17"/>
  <c r="DE195" i="17"/>
  <c r="DE196" i="17"/>
  <c r="DE197" i="17"/>
  <c r="DE198" i="17"/>
  <c r="DE199" i="17"/>
  <c r="DE200" i="17"/>
  <c r="DE5" i="17"/>
  <c r="CZ5" i="17"/>
  <c r="DC6" i="17"/>
  <c r="DF6" i="17"/>
  <c r="DG6" i="17"/>
  <c r="DH6" i="17"/>
  <c r="DI6" i="17"/>
  <c r="DJ6" i="17"/>
  <c r="DK6" i="17"/>
  <c r="DM6" i="17"/>
  <c r="DC7" i="17"/>
  <c r="DF7" i="17"/>
  <c r="DG7" i="17"/>
  <c r="DH7" i="17"/>
  <c r="DI7" i="17"/>
  <c r="DJ7" i="17"/>
  <c r="DK7" i="17"/>
  <c r="DM7" i="17"/>
  <c r="DC8" i="17"/>
  <c r="DF8" i="17"/>
  <c r="DG8" i="17"/>
  <c r="DH8" i="17"/>
  <c r="DI8" i="17"/>
  <c r="DJ8" i="17"/>
  <c r="DK8" i="17"/>
  <c r="DM8" i="17"/>
  <c r="DC9" i="17"/>
  <c r="DF9" i="17"/>
  <c r="DG9" i="17"/>
  <c r="DH9" i="17"/>
  <c r="DI9" i="17"/>
  <c r="DJ9" i="17"/>
  <c r="DK9" i="17"/>
  <c r="DM9" i="17"/>
  <c r="DC10" i="17"/>
  <c r="DF10" i="17"/>
  <c r="DG10" i="17"/>
  <c r="DH10" i="17"/>
  <c r="DI10" i="17"/>
  <c r="DJ10" i="17"/>
  <c r="DK10" i="17"/>
  <c r="DM10" i="17"/>
  <c r="DC11" i="17"/>
  <c r="DF11" i="17"/>
  <c r="DG11" i="17"/>
  <c r="DH11" i="17"/>
  <c r="DI11" i="17"/>
  <c r="DJ11" i="17"/>
  <c r="DK11" i="17"/>
  <c r="DM11" i="17"/>
  <c r="DC12" i="17"/>
  <c r="DF12" i="17"/>
  <c r="DG12" i="17"/>
  <c r="DH12" i="17"/>
  <c r="DI12" i="17"/>
  <c r="DJ12" i="17"/>
  <c r="DK12" i="17"/>
  <c r="DM12" i="17"/>
  <c r="DC13" i="17"/>
  <c r="DF13" i="17"/>
  <c r="DG13" i="17"/>
  <c r="DH13" i="17"/>
  <c r="DI13" i="17"/>
  <c r="DJ13" i="17"/>
  <c r="DK13" i="17"/>
  <c r="DM13" i="17"/>
  <c r="DC14" i="17"/>
  <c r="DF14" i="17"/>
  <c r="DG14" i="17"/>
  <c r="DH14" i="17"/>
  <c r="DI14" i="17"/>
  <c r="DJ14" i="17"/>
  <c r="DK14" i="17"/>
  <c r="DM14" i="17"/>
  <c r="DC15" i="17"/>
  <c r="DF15" i="17"/>
  <c r="DG15" i="17"/>
  <c r="DH15" i="17"/>
  <c r="DI15" i="17"/>
  <c r="DJ15" i="17"/>
  <c r="DK15" i="17"/>
  <c r="DM15" i="17"/>
  <c r="DC16" i="17"/>
  <c r="DF16" i="17"/>
  <c r="DG16" i="17"/>
  <c r="DH16" i="17"/>
  <c r="DI16" i="17"/>
  <c r="DJ16" i="17"/>
  <c r="DK16" i="17"/>
  <c r="DM16" i="17"/>
  <c r="DC17" i="17"/>
  <c r="DF17" i="17"/>
  <c r="DG17" i="17"/>
  <c r="DH17" i="17"/>
  <c r="DI17" i="17"/>
  <c r="DJ17" i="17"/>
  <c r="DK17" i="17"/>
  <c r="DM17" i="17"/>
  <c r="DC18" i="17"/>
  <c r="DF18" i="17"/>
  <c r="DG18" i="17"/>
  <c r="DH18" i="17"/>
  <c r="DI18" i="17"/>
  <c r="DJ18" i="17"/>
  <c r="DK18" i="17"/>
  <c r="DM18" i="17"/>
  <c r="DC19" i="17"/>
  <c r="DF19" i="17"/>
  <c r="DG19" i="17"/>
  <c r="DH19" i="17"/>
  <c r="DI19" i="17"/>
  <c r="DJ19" i="17"/>
  <c r="DK19" i="17"/>
  <c r="DM19" i="17"/>
  <c r="DC20" i="17"/>
  <c r="DF20" i="17"/>
  <c r="DG20" i="17"/>
  <c r="DH20" i="17"/>
  <c r="DI20" i="17"/>
  <c r="DJ20" i="17"/>
  <c r="DK20" i="17"/>
  <c r="DM20" i="17"/>
  <c r="DC21" i="17"/>
  <c r="DF21" i="17"/>
  <c r="DG21" i="17"/>
  <c r="DH21" i="17"/>
  <c r="DI21" i="17"/>
  <c r="DJ21" i="17"/>
  <c r="DK21" i="17"/>
  <c r="DM21" i="17"/>
  <c r="DC22" i="17"/>
  <c r="DF22" i="17"/>
  <c r="DG22" i="17"/>
  <c r="DH22" i="17"/>
  <c r="DI22" i="17"/>
  <c r="DJ22" i="17"/>
  <c r="DK22" i="17"/>
  <c r="DM22" i="17"/>
  <c r="DC23" i="17"/>
  <c r="DF23" i="17"/>
  <c r="DG23" i="17"/>
  <c r="DH23" i="17"/>
  <c r="DI23" i="17"/>
  <c r="DJ23" i="17"/>
  <c r="DK23" i="17"/>
  <c r="DM23" i="17"/>
  <c r="DC24" i="17"/>
  <c r="DF24" i="17"/>
  <c r="DG24" i="17"/>
  <c r="DH24" i="17"/>
  <c r="DI24" i="17"/>
  <c r="DJ24" i="17"/>
  <c r="DK24" i="17"/>
  <c r="DM24" i="17"/>
  <c r="DC25" i="17"/>
  <c r="DF25" i="17"/>
  <c r="DG25" i="17"/>
  <c r="DH25" i="17"/>
  <c r="DI25" i="17"/>
  <c r="DJ25" i="17"/>
  <c r="DK25" i="17"/>
  <c r="DM25" i="17"/>
  <c r="DC26" i="17"/>
  <c r="DF26" i="17"/>
  <c r="DG26" i="17"/>
  <c r="DH26" i="17"/>
  <c r="DI26" i="17"/>
  <c r="DJ26" i="17"/>
  <c r="DK26" i="17"/>
  <c r="DM26" i="17"/>
  <c r="DC27" i="17"/>
  <c r="DF27" i="17"/>
  <c r="DG27" i="17"/>
  <c r="DH27" i="17"/>
  <c r="DI27" i="17"/>
  <c r="DJ27" i="17"/>
  <c r="DK27" i="17"/>
  <c r="DM27" i="17"/>
  <c r="DC28" i="17"/>
  <c r="DF28" i="17"/>
  <c r="DG28" i="17"/>
  <c r="DH28" i="17"/>
  <c r="DI28" i="17"/>
  <c r="DJ28" i="17"/>
  <c r="DK28" i="17"/>
  <c r="DM28" i="17"/>
  <c r="DC29" i="17"/>
  <c r="DF29" i="17"/>
  <c r="DG29" i="17"/>
  <c r="DH29" i="17"/>
  <c r="DI29" i="17"/>
  <c r="DJ29" i="17"/>
  <c r="DK29" i="17"/>
  <c r="DM29" i="17"/>
  <c r="DC30" i="17"/>
  <c r="DF30" i="17"/>
  <c r="DG30" i="17"/>
  <c r="DH30" i="17"/>
  <c r="DI30" i="17"/>
  <c r="DJ30" i="17"/>
  <c r="DK30" i="17"/>
  <c r="DM30" i="17"/>
  <c r="DC31" i="17"/>
  <c r="DF31" i="17"/>
  <c r="DG31" i="17"/>
  <c r="DH31" i="17"/>
  <c r="DI31" i="17"/>
  <c r="DJ31" i="17"/>
  <c r="DK31" i="17"/>
  <c r="DM31" i="17"/>
  <c r="DC32" i="17"/>
  <c r="DF32" i="17"/>
  <c r="DG32" i="17"/>
  <c r="DH32" i="17"/>
  <c r="DI32" i="17"/>
  <c r="DJ32" i="17"/>
  <c r="DK32" i="17"/>
  <c r="DM32" i="17"/>
  <c r="DC33" i="17"/>
  <c r="DF33" i="17"/>
  <c r="DG33" i="17"/>
  <c r="DH33" i="17"/>
  <c r="DI33" i="17"/>
  <c r="DJ33" i="17"/>
  <c r="DK33" i="17"/>
  <c r="DM33" i="17"/>
  <c r="DC34" i="17"/>
  <c r="DF34" i="17"/>
  <c r="DG34" i="17"/>
  <c r="DH34" i="17"/>
  <c r="DI34" i="17"/>
  <c r="DJ34" i="17"/>
  <c r="DK34" i="17"/>
  <c r="DM34" i="17"/>
  <c r="DC35" i="17"/>
  <c r="DF35" i="17"/>
  <c r="DG35" i="17"/>
  <c r="DH35" i="17"/>
  <c r="DI35" i="17"/>
  <c r="DJ35" i="17"/>
  <c r="DK35" i="17"/>
  <c r="DM35" i="17"/>
  <c r="DC36" i="17"/>
  <c r="DF36" i="17"/>
  <c r="DG36" i="17"/>
  <c r="DH36" i="17"/>
  <c r="DI36" i="17"/>
  <c r="DJ36" i="17"/>
  <c r="DK36" i="17"/>
  <c r="DM36" i="17"/>
  <c r="DC37" i="17"/>
  <c r="DF37" i="17"/>
  <c r="DG37" i="17"/>
  <c r="DH37" i="17"/>
  <c r="DI37" i="17"/>
  <c r="DJ37" i="17"/>
  <c r="DK37" i="17"/>
  <c r="DM37" i="17"/>
  <c r="DC38" i="17"/>
  <c r="DF38" i="17"/>
  <c r="DG38" i="17"/>
  <c r="DH38" i="17"/>
  <c r="DI38" i="17"/>
  <c r="DJ38" i="17"/>
  <c r="DK38" i="17"/>
  <c r="DM38" i="17"/>
  <c r="DC39" i="17"/>
  <c r="DF39" i="17"/>
  <c r="DG39" i="17"/>
  <c r="DH39" i="17"/>
  <c r="DI39" i="17"/>
  <c r="DJ39" i="17"/>
  <c r="DK39" i="17"/>
  <c r="DM39" i="17"/>
  <c r="DC40" i="17"/>
  <c r="DF40" i="17"/>
  <c r="DG40" i="17"/>
  <c r="DH40" i="17"/>
  <c r="DI40" i="17"/>
  <c r="DJ40" i="17"/>
  <c r="DK40" i="17"/>
  <c r="DM40" i="17"/>
  <c r="DC41" i="17"/>
  <c r="DF41" i="17"/>
  <c r="DG41" i="17"/>
  <c r="DH41" i="17"/>
  <c r="DI41" i="17"/>
  <c r="DJ41" i="17"/>
  <c r="DK41" i="17"/>
  <c r="DM41" i="17"/>
  <c r="DC42" i="17"/>
  <c r="DF42" i="17"/>
  <c r="DG42" i="17"/>
  <c r="DH42" i="17"/>
  <c r="DI42" i="17"/>
  <c r="DJ42" i="17"/>
  <c r="DK42" i="17"/>
  <c r="DM42" i="17"/>
  <c r="DC43" i="17"/>
  <c r="DF43" i="17"/>
  <c r="DG43" i="17"/>
  <c r="DH43" i="17"/>
  <c r="DI43" i="17"/>
  <c r="DJ43" i="17"/>
  <c r="DK43" i="17"/>
  <c r="DM43" i="17"/>
  <c r="DC44" i="17"/>
  <c r="DF44" i="17"/>
  <c r="DG44" i="17"/>
  <c r="DH44" i="17"/>
  <c r="DI44" i="17"/>
  <c r="DJ44" i="17"/>
  <c r="DK44" i="17"/>
  <c r="DM44" i="17"/>
  <c r="DC45" i="17"/>
  <c r="DF45" i="17"/>
  <c r="DG45" i="17"/>
  <c r="DH45" i="17"/>
  <c r="DI45" i="17"/>
  <c r="DJ45" i="17"/>
  <c r="DK45" i="17"/>
  <c r="DM45" i="17"/>
  <c r="DC46" i="17"/>
  <c r="DF46" i="17"/>
  <c r="DG46" i="17"/>
  <c r="DH46" i="17"/>
  <c r="DI46" i="17"/>
  <c r="DJ46" i="17"/>
  <c r="DK46" i="17"/>
  <c r="DM46" i="17"/>
  <c r="DC47" i="17"/>
  <c r="DF47" i="17"/>
  <c r="DG47" i="17"/>
  <c r="DH47" i="17"/>
  <c r="DI47" i="17"/>
  <c r="DJ47" i="17"/>
  <c r="DK47" i="17"/>
  <c r="DM47" i="17"/>
  <c r="DC48" i="17"/>
  <c r="DF48" i="17"/>
  <c r="DG48" i="17"/>
  <c r="DH48" i="17"/>
  <c r="DI48" i="17"/>
  <c r="DJ48" i="17"/>
  <c r="DK48" i="17"/>
  <c r="DM48" i="17"/>
  <c r="DC49" i="17"/>
  <c r="DF49" i="17"/>
  <c r="DG49" i="17"/>
  <c r="DH49" i="17"/>
  <c r="DI49" i="17"/>
  <c r="DJ49" i="17"/>
  <c r="DK49" i="17"/>
  <c r="DM49" i="17"/>
  <c r="DC50" i="17"/>
  <c r="DF50" i="17"/>
  <c r="DG50" i="17"/>
  <c r="DH50" i="17"/>
  <c r="DI50" i="17"/>
  <c r="DJ50" i="17"/>
  <c r="DK50" i="17"/>
  <c r="DM50" i="17"/>
  <c r="DC51" i="17"/>
  <c r="DF51" i="17"/>
  <c r="DG51" i="17"/>
  <c r="DH51" i="17"/>
  <c r="DI51" i="17"/>
  <c r="DJ51" i="17"/>
  <c r="DK51" i="17"/>
  <c r="DM51" i="17"/>
  <c r="DC52" i="17"/>
  <c r="DF52" i="17"/>
  <c r="DG52" i="17"/>
  <c r="DH52" i="17"/>
  <c r="DI52" i="17"/>
  <c r="DJ52" i="17"/>
  <c r="DK52" i="17"/>
  <c r="DM52" i="17"/>
  <c r="DC53" i="17"/>
  <c r="DF53" i="17"/>
  <c r="DG53" i="17"/>
  <c r="DH53" i="17"/>
  <c r="DI53" i="17"/>
  <c r="DJ53" i="17"/>
  <c r="DK53" i="17"/>
  <c r="DM53" i="17"/>
  <c r="DC54" i="17"/>
  <c r="DF54" i="17"/>
  <c r="DG54" i="17"/>
  <c r="DH54" i="17"/>
  <c r="DI54" i="17"/>
  <c r="DJ54" i="17"/>
  <c r="DK54" i="17"/>
  <c r="DM54" i="17"/>
  <c r="DC55" i="17"/>
  <c r="DF55" i="17"/>
  <c r="DG55" i="17"/>
  <c r="DH55" i="17"/>
  <c r="DI55" i="17"/>
  <c r="DJ55" i="17"/>
  <c r="DK55" i="17"/>
  <c r="DM55" i="17"/>
  <c r="DC56" i="17"/>
  <c r="DF56" i="17"/>
  <c r="DG56" i="17"/>
  <c r="DH56" i="17"/>
  <c r="DI56" i="17"/>
  <c r="DJ56" i="17"/>
  <c r="DK56" i="17"/>
  <c r="DM56" i="17"/>
  <c r="DC57" i="17"/>
  <c r="DF57" i="17"/>
  <c r="DG57" i="17"/>
  <c r="DH57" i="17"/>
  <c r="DI57" i="17"/>
  <c r="DJ57" i="17"/>
  <c r="DK57" i="17"/>
  <c r="DM57" i="17"/>
  <c r="DC58" i="17"/>
  <c r="DF58" i="17"/>
  <c r="DG58" i="17"/>
  <c r="DH58" i="17"/>
  <c r="DI58" i="17"/>
  <c r="DJ58" i="17"/>
  <c r="DK58" i="17"/>
  <c r="DM58" i="17"/>
  <c r="DC59" i="17"/>
  <c r="DF59" i="17"/>
  <c r="DG59" i="17"/>
  <c r="DH59" i="17"/>
  <c r="DI59" i="17"/>
  <c r="DJ59" i="17"/>
  <c r="DK59" i="17"/>
  <c r="DM59" i="17"/>
  <c r="DC60" i="17"/>
  <c r="DF60" i="17"/>
  <c r="DG60" i="17"/>
  <c r="DH60" i="17"/>
  <c r="DI60" i="17"/>
  <c r="DJ60" i="17"/>
  <c r="DK60" i="17"/>
  <c r="DM60" i="17"/>
  <c r="DC61" i="17"/>
  <c r="DF61" i="17"/>
  <c r="DG61" i="17"/>
  <c r="DH61" i="17"/>
  <c r="DI61" i="17"/>
  <c r="DJ61" i="17"/>
  <c r="DK61" i="17"/>
  <c r="DM61" i="17"/>
  <c r="DC62" i="17"/>
  <c r="DF62" i="17"/>
  <c r="DG62" i="17"/>
  <c r="DH62" i="17"/>
  <c r="DI62" i="17"/>
  <c r="DJ62" i="17"/>
  <c r="DK62" i="17"/>
  <c r="DM62" i="17"/>
  <c r="DC63" i="17"/>
  <c r="DF63" i="17"/>
  <c r="DG63" i="17"/>
  <c r="DH63" i="17"/>
  <c r="DI63" i="17"/>
  <c r="DJ63" i="17"/>
  <c r="DK63" i="17"/>
  <c r="DM63" i="17"/>
  <c r="DC64" i="17"/>
  <c r="DF64" i="17"/>
  <c r="DG64" i="17"/>
  <c r="DH64" i="17"/>
  <c r="DI64" i="17"/>
  <c r="DJ64" i="17"/>
  <c r="DK64" i="17"/>
  <c r="DM64" i="17"/>
  <c r="DC65" i="17"/>
  <c r="DF65" i="17"/>
  <c r="DG65" i="17"/>
  <c r="DH65" i="17"/>
  <c r="DI65" i="17"/>
  <c r="DJ65" i="17"/>
  <c r="DK65" i="17"/>
  <c r="DM65" i="17"/>
  <c r="DC66" i="17"/>
  <c r="DF66" i="17"/>
  <c r="DG66" i="17"/>
  <c r="DH66" i="17"/>
  <c r="DI66" i="17"/>
  <c r="DJ66" i="17"/>
  <c r="DK66" i="17"/>
  <c r="DM66" i="17"/>
  <c r="DC67" i="17"/>
  <c r="DF67" i="17"/>
  <c r="DG67" i="17"/>
  <c r="DH67" i="17"/>
  <c r="DI67" i="17"/>
  <c r="DJ67" i="17"/>
  <c r="DK67" i="17"/>
  <c r="DM67" i="17"/>
  <c r="DC68" i="17"/>
  <c r="DF68" i="17"/>
  <c r="DG68" i="17"/>
  <c r="DH68" i="17"/>
  <c r="DI68" i="17"/>
  <c r="DJ68" i="17"/>
  <c r="DK68" i="17"/>
  <c r="DM68" i="17"/>
  <c r="DC69" i="17"/>
  <c r="DF69" i="17"/>
  <c r="DG69" i="17"/>
  <c r="DH69" i="17"/>
  <c r="DI69" i="17"/>
  <c r="DJ69" i="17"/>
  <c r="DK69" i="17"/>
  <c r="DM69" i="17"/>
  <c r="DC70" i="17"/>
  <c r="DF70" i="17"/>
  <c r="DG70" i="17"/>
  <c r="DH70" i="17"/>
  <c r="DI70" i="17"/>
  <c r="DJ70" i="17"/>
  <c r="DK70" i="17"/>
  <c r="DM70" i="17"/>
  <c r="DC71" i="17"/>
  <c r="DF71" i="17"/>
  <c r="DG71" i="17"/>
  <c r="DH71" i="17"/>
  <c r="DI71" i="17"/>
  <c r="DJ71" i="17"/>
  <c r="DK71" i="17"/>
  <c r="DM71" i="17"/>
  <c r="DC72" i="17"/>
  <c r="DF72" i="17"/>
  <c r="DG72" i="17"/>
  <c r="DH72" i="17"/>
  <c r="DI72" i="17"/>
  <c r="DJ72" i="17"/>
  <c r="DK72" i="17"/>
  <c r="DM72" i="17"/>
  <c r="DC73" i="17"/>
  <c r="DF73" i="17"/>
  <c r="DG73" i="17"/>
  <c r="DH73" i="17"/>
  <c r="DI73" i="17"/>
  <c r="DJ73" i="17"/>
  <c r="DK73" i="17"/>
  <c r="DM73" i="17"/>
  <c r="DC74" i="17"/>
  <c r="DF74" i="17"/>
  <c r="DG74" i="17"/>
  <c r="DH74" i="17"/>
  <c r="DI74" i="17"/>
  <c r="DJ74" i="17"/>
  <c r="DK74" i="17"/>
  <c r="DM74" i="17"/>
  <c r="DC75" i="17"/>
  <c r="DF75" i="17"/>
  <c r="DG75" i="17"/>
  <c r="DH75" i="17"/>
  <c r="DI75" i="17"/>
  <c r="DJ75" i="17"/>
  <c r="DK75" i="17"/>
  <c r="DM75" i="17"/>
  <c r="DC76" i="17"/>
  <c r="DF76" i="17"/>
  <c r="DG76" i="17"/>
  <c r="DH76" i="17"/>
  <c r="DI76" i="17"/>
  <c r="DJ76" i="17"/>
  <c r="DK76" i="17"/>
  <c r="DM76" i="17"/>
  <c r="DC77" i="17"/>
  <c r="DF77" i="17"/>
  <c r="DG77" i="17"/>
  <c r="DH77" i="17"/>
  <c r="DI77" i="17"/>
  <c r="DJ77" i="17"/>
  <c r="DK77" i="17"/>
  <c r="DM77" i="17"/>
  <c r="DC78" i="17"/>
  <c r="DF78" i="17"/>
  <c r="DG78" i="17"/>
  <c r="DH78" i="17"/>
  <c r="DI78" i="17"/>
  <c r="DJ78" i="17"/>
  <c r="DK78" i="17"/>
  <c r="DM78" i="17"/>
  <c r="DC79" i="17"/>
  <c r="DF79" i="17"/>
  <c r="DG79" i="17"/>
  <c r="DH79" i="17"/>
  <c r="DI79" i="17"/>
  <c r="DJ79" i="17"/>
  <c r="DK79" i="17"/>
  <c r="DM79" i="17"/>
  <c r="DC80" i="17"/>
  <c r="DF80" i="17"/>
  <c r="DG80" i="17"/>
  <c r="DH80" i="17"/>
  <c r="DI80" i="17"/>
  <c r="DJ80" i="17"/>
  <c r="DK80" i="17"/>
  <c r="DM80" i="17"/>
  <c r="DC81" i="17"/>
  <c r="DF81" i="17"/>
  <c r="DG81" i="17"/>
  <c r="DH81" i="17"/>
  <c r="DI81" i="17"/>
  <c r="DJ81" i="17"/>
  <c r="DK81" i="17"/>
  <c r="DM81" i="17"/>
  <c r="DC82" i="17"/>
  <c r="DF82" i="17"/>
  <c r="DG82" i="17"/>
  <c r="DH82" i="17"/>
  <c r="DI82" i="17"/>
  <c r="DJ82" i="17"/>
  <c r="DK82" i="17"/>
  <c r="DM82" i="17"/>
  <c r="DC83" i="17"/>
  <c r="DF83" i="17"/>
  <c r="DG83" i="17"/>
  <c r="DH83" i="17"/>
  <c r="DI83" i="17"/>
  <c r="DJ83" i="17"/>
  <c r="DK83" i="17"/>
  <c r="DM83" i="17"/>
  <c r="DC84" i="17"/>
  <c r="DF84" i="17"/>
  <c r="DG84" i="17"/>
  <c r="DH84" i="17"/>
  <c r="DI84" i="17"/>
  <c r="DJ84" i="17"/>
  <c r="DK84" i="17"/>
  <c r="DM84" i="17"/>
  <c r="DC85" i="17"/>
  <c r="DF85" i="17"/>
  <c r="DG85" i="17"/>
  <c r="DH85" i="17"/>
  <c r="DI85" i="17"/>
  <c r="DJ85" i="17"/>
  <c r="DK85" i="17"/>
  <c r="DM85" i="17"/>
  <c r="DC86" i="17"/>
  <c r="DF86" i="17"/>
  <c r="DG86" i="17"/>
  <c r="DH86" i="17"/>
  <c r="DI86" i="17"/>
  <c r="DJ86" i="17"/>
  <c r="DK86" i="17"/>
  <c r="DM86" i="17"/>
  <c r="DC87" i="17"/>
  <c r="DF87" i="17"/>
  <c r="DG87" i="17"/>
  <c r="DH87" i="17"/>
  <c r="DI87" i="17"/>
  <c r="DJ87" i="17"/>
  <c r="DK87" i="17"/>
  <c r="DM87" i="17"/>
  <c r="DC88" i="17"/>
  <c r="DF88" i="17"/>
  <c r="DG88" i="17"/>
  <c r="DH88" i="17"/>
  <c r="DI88" i="17"/>
  <c r="DJ88" i="17"/>
  <c r="DK88" i="17"/>
  <c r="DM88" i="17"/>
  <c r="DC89" i="17"/>
  <c r="DF89" i="17"/>
  <c r="DG89" i="17"/>
  <c r="DH89" i="17"/>
  <c r="DI89" i="17"/>
  <c r="DJ89" i="17"/>
  <c r="DK89" i="17"/>
  <c r="DM89" i="17"/>
  <c r="DC90" i="17"/>
  <c r="DF90" i="17"/>
  <c r="DG90" i="17"/>
  <c r="DH90" i="17"/>
  <c r="DI90" i="17"/>
  <c r="DJ90" i="17"/>
  <c r="DK90" i="17"/>
  <c r="DM90" i="17"/>
  <c r="DC91" i="17"/>
  <c r="DF91" i="17"/>
  <c r="DG91" i="17"/>
  <c r="DH91" i="17"/>
  <c r="DI91" i="17"/>
  <c r="DJ91" i="17"/>
  <c r="DK91" i="17"/>
  <c r="DM91" i="17"/>
  <c r="DC92" i="17"/>
  <c r="DF92" i="17"/>
  <c r="DG92" i="17"/>
  <c r="DH92" i="17"/>
  <c r="DI92" i="17"/>
  <c r="DJ92" i="17"/>
  <c r="DK92" i="17"/>
  <c r="DM92" i="17"/>
  <c r="DC93" i="17"/>
  <c r="DF93" i="17"/>
  <c r="DG93" i="17"/>
  <c r="DH93" i="17"/>
  <c r="DI93" i="17"/>
  <c r="DJ93" i="17"/>
  <c r="DK93" i="17"/>
  <c r="DM93" i="17"/>
  <c r="DC94" i="17"/>
  <c r="DF94" i="17"/>
  <c r="DG94" i="17"/>
  <c r="DH94" i="17"/>
  <c r="DI94" i="17"/>
  <c r="DJ94" i="17"/>
  <c r="DK94" i="17"/>
  <c r="DM94" i="17"/>
  <c r="DC95" i="17"/>
  <c r="DF95" i="17"/>
  <c r="DG95" i="17"/>
  <c r="DH95" i="17"/>
  <c r="DI95" i="17"/>
  <c r="DJ95" i="17"/>
  <c r="DK95" i="17"/>
  <c r="DM95" i="17"/>
  <c r="DC96" i="17"/>
  <c r="DF96" i="17"/>
  <c r="DG96" i="17"/>
  <c r="DH96" i="17"/>
  <c r="DI96" i="17"/>
  <c r="DJ96" i="17"/>
  <c r="DK96" i="17"/>
  <c r="DM96" i="17"/>
  <c r="DC97" i="17"/>
  <c r="DF97" i="17"/>
  <c r="DG97" i="17"/>
  <c r="DH97" i="17"/>
  <c r="DI97" i="17"/>
  <c r="DJ97" i="17"/>
  <c r="DK97" i="17"/>
  <c r="DM97" i="17"/>
  <c r="DC98" i="17"/>
  <c r="DF98" i="17"/>
  <c r="DG98" i="17"/>
  <c r="DH98" i="17"/>
  <c r="DI98" i="17"/>
  <c r="DJ98" i="17"/>
  <c r="DK98" i="17"/>
  <c r="DM98" i="17"/>
  <c r="DC99" i="17"/>
  <c r="DF99" i="17"/>
  <c r="DG99" i="17"/>
  <c r="DH99" i="17"/>
  <c r="DI99" i="17"/>
  <c r="DJ99" i="17"/>
  <c r="DK99" i="17"/>
  <c r="DM99" i="17"/>
  <c r="DC100" i="17"/>
  <c r="DF100" i="17"/>
  <c r="DG100" i="17"/>
  <c r="DH100" i="17"/>
  <c r="DI100" i="17"/>
  <c r="DJ100" i="17"/>
  <c r="DK100" i="17"/>
  <c r="DM100" i="17"/>
  <c r="DC101" i="17"/>
  <c r="DF101" i="17"/>
  <c r="DG101" i="17"/>
  <c r="DH101" i="17"/>
  <c r="DI101" i="17"/>
  <c r="DJ101" i="17"/>
  <c r="DK101" i="17"/>
  <c r="DM101" i="17"/>
  <c r="DC102" i="17"/>
  <c r="DF102" i="17"/>
  <c r="DG102" i="17"/>
  <c r="DH102" i="17"/>
  <c r="DI102" i="17"/>
  <c r="DJ102" i="17"/>
  <c r="DK102" i="17"/>
  <c r="DM102" i="17"/>
  <c r="DC103" i="17"/>
  <c r="DF103" i="17"/>
  <c r="DG103" i="17"/>
  <c r="DH103" i="17"/>
  <c r="DI103" i="17"/>
  <c r="DJ103" i="17"/>
  <c r="DK103" i="17"/>
  <c r="DM103" i="17"/>
  <c r="DC104" i="17"/>
  <c r="DF104" i="17"/>
  <c r="DG104" i="17"/>
  <c r="DH104" i="17"/>
  <c r="DI104" i="17"/>
  <c r="DJ104" i="17"/>
  <c r="DK104" i="17"/>
  <c r="DM104" i="17"/>
  <c r="DC105" i="17"/>
  <c r="DF105" i="17"/>
  <c r="DG105" i="17"/>
  <c r="DH105" i="17"/>
  <c r="DI105" i="17"/>
  <c r="DJ105" i="17"/>
  <c r="DK105" i="17"/>
  <c r="DM105" i="17"/>
  <c r="DC106" i="17"/>
  <c r="DF106" i="17"/>
  <c r="DG106" i="17"/>
  <c r="DH106" i="17"/>
  <c r="DI106" i="17"/>
  <c r="DJ106" i="17"/>
  <c r="DK106" i="17"/>
  <c r="DM106" i="17"/>
  <c r="DC107" i="17"/>
  <c r="DF107" i="17"/>
  <c r="DG107" i="17"/>
  <c r="DH107" i="17"/>
  <c r="DI107" i="17"/>
  <c r="DJ107" i="17"/>
  <c r="DK107" i="17"/>
  <c r="DM107" i="17"/>
  <c r="DC108" i="17"/>
  <c r="DF108" i="17"/>
  <c r="DG108" i="17"/>
  <c r="DH108" i="17"/>
  <c r="DI108" i="17"/>
  <c r="DJ108" i="17"/>
  <c r="DK108" i="17"/>
  <c r="DM108" i="17"/>
  <c r="DC109" i="17"/>
  <c r="DF109" i="17"/>
  <c r="DG109" i="17"/>
  <c r="DH109" i="17"/>
  <c r="DI109" i="17"/>
  <c r="DJ109" i="17"/>
  <c r="DK109" i="17"/>
  <c r="DM109" i="17"/>
  <c r="DC110" i="17"/>
  <c r="DF110" i="17"/>
  <c r="DG110" i="17"/>
  <c r="DH110" i="17"/>
  <c r="DI110" i="17"/>
  <c r="DJ110" i="17"/>
  <c r="DK110" i="17"/>
  <c r="DM110" i="17"/>
  <c r="DC111" i="17"/>
  <c r="DF111" i="17"/>
  <c r="DG111" i="17"/>
  <c r="DH111" i="17"/>
  <c r="DI111" i="17"/>
  <c r="DJ111" i="17"/>
  <c r="DK111" i="17"/>
  <c r="DM111" i="17"/>
  <c r="DC112" i="17"/>
  <c r="DF112" i="17"/>
  <c r="DG112" i="17"/>
  <c r="DH112" i="17"/>
  <c r="DI112" i="17"/>
  <c r="DJ112" i="17"/>
  <c r="DK112" i="17"/>
  <c r="DM112" i="17"/>
  <c r="DC113" i="17"/>
  <c r="DF113" i="17"/>
  <c r="DG113" i="17"/>
  <c r="DH113" i="17"/>
  <c r="DI113" i="17"/>
  <c r="DJ113" i="17"/>
  <c r="DK113" i="17"/>
  <c r="DM113" i="17"/>
  <c r="DC114" i="17"/>
  <c r="DF114" i="17"/>
  <c r="DG114" i="17"/>
  <c r="DH114" i="17"/>
  <c r="DI114" i="17"/>
  <c r="DJ114" i="17"/>
  <c r="DK114" i="17"/>
  <c r="DM114" i="17"/>
  <c r="DC115" i="17"/>
  <c r="DF115" i="17"/>
  <c r="DG115" i="17"/>
  <c r="DH115" i="17"/>
  <c r="DI115" i="17"/>
  <c r="DJ115" i="17"/>
  <c r="DK115" i="17"/>
  <c r="DM115" i="17"/>
  <c r="DC116" i="17"/>
  <c r="DF116" i="17"/>
  <c r="DG116" i="17"/>
  <c r="DH116" i="17"/>
  <c r="DI116" i="17"/>
  <c r="DJ116" i="17"/>
  <c r="DK116" i="17"/>
  <c r="DM116" i="17"/>
  <c r="DC117" i="17"/>
  <c r="DF117" i="17"/>
  <c r="DG117" i="17"/>
  <c r="DH117" i="17"/>
  <c r="DI117" i="17"/>
  <c r="DJ117" i="17"/>
  <c r="DK117" i="17"/>
  <c r="DM117" i="17"/>
  <c r="DC118" i="17"/>
  <c r="DF118" i="17"/>
  <c r="DG118" i="17"/>
  <c r="DH118" i="17"/>
  <c r="DI118" i="17"/>
  <c r="DJ118" i="17"/>
  <c r="DK118" i="17"/>
  <c r="DM118" i="17"/>
  <c r="DC119" i="17"/>
  <c r="DF119" i="17"/>
  <c r="DG119" i="17"/>
  <c r="DH119" i="17"/>
  <c r="DI119" i="17"/>
  <c r="DJ119" i="17"/>
  <c r="DK119" i="17"/>
  <c r="DM119" i="17"/>
  <c r="DC120" i="17"/>
  <c r="DF120" i="17"/>
  <c r="DG120" i="17"/>
  <c r="DH120" i="17"/>
  <c r="DI120" i="17"/>
  <c r="DJ120" i="17"/>
  <c r="DK120" i="17"/>
  <c r="DM120" i="17"/>
  <c r="DC121" i="17"/>
  <c r="DF121" i="17"/>
  <c r="DG121" i="17"/>
  <c r="DH121" i="17"/>
  <c r="DI121" i="17"/>
  <c r="DJ121" i="17"/>
  <c r="DK121" i="17"/>
  <c r="DM121" i="17"/>
  <c r="DC122" i="17"/>
  <c r="DF122" i="17"/>
  <c r="DG122" i="17"/>
  <c r="DH122" i="17"/>
  <c r="DI122" i="17"/>
  <c r="DJ122" i="17"/>
  <c r="DK122" i="17"/>
  <c r="DM122" i="17"/>
  <c r="DC123" i="17"/>
  <c r="DF123" i="17"/>
  <c r="DG123" i="17"/>
  <c r="DH123" i="17"/>
  <c r="DI123" i="17"/>
  <c r="DJ123" i="17"/>
  <c r="DK123" i="17"/>
  <c r="DM123" i="17"/>
  <c r="DC124" i="17"/>
  <c r="DF124" i="17"/>
  <c r="DG124" i="17"/>
  <c r="DH124" i="17"/>
  <c r="DI124" i="17"/>
  <c r="DJ124" i="17"/>
  <c r="DK124" i="17"/>
  <c r="DM124" i="17"/>
  <c r="DC125" i="17"/>
  <c r="DF125" i="17"/>
  <c r="DG125" i="17"/>
  <c r="DH125" i="17"/>
  <c r="DI125" i="17"/>
  <c r="DJ125" i="17"/>
  <c r="DK125" i="17"/>
  <c r="DM125" i="17"/>
  <c r="DC126" i="17"/>
  <c r="DF126" i="17"/>
  <c r="DG126" i="17"/>
  <c r="DH126" i="17"/>
  <c r="DI126" i="17"/>
  <c r="DJ126" i="17"/>
  <c r="DK126" i="17"/>
  <c r="DM126" i="17"/>
  <c r="DC127" i="17"/>
  <c r="DF127" i="17"/>
  <c r="DG127" i="17"/>
  <c r="DH127" i="17"/>
  <c r="DI127" i="17"/>
  <c r="DJ127" i="17"/>
  <c r="DK127" i="17"/>
  <c r="DM127" i="17"/>
  <c r="DC128" i="17"/>
  <c r="DF128" i="17"/>
  <c r="DG128" i="17"/>
  <c r="DH128" i="17"/>
  <c r="DI128" i="17"/>
  <c r="DJ128" i="17"/>
  <c r="DK128" i="17"/>
  <c r="DM128" i="17"/>
  <c r="DC129" i="17"/>
  <c r="DF129" i="17"/>
  <c r="DG129" i="17"/>
  <c r="DH129" i="17"/>
  <c r="DI129" i="17"/>
  <c r="DJ129" i="17"/>
  <c r="DK129" i="17"/>
  <c r="DM129" i="17"/>
  <c r="DC130" i="17"/>
  <c r="DF130" i="17"/>
  <c r="DG130" i="17"/>
  <c r="DH130" i="17"/>
  <c r="DI130" i="17"/>
  <c r="DJ130" i="17"/>
  <c r="DK130" i="17"/>
  <c r="DM130" i="17"/>
  <c r="DC131" i="17"/>
  <c r="DF131" i="17"/>
  <c r="DG131" i="17"/>
  <c r="DH131" i="17"/>
  <c r="DI131" i="17"/>
  <c r="DJ131" i="17"/>
  <c r="DK131" i="17"/>
  <c r="DM131" i="17"/>
  <c r="DC132" i="17"/>
  <c r="DF132" i="17"/>
  <c r="DG132" i="17"/>
  <c r="DH132" i="17"/>
  <c r="DI132" i="17"/>
  <c r="DJ132" i="17"/>
  <c r="DK132" i="17"/>
  <c r="DM132" i="17"/>
  <c r="DC133" i="17"/>
  <c r="DF133" i="17"/>
  <c r="DG133" i="17"/>
  <c r="DH133" i="17"/>
  <c r="DI133" i="17"/>
  <c r="DJ133" i="17"/>
  <c r="DK133" i="17"/>
  <c r="DM133" i="17"/>
  <c r="DC134" i="17"/>
  <c r="DF134" i="17"/>
  <c r="DG134" i="17"/>
  <c r="DH134" i="17"/>
  <c r="DI134" i="17"/>
  <c r="DJ134" i="17"/>
  <c r="DK134" i="17"/>
  <c r="DM134" i="17"/>
  <c r="DC135" i="17"/>
  <c r="DF135" i="17"/>
  <c r="DG135" i="17"/>
  <c r="DH135" i="17"/>
  <c r="DI135" i="17"/>
  <c r="DJ135" i="17"/>
  <c r="DK135" i="17"/>
  <c r="DM135" i="17"/>
  <c r="DC136" i="17"/>
  <c r="DF136" i="17"/>
  <c r="DG136" i="17"/>
  <c r="DH136" i="17"/>
  <c r="DI136" i="17"/>
  <c r="DJ136" i="17"/>
  <c r="DK136" i="17"/>
  <c r="DM136" i="17"/>
  <c r="DC137" i="17"/>
  <c r="DF137" i="17"/>
  <c r="DG137" i="17"/>
  <c r="DH137" i="17"/>
  <c r="DI137" i="17"/>
  <c r="DJ137" i="17"/>
  <c r="DK137" i="17"/>
  <c r="DM137" i="17"/>
  <c r="DC138" i="17"/>
  <c r="DF138" i="17"/>
  <c r="DG138" i="17"/>
  <c r="DH138" i="17"/>
  <c r="DI138" i="17"/>
  <c r="DJ138" i="17"/>
  <c r="DK138" i="17"/>
  <c r="DM138" i="17"/>
  <c r="DC139" i="17"/>
  <c r="DF139" i="17"/>
  <c r="DG139" i="17"/>
  <c r="DH139" i="17"/>
  <c r="DI139" i="17"/>
  <c r="DJ139" i="17"/>
  <c r="DK139" i="17"/>
  <c r="DM139" i="17"/>
  <c r="DC140" i="17"/>
  <c r="DF140" i="17"/>
  <c r="DG140" i="17"/>
  <c r="DH140" i="17"/>
  <c r="DI140" i="17"/>
  <c r="DJ140" i="17"/>
  <c r="DK140" i="17"/>
  <c r="DM140" i="17"/>
  <c r="DC141" i="17"/>
  <c r="DF141" i="17"/>
  <c r="DG141" i="17"/>
  <c r="DH141" i="17"/>
  <c r="DI141" i="17"/>
  <c r="DJ141" i="17"/>
  <c r="DK141" i="17"/>
  <c r="DM141" i="17"/>
  <c r="DC142" i="17"/>
  <c r="DF142" i="17"/>
  <c r="DG142" i="17"/>
  <c r="DH142" i="17"/>
  <c r="DI142" i="17"/>
  <c r="DJ142" i="17"/>
  <c r="DK142" i="17"/>
  <c r="DM142" i="17"/>
  <c r="DC143" i="17"/>
  <c r="DF143" i="17"/>
  <c r="DG143" i="17"/>
  <c r="DH143" i="17"/>
  <c r="DI143" i="17"/>
  <c r="DJ143" i="17"/>
  <c r="DK143" i="17"/>
  <c r="DM143" i="17"/>
  <c r="DC144" i="17"/>
  <c r="DF144" i="17"/>
  <c r="DG144" i="17"/>
  <c r="DH144" i="17"/>
  <c r="DI144" i="17"/>
  <c r="DJ144" i="17"/>
  <c r="DK144" i="17"/>
  <c r="DM144" i="17"/>
  <c r="DC145" i="17"/>
  <c r="DF145" i="17"/>
  <c r="DG145" i="17"/>
  <c r="DH145" i="17"/>
  <c r="DI145" i="17"/>
  <c r="DJ145" i="17"/>
  <c r="DK145" i="17"/>
  <c r="DM145" i="17"/>
  <c r="DC146" i="17"/>
  <c r="DF146" i="17"/>
  <c r="DG146" i="17"/>
  <c r="DH146" i="17"/>
  <c r="DI146" i="17"/>
  <c r="DJ146" i="17"/>
  <c r="DK146" i="17"/>
  <c r="DM146" i="17"/>
  <c r="DC147" i="17"/>
  <c r="DF147" i="17"/>
  <c r="DG147" i="17"/>
  <c r="DH147" i="17"/>
  <c r="DI147" i="17"/>
  <c r="DJ147" i="17"/>
  <c r="DK147" i="17"/>
  <c r="DM147" i="17"/>
  <c r="DC148" i="17"/>
  <c r="DF148" i="17"/>
  <c r="DG148" i="17"/>
  <c r="DH148" i="17"/>
  <c r="DI148" i="17"/>
  <c r="DJ148" i="17"/>
  <c r="DK148" i="17"/>
  <c r="DM148" i="17"/>
  <c r="DC149" i="17"/>
  <c r="DF149" i="17"/>
  <c r="DG149" i="17"/>
  <c r="DH149" i="17"/>
  <c r="DI149" i="17"/>
  <c r="DJ149" i="17"/>
  <c r="DK149" i="17"/>
  <c r="DM149" i="17"/>
  <c r="DC150" i="17"/>
  <c r="DF150" i="17"/>
  <c r="DG150" i="17"/>
  <c r="DH150" i="17"/>
  <c r="DI150" i="17"/>
  <c r="DJ150" i="17"/>
  <c r="DK150" i="17"/>
  <c r="DM150" i="17"/>
  <c r="DC151" i="17"/>
  <c r="DF151" i="17"/>
  <c r="DG151" i="17"/>
  <c r="DH151" i="17"/>
  <c r="DI151" i="17"/>
  <c r="DJ151" i="17"/>
  <c r="DK151" i="17"/>
  <c r="DM151" i="17"/>
  <c r="DC152" i="17"/>
  <c r="DF152" i="17"/>
  <c r="DG152" i="17"/>
  <c r="DH152" i="17"/>
  <c r="DI152" i="17"/>
  <c r="DJ152" i="17"/>
  <c r="DK152" i="17"/>
  <c r="DM152" i="17"/>
  <c r="DC153" i="17"/>
  <c r="DF153" i="17"/>
  <c r="DG153" i="17"/>
  <c r="DH153" i="17"/>
  <c r="DI153" i="17"/>
  <c r="DJ153" i="17"/>
  <c r="DK153" i="17"/>
  <c r="DM153" i="17"/>
  <c r="DC154" i="17"/>
  <c r="DF154" i="17"/>
  <c r="DG154" i="17"/>
  <c r="DH154" i="17"/>
  <c r="DI154" i="17"/>
  <c r="DJ154" i="17"/>
  <c r="DK154" i="17"/>
  <c r="DM154" i="17"/>
  <c r="DC155" i="17"/>
  <c r="DF155" i="17"/>
  <c r="DG155" i="17"/>
  <c r="DH155" i="17"/>
  <c r="DI155" i="17"/>
  <c r="DJ155" i="17"/>
  <c r="DK155" i="17"/>
  <c r="DM155" i="17"/>
  <c r="DC156" i="17"/>
  <c r="DF156" i="17"/>
  <c r="DG156" i="17"/>
  <c r="DH156" i="17"/>
  <c r="DI156" i="17"/>
  <c r="DJ156" i="17"/>
  <c r="DK156" i="17"/>
  <c r="DM156" i="17"/>
  <c r="DC157" i="17"/>
  <c r="DF157" i="17"/>
  <c r="DG157" i="17"/>
  <c r="DH157" i="17"/>
  <c r="DI157" i="17"/>
  <c r="DJ157" i="17"/>
  <c r="DK157" i="17"/>
  <c r="DM157" i="17"/>
  <c r="DC158" i="17"/>
  <c r="DF158" i="17"/>
  <c r="DG158" i="17"/>
  <c r="DH158" i="17"/>
  <c r="DI158" i="17"/>
  <c r="DJ158" i="17"/>
  <c r="DK158" i="17"/>
  <c r="DM158" i="17"/>
  <c r="DC159" i="17"/>
  <c r="DF159" i="17"/>
  <c r="DG159" i="17"/>
  <c r="DH159" i="17"/>
  <c r="DI159" i="17"/>
  <c r="DJ159" i="17"/>
  <c r="DK159" i="17"/>
  <c r="DM159" i="17"/>
  <c r="DC160" i="17"/>
  <c r="DF160" i="17"/>
  <c r="DG160" i="17"/>
  <c r="DH160" i="17"/>
  <c r="DI160" i="17"/>
  <c r="DJ160" i="17"/>
  <c r="DK160" i="17"/>
  <c r="DM160" i="17"/>
  <c r="DC161" i="17"/>
  <c r="DF161" i="17"/>
  <c r="DG161" i="17"/>
  <c r="DH161" i="17"/>
  <c r="DI161" i="17"/>
  <c r="DJ161" i="17"/>
  <c r="DK161" i="17"/>
  <c r="DM161" i="17"/>
  <c r="DC162" i="17"/>
  <c r="DF162" i="17"/>
  <c r="DG162" i="17"/>
  <c r="DH162" i="17"/>
  <c r="DI162" i="17"/>
  <c r="DJ162" i="17"/>
  <c r="DK162" i="17"/>
  <c r="DM162" i="17"/>
  <c r="DC163" i="17"/>
  <c r="DF163" i="17"/>
  <c r="DG163" i="17"/>
  <c r="DH163" i="17"/>
  <c r="DI163" i="17"/>
  <c r="DJ163" i="17"/>
  <c r="DK163" i="17"/>
  <c r="DM163" i="17"/>
  <c r="DC164" i="17"/>
  <c r="DF164" i="17"/>
  <c r="DG164" i="17"/>
  <c r="DH164" i="17"/>
  <c r="DI164" i="17"/>
  <c r="DJ164" i="17"/>
  <c r="DK164" i="17"/>
  <c r="DM164" i="17"/>
  <c r="DC165" i="17"/>
  <c r="DF165" i="17"/>
  <c r="DG165" i="17"/>
  <c r="DH165" i="17"/>
  <c r="DI165" i="17"/>
  <c r="DJ165" i="17"/>
  <c r="DK165" i="17"/>
  <c r="DM165" i="17"/>
  <c r="DC166" i="17"/>
  <c r="DF166" i="17"/>
  <c r="DG166" i="17"/>
  <c r="DH166" i="17"/>
  <c r="DI166" i="17"/>
  <c r="DJ166" i="17"/>
  <c r="DK166" i="17"/>
  <c r="DM166" i="17"/>
  <c r="DC167" i="17"/>
  <c r="DF167" i="17"/>
  <c r="DG167" i="17"/>
  <c r="DH167" i="17"/>
  <c r="DI167" i="17"/>
  <c r="DJ167" i="17"/>
  <c r="DK167" i="17"/>
  <c r="DM167" i="17"/>
  <c r="DC168" i="17"/>
  <c r="DF168" i="17"/>
  <c r="DG168" i="17"/>
  <c r="DH168" i="17"/>
  <c r="DI168" i="17"/>
  <c r="DJ168" i="17"/>
  <c r="DK168" i="17"/>
  <c r="DM168" i="17"/>
  <c r="DC169" i="17"/>
  <c r="DF169" i="17"/>
  <c r="DG169" i="17"/>
  <c r="DH169" i="17"/>
  <c r="DI169" i="17"/>
  <c r="DJ169" i="17"/>
  <c r="DK169" i="17"/>
  <c r="DM169" i="17"/>
  <c r="DC170" i="17"/>
  <c r="DF170" i="17"/>
  <c r="DG170" i="17"/>
  <c r="DH170" i="17"/>
  <c r="DI170" i="17"/>
  <c r="DJ170" i="17"/>
  <c r="DK170" i="17"/>
  <c r="DM170" i="17"/>
  <c r="DC171" i="17"/>
  <c r="DF171" i="17"/>
  <c r="DG171" i="17"/>
  <c r="DH171" i="17"/>
  <c r="DI171" i="17"/>
  <c r="DJ171" i="17"/>
  <c r="DK171" i="17"/>
  <c r="DM171" i="17"/>
  <c r="DC172" i="17"/>
  <c r="DF172" i="17"/>
  <c r="DG172" i="17"/>
  <c r="DH172" i="17"/>
  <c r="DI172" i="17"/>
  <c r="DJ172" i="17"/>
  <c r="DK172" i="17"/>
  <c r="DM172" i="17"/>
  <c r="DC173" i="17"/>
  <c r="DF173" i="17"/>
  <c r="DG173" i="17"/>
  <c r="DH173" i="17"/>
  <c r="DI173" i="17"/>
  <c r="DJ173" i="17"/>
  <c r="DK173" i="17"/>
  <c r="DM173" i="17"/>
  <c r="DC174" i="17"/>
  <c r="DF174" i="17"/>
  <c r="DG174" i="17"/>
  <c r="DH174" i="17"/>
  <c r="DI174" i="17"/>
  <c r="DJ174" i="17"/>
  <c r="DK174" i="17"/>
  <c r="DM174" i="17"/>
  <c r="DC175" i="17"/>
  <c r="DF175" i="17"/>
  <c r="DG175" i="17"/>
  <c r="DH175" i="17"/>
  <c r="DI175" i="17"/>
  <c r="DJ175" i="17"/>
  <c r="DK175" i="17"/>
  <c r="DM175" i="17"/>
  <c r="DC176" i="17"/>
  <c r="DF176" i="17"/>
  <c r="DG176" i="17"/>
  <c r="DH176" i="17"/>
  <c r="DI176" i="17"/>
  <c r="DJ176" i="17"/>
  <c r="DK176" i="17"/>
  <c r="DM176" i="17"/>
  <c r="DC177" i="17"/>
  <c r="DF177" i="17"/>
  <c r="DG177" i="17"/>
  <c r="DH177" i="17"/>
  <c r="DI177" i="17"/>
  <c r="DJ177" i="17"/>
  <c r="DK177" i="17"/>
  <c r="DM177" i="17"/>
  <c r="DC178" i="17"/>
  <c r="DF178" i="17"/>
  <c r="DG178" i="17"/>
  <c r="DH178" i="17"/>
  <c r="DI178" i="17"/>
  <c r="DJ178" i="17"/>
  <c r="DK178" i="17"/>
  <c r="DM178" i="17"/>
  <c r="DC179" i="17"/>
  <c r="DF179" i="17"/>
  <c r="DG179" i="17"/>
  <c r="DH179" i="17"/>
  <c r="DI179" i="17"/>
  <c r="DJ179" i="17"/>
  <c r="DK179" i="17"/>
  <c r="DM179" i="17"/>
  <c r="DC180" i="17"/>
  <c r="DF180" i="17"/>
  <c r="DG180" i="17"/>
  <c r="DH180" i="17"/>
  <c r="DI180" i="17"/>
  <c r="DJ180" i="17"/>
  <c r="DK180" i="17"/>
  <c r="DM180" i="17"/>
  <c r="DC181" i="17"/>
  <c r="DF181" i="17"/>
  <c r="DG181" i="17"/>
  <c r="DH181" i="17"/>
  <c r="DI181" i="17"/>
  <c r="DJ181" i="17"/>
  <c r="DK181" i="17"/>
  <c r="DM181" i="17"/>
  <c r="DC182" i="17"/>
  <c r="DF182" i="17"/>
  <c r="DG182" i="17"/>
  <c r="DH182" i="17"/>
  <c r="DI182" i="17"/>
  <c r="DJ182" i="17"/>
  <c r="DK182" i="17"/>
  <c r="DM182" i="17"/>
  <c r="DC183" i="17"/>
  <c r="DF183" i="17"/>
  <c r="DG183" i="17"/>
  <c r="DH183" i="17"/>
  <c r="DI183" i="17"/>
  <c r="DJ183" i="17"/>
  <c r="DK183" i="17"/>
  <c r="DM183" i="17"/>
  <c r="DC184" i="17"/>
  <c r="DF184" i="17"/>
  <c r="DG184" i="17"/>
  <c r="DH184" i="17"/>
  <c r="DI184" i="17"/>
  <c r="DJ184" i="17"/>
  <c r="DK184" i="17"/>
  <c r="DM184" i="17"/>
  <c r="DC185" i="17"/>
  <c r="DF185" i="17"/>
  <c r="DG185" i="17"/>
  <c r="DH185" i="17"/>
  <c r="DI185" i="17"/>
  <c r="DJ185" i="17"/>
  <c r="DK185" i="17"/>
  <c r="DM185" i="17"/>
  <c r="DC186" i="17"/>
  <c r="DF186" i="17"/>
  <c r="DG186" i="17"/>
  <c r="DH186" i="17"/>
  <c r="DI186" i="17"/>
  <c r="DJ186" i="17"/>
  <c r="DK186" i="17"/>
  <c r="DM186" i="17"/>
  <c r="DC187" i="17"/>
  <c r="DF187" i="17"/>
  <c r="DG187" i="17"/>
  <c r="DH187" i="17"/>
  <c r="DI187" i="17"/>
  <c r="DJ187" i="17"/>
  <c r="DK187" i="17"/>
  <c r="DM187" i="17"/>
  <c r="DC188" i="17"/>
  <c r="DF188" i="17"/>
  <c r="DG188" i="17"/>
  <c r="DH188" i="17"/>
  <c r="DI188" i="17"/>
  <c r="DJ188" i="17"/>
  <c r="DK188" i="17"/>
  <c r="DM188" i="17"/>
  <c r="DC189" i="17"/>
  <c r="DF189" i="17"/>
  <c r="DG189" i="17"/>
  <c r="DH189" i="17"/>
  <c r="DI189" i="17"/>
  <c r="DJ189" i="17"/>
  <c r="DK189" i="17"/>
  <c r="DM189" i="17"/>
  <c r="DC190" i="17"/>
  <c r="DF190" i="17"/>
  <c r="DG190" i="17"/>
  <c r="DH190" i="17"/>
  <c r="DI190" i="17"/>
  <c r="DJ190" i="17"/>
  <c r="DK190" i="17"/>
  <c r="DM190" i="17"/>
  <c r="DC191" i="17"/>
  <c r="DF191" i="17"/>
  <c r="DG191" i="17"/>
  <c r="DH191" i="17"/>
  <c r="DI191" i="17"/>
  <c r="DJ191" i="17"/>
  <c r="DK191" i="17"/>
  <c r="DM191" i="17"/>
  <c r="DC192" i="17"/>
  <c r="DF192" i="17"/>
  <c r="DG192" i="17"/>
  <c r="DH192" i="17"/>
  <c r="DI192" i="17"/>
  <c r="DJ192" i="17"/>
  <c r="DK192" i="17"/>
  <c r="DM192" i="17"/>
  <c r="DC193" i="17"/>
  <c r="DF193" i="17"/>
  <c r="DG193" i="17"/>
  <c r="DH193" i="17"/>
  <c r="DI193" i="17"/>
  <c r="DJ193" i="17"/>
  <c r="DK193" i="17"/>
  <c r="DM193" i="17"/>
  <c r="DC194" i="17"/>
  <c r="DF194" i="17"/>
  <c r="DG194" i="17"/>
  <c r="DH194" i="17"/>
  <c r="DI194" i="17"/>
  <c r="DJ194" i="17"/>
  <c r="DK194" i="17"/>
  <c r="DM194" i="17"/>
  <c r="DC195" i="17"/>
  <c r="DF195" i="17"/>
  <c r="DG195" i="17"/>
  <c r="DH195" i="17"/>
  <c r="DI195" i="17"/>
  <c r="DJ195" i="17"/>
  <c r="DK195" i="17"/>
  <c r="DM195" i="17"/>
  <c r="DC196" i="17"/>
  <c r="DF196" i="17"/>
  <c r="DG196" i="17"/>
  <c r="DH196" i="17"/>
  <c r="DI196" i="17"/>
  <c r="DJ196" i="17"/>
  <c r="DK196" i="17"/>
  <c r="DM196" i="17"/>
  <c r="DC197" i="17"/>
  <c r="DF197" i="17"/>
  <c r="DG197" i="17"/>
  <c r="DH197" i="17"/>
  <c r="DI197" i="17"/>
  <c r="DJ197" i="17"/>
  <c r="DK197" i="17"/>
  <c r="DM197" i="17"/>
  <c r="DC198" i="17"/>
  <c r="DF198" i="17"/>
  <c r="DG198" i="17"/>
  <c r="DH198" i="17"/>
  <c r="DI198" i="17"/>
  <c r="DJ198" i="17"/>
  <c r="DK198" i="17"/>
  <c r="DM198" i="17"/>
  <c r="DC199" i="17"/>
  <c r="DF199" i="17"/>
  <c r="DG199" i="17"/>
  <c r="DH199" i="17"/>
  <c r="DI199" i="17"/>
  <c r="DJ199" i="17"/>
  <c r="DK199" i="17"/>
  <c r="DM199" i="17"/>
  <c r="DC200" i="17"/>
  <c r="DF200" i="17"/>
  <c r="DG200" i="17"/>
  <c r="DH200" i="17"/>
  <c r="DI200" i="17"/>
  <c r="DJ200" i="17"/>
  <c r="DK200" i="17"/>
  <c r="DM200" i="17"/>
  <c r="DI5" i="17"/>
  <c r="DH5" i="17"/>
  <c r="DG5" i="17"/>
  <c r="DM5" i="17"/>
  <c r="DK5" i="17"/>
  <c r="DJ5" i="17"/>
  <c r="DC5" i="17"/>
  <c r="DF5" i="17"/>
  <c r="D43" i="15"/>
  <c r="E43" i="15" s="1"/>
  <c r="K43" i="15"/>
  <c r="R43" i="15"/>
  <c r="AE12" i="12"/>
  <c r="AE13" i="12"/>
  <c r="AE14" i="12"/>
  <c r="AE15" i="12"/>
  <c r="AE16" i="12"/>
  <c r="AE17" i="12"/>
  <c r="AE18" i="12"/>
  <c r="AE19" i="12"/>
  <c r="AE20" i="12"/>
  <c r="AE21" i="12"/>
  <c r="AE22" i="12"/>
  <c r="AE23" i="12"/>
  <c r="AE24" i="12"/>
  <c r="AE25" i="12"/>
  <c r="AE26" i="12"/>
  <c r="AE27" i="12"/>
  <c r="AE28" i="12"/>
  <c r="AE29" i="12"/>
  <c r="AE30" i="12"/>
  <c r="AE31" i="12"/>
  <c r="AE32" i="12"/>
  <c r="AE33" i="12"/>
  <c r="AE34" i="12"/>
  <c r="AE35" i="12"/>
  <c r="AE36" i="12"/>
  <c r="AE37" i="12"/>
  <c r="AE38" i="12"/>
  <c r="AE39" i="12"/>
  <c r="AE40" i="12"/>
  <c r="AE41" i="12"/>
  <c r="AE42" i="12"/>
  <c r="AE43" i="12"/>
  <c r="AE44" i="12"/>
  <c r="AE45" i="12"/>
  <c r="AE46" i="12"/>
  <c r="AE47" i="12"/>
  <c r="AE48" i="12"/>
  <c r="AE49" i="12"/>
  <c r="AE50" i="12"/>
  <c r="AE51" i="12"/>
  <c r="AE52" i="12"/>
  <c r="AE53" i="12"/>
  <c r="AE54" i="12"/>
  <c r="AE55" i="12"/>
  <c r="AE56" i="12"/>
  <c r="AE57" i="12"/>
  <c r="AE58" i="12"/>
  <c r="AE59" i="12"/>
  <c r="AE60" i="12"/>
  <c r="AE61" i="12"/>
  <c r="AE62" i="12"/>
  <c r="AE63" i="12"/>
  <c r="AE64" i="12"/>
  <c r="AE65" i="12"/>
  <c r="AE66" i="12"/>
  <c r="AE67" i="12"/>
  <c r="AE68" i="12"/>
  <c r="AE69" i="12"/>
  <c r="AE70" i="12"/>
  <c r="AE71" i="12"/>
  <c r="AE72" i="12"/>
  <c r="AE73" i="12"/>
  <c r="AE74" i="12"/>
  <c r="AE75" i="12"/>
  <c r="AE76" i="12"/>
  <c r="AE77" i="12"/>
  <c r="AE78" i="12"/>
  <c r="AE79" i="12"/>
  <c r="AE80" i="12"/>
  <c r="AE81" i="12"/>
  <c r="AE82" i="12"/>
  <c r="AE83" i="12"/>
  <c r="AE84" i="12"/>
  <c r="AE85" i="12"/>
  <c r="AE86" i="12"/>
  <c r="AE87" i="12"/>
  <c r="AE88" i="12"/>
  <c r="AE89" i="12"/>
  <c r="AE90" i="12"/>
  <c r="AE91" i="12"/>
  <c r="AE92" i="12"/>
  <c r="AE93" i="12"/>
  <c r="AE94" i="12"/>
  <c r="AE95" i="12"/>
  <c r="AE96" i="12"/>
  <c r="AE97" i="12"/>
  <c r="AE98" i="12"/>
  <c r="AE99" i="12"/>
  <c r="AE100" i="12"/>
  <c r="AE101" i="12"/>
  <c r="AE102" i="12"/>
  <c r="AE103" i="12"/>
  <c r="AE104" i="12"/>
  <c r="AE105" i="12"/>
  <c r="AE106" i="12"/>
  <c r="AE107" i="12"/>
  <c r="AE108" i="12"/>
  <c r="AE109" i="12"/>
  <c r="AE110" i="12"/>
  <c r="AE111" i="12"/>
  <c r="AE112" i="12"/>
  <c r="AE113" i="12"/>
  <c r="AE114" i="12"/>
  <c r="AE115" i="12"/>
  <c r="AE116" i="12"/>
  <c r="AE117" i="12"/>
  <c r="AE118" i="12"/>
  <c r="AE119" i="12"/>
  <c r="AE120" i="12"/>
  <c r="AE121" i="12"/>
  <c r="AE122" i="12"/>
  <c r="AE123" i="12"/>
  <c r="AE124" i="12"/>
  <c r="AE125" i="12"/>
  <c r="AE126" i="12"/>
  <c r="AE127" i="12"/>
  <c r="AE128" i="12"/>
  <c r="AE129" i="12"/>
  <c r="AE130" i="12"/>
  <c r="AE131" i="12"/>
  <c r="AE132" i="12"/>
  <c r="AE133" i="12"/>
  <c r="AE134" i="12"/>
  <c r="AE135" i="12"/>
  <c r="AE136" i="12"/>
  <c r="AE137" i="12"/>
  <c r="AE138" i="12"/>
  <c r="AE139" i="12"/>
  <c r="AE140" i="12"/>
  <c r="AE141" i="12"/>
  <c r="AE142" i="12"/>
  <c r="AE143" i="12"/>
  <c r="AE144" i="12"/>
  <c r="AE145" i="12"/>
  <c r="AE146" i="12"/>
  <c r="AE147" i="12"/>
  <c r="AE148" i="12"/>
  <c r="AE149" i="12"/>
  <c r="AE150" i="12"/>
  <c r="AE151" i="12"/>
  <c r="AE152" i="12"/>
  <c r="AE153" i="12"/>
  <c r="AE154" i="12"/>
  <c r="AE155" i="12"/>
  <c r="AE156" i="12"/>
  <c r="AE157" i="12"/>
  <c r="AE158" i="12"/>
  <c r="AE159" i="12"/>
  <c r="AE160" i="12"/>
  <c r="AE161" i="12"/>
  <c r="AE162" i="12"/>
  <c r="AE163" i="12"/>
  <c r="AE164" i="12"/>
  <c r="AE165" i="12"/>
  <c r="AE166" i="12"/>
  <c r="AE167" i="12"/>
  <c r="AE168" i="12"/>
  <c r="AE169" i="12"/>
  <c r="AE170" i="12"/>
  <c r="AE171" i="12"/>
  <c r="AE172" i="12"/>
  <c r="AE173" i="12"/>
  <c r="AE174" i="12"/>
  <c r="AE175" i="12"/>
  <c r="AE176" i="12"/>
  <c r="AE177" i="12"/>
  <c r="AE178" i="12"/>
  <c r="AE179" i="12"/>
  <c r="AE180" i="12"/>
  <c r="AE181" i="12"/>
  <c r="AE182" i="12"/>
  <c r="AE183" i="12"/>
  <c r="AE184" i="12"/>
  <c r="AE185" i="12"/>
  <c r="AE186" i="12"/>
  <c r="AE187" i="12"/>
  <c r="AE188" i="12"/>
  <c r="AE189" i="12"/>
  <c r="AE190" i="12"/>
  <c r="AE191" i="12"/>
  <c r="AE192" i="12"/>
  <c r="AE193" i="12"/>
  <c r="AE194" i="12"/>
  <c r="AE195" i="12"/>
  <c r="AE196" i="12"/>
  <c r="AE197" i="12"/>
  <c r="AE198" i="12"/>
  <c r="AE199" i="12"/>
  <c r="AE200" i="12"/>
  <c r="AE201" i="12"/>
  <c r="AE11" i="12"/>
  <c r="M42" i="1"/>
  <c r="N42" i="1"/>
  <c r="G42" i="21" s="1"/>
  <c r="AK15" i="12"/>
  <c r="AK17" i="12" s="1"/>
  <c r="G43" i="15"/>
  <c r="G42" i="15"/>
  <c r="S27" i="1"/>
  <c r="T27" i="1"/>
  <c r="V27" i="1" s="1"/>
  <c r="U27" i="1"/>
  <c r="H43" i="1"/>
  <c r="F43" i="1"/>
  <c r="G43" i="1"/>
  <c r="E43" i="1"/>
  <c r="L43" i="1"/>
  <c r="S43" i="1" s="1"/>
  <c r="M43" i="1"/>
  <c r="T43" i="1" s="1"/>
  <c r="N43" i="1"/>
  <c r="U43" i="1" s="1"/>
  <c r="D29" i="15"/>
  <c r="CQ7" i="17"/>
  <c r="N45" i="21"/>
  <c r="M45" i="21"/>
  <c r="L45" i="21"/>
  <c r="N44" i="21"/>
  <c r="M44" i="21"/>
  <c r="L44" i="21"/>
  <c r="N41" i="21"/>
  <c r="M41" i="21"/>
  <c r="N40" i="21"/>
  <c r="U40" i="21" s="1"/>
  <c r="M40" i="21"/>
  <c r="N39" i="21"/>
  <c r="M39" i="21"/>
  <c r="T39" i="21" s="1"/>
  <c r="N38" i="21"/>
  <c r="M38" i="21"/>
  <c r="L38" i="21"/>
  <c r="N37" i="21"/>
  <c r="M37" i="21"/>
  <c r="L37" i="21"/>
  <c r="N36" i="21"/>
  <c r="U36" i="21" s="1"/>
  <c r="M36" i="21"/>
  <c r="N35" i="21"/>
  <c r="U35" i="21" s="1"/>
  <c r="M35" i="21"/>
  <c r="T35" i="21" s="1"/>
  <c r="L35" i="21"/>
  <c r="N34" i="21"/>
  <c r="M34" i="21"/>
  <c r="O29" i="21"/>
  <c r="O28" i="21"/>
  <c r="U28" i="21"/>
  <c r="H27" i="21"/>
  <c r="U27" i="21"/>
  <c r="T27" i="21"/>
  <c r="E27" i="21"/>
  <c r="S27" i="21" s="1"/>
  <c r="T26" i="21"/>
  <c r="O26" i="21"/>
  <c r="U41" i="21"/>
  <c r="U24" i="21"/>
  <c r="T23" i="21"/>
  <c r="T22" i="21"/>
  <c r="O22" i="21"/>
  <c r="O21" i="21"/>
  <c r="U20" i="21"/>
  <c r="O20" i="21"/>
  <c r="L36" i="21"/>
  <c r="O36" i="21" s="1"/>
  <c r="O19" i="21"/>
  <c r="O18" i="21"/>
  <c r="T18" i="21"/>
  <c r="O14" i="21"/>
  <c r="H14" i="21"/>
  <c r="D6" i="21"/>
  <c r="R27" i="15"/>
  <c r="K27" i="15"/>
  <c r="D27" i="15"/>
  <c r="K27" i="1"/>
  <c r="R27" i="1"/>
  <c r="R43" i="1"/>
  <c r="K43" i="1"/>
  <c r="D43" i="1"/>
  <c r="D27" i="1"/>
  <c r="BX5" i="17"/>
  <c r="DA5" i="17" s="1"/>
  <c r="BT194" i="22" l="1"/>
  <c r="BT190" i="22"/>
  <c r="BT186" i="22"/>
  <c r="BT182" i="22"/>
  <c r="BT178" i="22"/>
  <c r="BT174" i="22"/>
  <c r="BT170" i="22"/>
  <c r="BT166" i="22"/>
  <c r="BT162" i="22"/>
  <c r="BT158" i="22"/>
  <c r="BT154" i="22"/>
  <c r="BT150" i="22"/>
  <c r="BT146" i="22"/>
  <c r="BT142" i="22"/>
  <c r="BT138" i="22"/>
  <c r="BT134" i="22"/>
  <c r="BT130" i="22"/>
  <c r="BT126" i="22"/>
  <c r="BT122" i="22"/>
  <c r="BT118" i="22"/>
  <c r="BT114" i="22"/>
  <c r="BT110" i="22"/>
  <c r="BT106" i="22"/>
  <c r="BT102" i="22"/>
  <c r="BT98" i="22"/>
  <c r="BT94" i="22"/>
  <c r="BT90" i="22"/>
  <c r="BT86" i="22"/>
  <c r="BT82" i="22"/>
  <c r="BT78" i="22"/>
  <c r="BT74" i="22"/>
  <c r="BT70" i="22"/>
  <c r="BT66" i="22"/>
  <c r="BT62" i="22"/>
  <c r="BT58" i="22"/>
  <c r="BT54" i="22"/>
  <c r="BT50" i="22"/>
  <c r="BT46" i="22"/>
  <c r="BT42" i="22"/>
  <c r="BT38" i="22"/>
  <c r="BT34" i="22"/>
  <c r="BT30" i="22"/>
  <c r="BT26" i="22"/>
  <c r="BT22" i="22"/>
  <c r="BT18" i="22"/>
  <c r="BT14" i="22"/>
  <c r="BT10" i="22"/>
  <c r="BT6" i="22"/>
  <c r="BT198" i="22" s="1"/>
  <c r="BU197" i="22"/>
  <c r="BU193" i="22"/>
  <c r="BU189" i="22"/>
  <c r="BU185" i="22"/>
  <c r="BU181" i="22"/>
  <c r="BU177" i="22"/>
  <c r="BU173" i="22"/>
  <c r="BU169" i="22"/>
  <c r="BU165" i="22"/>
  <c r="BU161" i="22"/>
  <c r="BU157" i="22"/>
  <c r="BU153" i="22"/>
  <c r="BU149" i="22"/>
  <c r="BU145" i="22"/>
  <c r="BU141" i="22"/>
  <c r="BU137" i="22"/>
  <c r="BU133" i="22"/>
  <c r="BU129" i="22"/>
  <c r="BU125" i="22"/>
  <c r="BU121" i="22"/>
  <c r="BU117" i="22"/>
  <c r="BU113" i="22"/>
  <c r="BU109" i="22"/>
  <c r="BU105" i="22"/>
  <c r="BU101" i="22"/>
  <c r="BU97" i="22"/>
  <c r="BU93" i="22"/>
  <c r="BU89" i="22"/>
  <c r="BU85" i="22"/>
  <c r="BU81" i="22"/>
  <c r="BU77" i="22"/>
  <c r="BU73" i="22"/>
  <c r="BU69" i="22"/>
  <c r="BU65" i="22"/>
  <c r="BU61" i="22"/>
  <c r="BU57" i="22"/>
  <c r="BU53" i="22"/>
  <c r="BU49" i="22"/>
  <c r="BU45" i="22"/>
  <c r="BU41" i="22"/>
  <c r="BU37" i="22"/>
  <c r="BU33" i="22"/>
  <c r="BU29" i="22"/>
  <c r="BU25" i="22"/>
  <c r="BU21" i="22"/>
  <c r="BU17" i="22"/>
  <c r="BU13" i="22"/>
  <c r="BU9" i="22"/>
  <c r="BU5" i="22"/>
  <c r="BT196" i="22"/>
  <c r="BT192" i="22"/>
  <c r="BT188" i="22"/>
  <c r="BT184" i="22"/>
  <c r="BT180" i="22"/>
  <c r="BT176" i="22"/>
  <c r="BT172" i="22"/>
  <c r="BT168" i="22"/>
  <c r="BT164" i="22"/>
  <c r="BT160" i="22"/>
  <c r="BT156" i="22"/>
  <c r="BT152" i="22"/>
  <c r="BT148" i="22"/>
  <c r="BT144" i="22"/>
  <c r="BT140" i="22"/>
  <c r="BT136" i="22"/>
  <c r="BT132" i="22"/>
  <c r="BT128" i="22"/>
  <c r="BT124" i="22"/>
  <c r="BT120" i="22"/>
  <c r="BT116" i="22"/>
  <c r="BT112" i="22"/>
  <c r="BT108" i="22"/>
  <c r="BT104" i="22"/>
  <c r="BT100" i="22"/>
  <c r="BT96" i="22"/>
  <c r="BT92" i="22"/>
  <c r="BT88" i="22"/>
  <c r="BT84" i="22"/>
  <c r="BT80" i="22"/>
  <c r="BT76" i="22"/>
  <c r="BT72" i="22"/>
  <c r="BT68" i="22"/>
  <c r="BT64" i="22"/>
  <c r="BT60" i="22"/>
  <c r="BT56" i="22"/>
  <c r="BT52" i="22"/>
  <c r="BT48" i="22"/>
  <c r="BT44" i="22"/>
  <c r="BT40" i="22"/>
  <c r="BT36" i="22"/>
  <c r="BT32" i="22"/>
  <c r="BT28" i="22"/>
  <c r="BT24" i="22"/>
  <c r="BT20" i="22"/>
  <c r="BT16" i="22"/>
  <c r="BT12" i="22"/>
  <c r="BT8" i="22"/>
  <c r="BT4" i="22"/>
  <c r="BU195" i="22"/>
  <c r="BU191" i="22"/>
  <c r="BU187" i="22"/>
  <c r="BU183" i="22"/>
  <c r="BU179" i="22"/>
  <c r="BU175" i="22"/>
  <c r="BU171" i="22"/>
  <c r="BU167" i="22"/>
  <c r="BU163" i="22"/>
  <c r="BU159" i="22"/>
  <c r="BU155" i="22"/>
  <c r="BU151" i="22"/>
  <c r="BU147" i="22"/>
  <c r="BU143" i="22"/>
  <c r="BU139" i="22"/>
  <c r="BU135" i="22"/>
  <c r="BU131" i="22"/>
  <c r="BU127" i="22"/>
  <c r="BU123" i="22"/>
  <c r="BU119" i="22"/>
  <c r="BU115" i="22"/>
  <c r="BU111" i="22"/>
  <c r="BU107" i="22"/>
  <c r="BU103" i="22"/>
  <c r="BU99" i="22"/>
  <c r="BU95" i="22"/>
  <c r="BU91" i="22"/>
  <c r="BU87" i="22"/>
  <c r="BU83" i="22"/>
  <c r="BU79" i="22"/>
  <c r="BU75" i="22"/>
  <c r="BU71" i="22"/>
  <c r="BU67" i="22"/>
  <c r="BU63" i="22"/>
  <c r="BU59" i="22"/>
  <c r="BU55" i="22"/>
  <c r="BU51" i="22"/>
  <c r="BU47" i="22"/>
  <c r="BU43" i="22"/>
  <c r="BU39" i="22"/>
  <c r="BU35" i="22"/>
  <c r="BU31" i="22"/>
  <c r="BU27" i="22"/>
  <c r="BU23" i="22"/>
  <c r="BU19" i="22"/>
  <c r="BU15" i="22"/>
  <c r="BU11" i="22"/>
  <c r="BU7" i="22"/>
  <c r="BU3" i="22"/>
  <c r="E43" i="21"/>
  <c r="H43" i="21" s="1"/>
  <c r="G43" i="21"/>
  <c r="F43" i="21"/>
  <c r="BS198" i="22"/>
  <c r="T43" i="21"/>
  <c r="T37" i="21"/>
  <c r="O34" i="21"/>
  <c r="N43" i="21"/>
  <c r="U43" i="21" s="1"/>
  <c r="T38" i="21"/>
  <c r="T41" i="21"/>
  <c r="O44" i="21"/>
  <c r="U38" i="21"/>
  <c r="O38" i="21"/>
  <c r="T44" i="21"/>
  <c r="O45" i="21"/>
  <c r="L43" i="21"/>
  <c r="O43" i="21" s="1"/>
  <c r="O37" i="21"/>
  <c r="BR198" i="22"/>
  <c r="BU2" i="22"/>
  <c r="DN48" i="17"/>
  <c r="U37" i="21"/>
  <c r="U45" i="21"/>
  <c r="DD201" i="17"/>
  <c r="CY201" i="17"/>
  <c r="DK201" i="17"/>
  <c r="DH201" i="17"/>
  <c r="DC201" i="17"/>
  <c r="DN5" i="17"/>
  <c r="DN192" i="17"/>
  <c r="DN188" i="17"/>
  <c r="DN187" i="17"/>
  <c r="DN186" i="17"/>
  <c r="DN184" i="17"/>
  <c r="DN181" i="17"/>
  <c r="DN180" i="17"/>
  <c r="DN179" i="17"/>
  <c r="DN178" i="17"/>
  <c r="DN177" i="17"/>
  <c r="DN176" i="17"/>
  <c r="DN172" i="17"/>
  <c r="DN171" i="17"/>
  <c r="DN170" i="17"/>
  <c r="DN168" i="17"/>
  <c r="DN165" i="17"/>
  <c r="DN164" i="17"/>
  <c r="DN163" i="17"/>
  <c r="DN162" i="17"/>
  <c r="DN160" i="17"/>
  <c r="DN156" i="17"/>
  <c r="DN155" i="17"/>
  <c r="DN154" i="17"/>
  <c r="DN152" i="17"/>
  <c r="DN149" i="17"/>
  <c r="DJ201" i="17"/>
  <c r="DN133" i="17"/>
  <c r="DM201" i="17"/>
  <c r="DI201" i="17"/>
  <c r="DG201" i="17"/>
  <c r="DN148" i="17"/>
  <c r="DN147" i="17"/>
  <c r="DN146" i="17"/>
  <c r="DN145" i="17"/>
  <c r="DN144" i="17"/>
  <c r="DN140" i="17"/>
  <c r="DN139" i="17"/>
  <c r="DN138" i="17"/>
  <c r="DN136" i="17"/>
  <c r="DN132" i="17"/>
  <c r="DN131" i="17"/>
  <c r="DN130" i="17"/>
  <c r="DN128" i="17"/>
  <c r="DN124" i="17"/>
  <c r="DN123" i="17"/>
  <c r="DN122" i="17"/>
  <c r="DN119" i="17"/>
  <c r="DN116" i="17"/>
  <c r="DN115" i="17"/>
  <c r="DN114" i="17"/>
  <c r="DN113" i="17"/>
  <c r="DN111" i="17"/>
  <c r="DN107" i="17"/>
  <c r="DN106" i="17"/>
  <c r="DN105" i="17"/>
  <c r="DN103" i="17"/>
  <c r="DN100" i="17"/>
  <c r="DN99" i="17"/>
  <c r="DN98" i="17"/>
  <c r="DN97" i="17"/>
  <c r="DN95" i="17"/>
  <c r="DN91" i="17"/>
  <c r="DN90" i="17"/>
  <c r="DN89" i="17"/>
  <c r="DN87" i="17"/>
  <c r="DN84" i="17"/>
  <c r="DN83" i="17"/>
  <c r="DN82" i="17"/>
  <c r="DN81" i="17"/>
  <c r="DN79" i="17"/>
  <c r="DN75" i="17"/>
  <c r="DN74" i="17"/>
  <c r="DN73" i="17"/>
  <c r="DN71" i="17"/>
  <c r="DN68" i="17"/>
  <c r="DN67" i="17"/>
  <c r="DN66" i="17"/>
  <c r="DN65" i="17"/>
  <c r="DN63" i="17"/>
  <c r="DN59" i="17"/>
  <c r="DN58" i="17"/>
  <c r="DN57" i="17"/>
  <c r="DN55" i="17"/>
  <c r="DN52" i="17"/>
  <c r="DN51" i="17"/>
  <c r="DN50" i="17"/>
  <c r="DN49" i="17"/>
  <c r="DN47" i="17"/>
  <c r="DN43" i="17"/>
  <c r="DN42" i="17"/>
  <c r="DN41" i="17"/>
  <c r="DN39" i="17"/>
  <c r="DN36" i="17"/>
  <c r="DN35" i="17"/>
  <c r="DN34" i="17"/>
  <c r="DN33" i="17"/>
  <c r="DN31" i="17"/>
  <c r="DN27" i="17"/>
  <c r="DN26" i="17"/>
  <c r="DN25" i="17"/>
  <c r="CZ201" i="17"/>
  <c r="DN23" i="17"/>
  <c r="DN20" i="17"/>
  <c r="DN19" i="17"/>
  <c r="DN18" i="17"/>
  <c r="DN17" i="17"/>
  <c r="DN15" i="17"/>
  <c r="DN11" i="17"/>
  <c r="DN10" i="17"/>
  <c r="DN9" i="17"/>
  <c r="DN7" i="17"/>
  <c r="DN112" i="17"/>
  <c r="DN80" i="17"/>
  <c r="DN16" i="17"/>
  <c r="DF201" i="17"/>
  <c r="DE201" i="17"/>
  <c r="DN141" i="17"/>
  <c r="DN137" i="17"/>
  <c r="DN129" i="17"/>
  <c r="DN125" i="17"/>
  <c r="DN121" i="17"/>
  <c r="DN108" i="17"/>
  <c r="DN104" i="17"/>
  <c r="DN96" i="17"/>
  <c r="DN92" i="17"/>
  <c r="DN88" i="17"/>
  <c r="DN76" i="17"/>
  <c r="DN72" i="17"/>
  <c r="DN60" i="17"/>
  <c r="DN56" i="17"/>
  <c r="DN44" i="17"/>
  <c r="DN40" i="17"/>
  <c r="DN28" i="17"/>
  <c r="DN24" i="17"/>
  <c r="DN12" i="17"/>
  <c r="DN8" i="17"/>
  <c r="DN32" i="17"/>
  <c r="DN189" i="17"/>
  <c r="DN169" i="17"/>
  <c r="DN157" i="17"/>
  <c r="DN185" i="17"/>
  <c r="DN173" i="17"/>
  <c r="DN161" i="17"/>
  <c r="DN153" i="17"/>
  <c r="DN64" i="17"/>
  <c r="DN191" i="17"/>
  <c r="DN190" i="17"/>
  <c r="DN183" i="17"/>
  <c r="DN182" i="17"/>
  <c r="DN175" i="17"/>
  <c r="DN174" i="17"/>
  <c r="DN167" i="17"/>
  <c r="DN166" i="17"/>
  <c r="DN159" i="17"/>
  <c r="DN158" i="17"/>
  <c r="DN151" i="17"/>
  <c r="DN150" i="17"/>
  <c r="DN143" i="17"/>
  <c r="DN142" i="17"/>
  <c r="DN135" i="17"/>
  <c r="DN134" i="17"/>
  <c r="DN127" i="17"/>
  <c r="DN126" i="17"/>
  <c r="DN118" i="17"/>
  <c r="DN117" i="17"/>
  <c r="DN110" i="17"/>
  <c r="DN109" i="17"/>
  <c r="DN102" i="17"/>
  <c r="DN101" i="17"/>
  <c r="DN94" i="17"/>
  <c r="DN93" i="17"/>
  <c r="DN86" i="17"/>
  <c r="DN85" i="17"/>
  <c r="DN78" i="17"/>
  <c r="DN77" i="17"/>
  <c r="DN70" i="17"/>
  <c r="DN69" i="17"/>
  <c r="DN62" i="17"/>
  <c r="DN61" i="17"/>
  <c r="DN54" i="17"/>
  <c r="DN53" i="17"/>
  <c r="DN46" i="17"/>
  <c r="DN45" i="17"/>
  <c r="DN38" i="17"/>
  <c r="DN37" i="17"/>
  <c r="DN30" i="17"/>
  <c r="DN29" i="17"/>
  <c r="DN22" i="17"/>
  <c r="DN21" i="17"/>
  <c r="DN14" i="17"/>
  <c r="DN13" i="17"/>
  <c r="DN6" i="17"/>
  <c r="DN194" i="17"/>
  <c r="DN120" i="17"/>
  <c r="DN193" i="17"/>
  <c r="DN198" i="17"/>
  <c r="DN195" i="17"/>
  <c r="DN197" i="17"/>
  <c r="DN196" i="17"/>
  <c r="DN200" i="17"/>
  <c r="DN199" i="17"/>
  <c r="F43" i="15"/>
  <c r="O43" i="1"/>
  <c r="V43" i="1"/>
  <c r="T42" i="21"/>
  <c r="M46" i="21"/>
  <c r="O42" i="21"/>
  <c r="V27" i="21"/>
  <c r="U44" i="21"/>
  <c r="F34" i="21"/>
  <c r="F46" i="21" s="1"/>
  <c r="T36" i="21"/>
  <c r="T40" i="21"/>
  <c r="U23" i="21"/>
  <c r="O35" i="21"/>
  <c r="U42" i="21"/>
  <c r="T45" i="21"/>
  <c r="G34" i="21"/>
  <c r="G46" i="21" s="1"/>
  <c r="T25" i="21"/>
  <c r="T28" i="21"/>
  <c r="T19" i="21"/>
  <c r="U25" i="21"/>
  <c r="U19" i="21"/>
  <c r="U39" i="21"/>
  <c r="F26" i="15"/>
  <c r="F42" i="15" s="1"/>
  <c r="G26" i="15"/>
  <c r="E27" i="15"/>
  <c r="F27" i="15"/>
  <c r="G27" i="15"/>
  <c r="F28" i="15"/>
  <c r="G28" i="15"/>
  <c r="F29" i="15"/>
  <c r="G29" i="15"/>
  <c r="F25" i="15"/>
  <c r="G25" i="15"/>
  <c r="T27" i="15"/>
  <c r="M43" i="15"/>
  <c r="N43" i="15"/>
  <c r="U27" i="15"/>
  <c r="T36" i="13"/>
  <c r="T11" i="13"/>
  <c r="X11" i="13" s="1"/>
  <c r="U11" i="13"/>
  <c r="CW30" i="17"/>
  <c r="CV30" i="17"/>
  <c r="CU30" i="17"/>
  <c r="BU198" i="22" l="1"/>
  <c r="N46" i="21"/>
  <c r="S43" i="21"/>
  <c r="V43" i="21" s="1"/>
  <c r="DO198" i="17"/>
  <c r="DO199" i="17"/>
  <c r="DO197" i="17"/>
  <c r="DO194" i="17"/>
  <c r="DO200" i="17"/>
  <c r="DO195" i="17"/>
  <c r="DO193" i="17"/>
  <c r="DN201" i="17"/>
  <c r="DO196" i="17"/>
  <c r="H43" i="15"/>
  <c r="U34" i="21"/>
  <c r="U46" i="21" s="1"/>
  <c r="T34" i="21"/>
  <c r="T46" i="21" s="1"/>
  <c r="H27" i="15"/>
  <c r="U43" i="15"/>
  <c r="T43" i="15"/>
  <c r="BB30" i="17"/>
  <c r="BV30" i="19" l="1"/>
  <c r="D4" i="1"/>
  <c r="P8" i="19"/>
  <c r="Q8" i="19" s="1"/>
  <c r="CA9" i="19"/>
  <c r="CA10" i="19"/>
  <c r="CA12" i="19"/>
  <c r="CA16" i="19"/>
  <c r="CA17" i="19"/>
  <c r="CA18" i="19"/>
  <c r="CA20" i="19"/>
  <c r="CA21" i="19"/>
  <c r="CA24" i="19"/>
  <c r="CA25" i="19"/>
  <c r="CA27" i="19"/>
  <c r="CA28" i="19"/>
  <c r="CA31" i="19"/>
  <c r="CA33" i="19"/>
  <c r="CA35" i="19"/>
  <c r="CA36" i="19"/>
  <c r="CA41" i="19"/>
  <c r="CA43" i="19"/>
  <c r="CA45" i="19"/>
  <c r="CA47" i="19"/>
  <c r="CA48" i="19"/>
  <c r="CA51" i="19"/>
  <c r="CA53" i="19"/>
  <c r="CA55" i="19"/>
  <c r="CA56" i="19"/>
  <c r="CA58" i="19"/>
  <c r="CA59" i="19"/>
  <c r="CA62" i="19"/>
  <c r="CA65" i="19"/>
  <c r="CA66" i="19"/>
  <c r="CA70" i="19"/>
  <c r="CA71" i="19"/>
  <c r="CA73" i="19"/>
  <c r="CA77" i="19"/>
  <c r="CA81" i="19"/>
  <c r="CA82" i="19"/>
  <c r="CA83" i="19"/>
  <c r="CA84" i="19"/>
  <c r="CA86" i="19"/>
  <c r="CA87" i="19"/>
  <c r="CA88" i="19"/>
  <c r="CA90" i="19"/>
  <c r="CA92" i="19"/>
  <c r="CA93" i="19"/>
  <c r="CA94" i="19"/>
  <c r="CA95" i="19"/>
  <c r="CA98" i="19"/>
  <c r="CA100" i="19"/>
  <c r="CA104" i="19"/>
  <c r="CA105" i="19"/>
  <c r="CA107" i="19"/>
  <c r="CA110" i="19"/>
  <c r="CA111" i="19"/>
  <c r="CA115" i="19"/>
  <c r="CA117" i="19"/>
  <c r="CA118" i="19"/>
  <c r="CA119" i="19"/>
  <c r="CA120" i="19"/>
  <c r="CA121" i="19"/>
  <c r="CA123" i="19"/>
  <c r="CA127" i="19"/>
  <c r="CA129" i="19"/>
  <c r="CA130" i="19"/>
  <c r="CA132" i="19"/>
  <c r="CA133" i="19"/>
  <c r="CA135" i="19"/>
  <c r="CA136" i="19"/>
  <c r="CA137" i="19"/>
  <c r="CA138" i="19"/>
  <c r="CA140" i="19"/>
  <c r="CA142" i="19"/>
  <c r="CA143" i="19"/>
  <c r="CA144" i="19"/>
  <c r="CA146" i="19"/>
  <c r="CA147" i="19"/>
  <c r="CA148" i="19"/>
  <c r="CA149" i="19"/>
  <c r="CA151" i="19"/>
  <c r="CA153" i="19"/>
  <c r="CA158" i="19"/>
  <c r="CA161" i="19"/>
  <c r="CA162" i="19"/>
  <c r="CA164" i="19"/>
  <c r="CA165" i="19"/>
  <c r="CA166" i="19"/>
  <c r="CA170" i="19"/>
  <c r="CA172" i="19"/>
  <c r="CA173" i="19"/>
  <c r="CA175" i="19"/>
  <c r="CA177" i="19"/>
  <c r="CA178" i="19"/>
  <c r="CA179" i="19"/>
  <c r="CA181" i="19"/>
  <c r="CA182" i="19"/>
  <c r="CA183" i="19"/>
  <c r="CA184" i="19"/>
  <c r="CA185" i="19"/>
  <c r="CA193" i="19"/>
  <c r="CA194" i="19"/>
  <c r="CA199" i="19"/>
  <c r="CA200" i="19"/>
  <c r="CA202" i="19"/>
  <c r="CA205" i="19"/>
  <c r="CA207" i="19"/>
  <c r="BB208" i="19"/>
  <c r="BA208" i="19"/>
  <c r="AZ208" i="19"/>
  <c r="AY208" i="19"/>
  <c r="AX208" i="19"/>
  <c r="AW208" i="19"/>
  <c r="AV208" i="19"/>
  <c r="AS208" i="19"/>
  <c r="AM208" i="19"/>
  <c r="AL208" i="19"/>
  <c r="AK208" i="19"/>
  <c r="AG208" i="19"/>
  <c r="AF208" i="19"/>
  <c r="AE208" i="19"/>
  <c r="AD208" i="19"/>
  <c r="AC208" i="19"/>
  <c r="AB208" i="19"/>
  <c r="X208" i="19"/>
  <c r="W208" i="19"/>
  <c r="V208" i="19"/>
  <c r="U208" i="19"/>
  <c r="T208" i="19"/>
  <c r="S208" i="19"/>
  <c r="O208" i="19"/>
  <c r="N208" i="19"/>
  <c r="M208" i="19"/>
  <c r="L208" i="19"/>
  <c r="K208" i="19"/>
  <c r="J208" i="19"/>
  <c r="H208" i="19"/>
  <c r="EC207" i="19"/>
  <c r="EB207" i="19"/>
  <c r="BU207" i="19"/>
  <c r="BT207" i="19"/>
  <c r="BS207" i="19"/>
  <c r="BR207" i="19"/>
  <c r="BQ207" i="19"/>
  <c r="BP207" i="19"/>
  <c r="BO207" i="19"/>
  <c r="BK207" i="19"/>
  <c r="BJ207" i="19"/>
  <c r="BI207" i="19"/>
  <c r="BH207" i="19"/>
  <c r="BG207" i="19"/>
  <c r="BF207" i="19"/>
  <c r="BE207" i="19"/>
  <c r="BC207" i="19"/>
  <c r="AT207" i="19"/>
  <c r="AQ207" i="19"/>
  <c r="AP207" i="19"/>
  <c r="AO207" i="19"/>
  <c r="AH207" i="19"/>
  <c r="AI207" i="19" s="1"/>
  <c r="Y207" i="19"/>
  <c r="Z207" i="19" s="1"/>
  <c r="P207" i="19"/>
  <c r="Q207" i="19" s="1"/>
  <c r="EC206" i="19"/>
  <c r="EB206" i="19"/>
  <c r="BU206" i="19"/>
  <c r="BT206" i="19"/>
  <c r="BS206" i="19"/>
  <c r="BR206" i="19"/>
  <c r="BQ206" i="19"/>
  <c r="BP206" i="19"/>
  <c r="BO206" i="19"/>
  <c r="BK206" i="19"/>
  <c r="BJ206" i="19"/>
  <c r="BI206" i="19"/>
  <c r="BH206" i="19"/>
  <c r="BG206" i="19"/>
  <c r="BF206" i="19"/>
  <c r="BE206" i="19"/>
  <c r="BC206" i="19"/>
  <c r="AT206" i="19"/>
  <c r="AQ206" i="19"/>
  <c r="AP206" i="19"/>
  <c r="AO206" i="19"/>
  <c r="AH206" i="19"/>
  <c r="AI206" i="19" s="1"/>
  <c r="Y206" i="19"/>
  <c r="Z206" i="19" s="1"/>
  <c r="P206" i="19"/>
  <c r="EC205" i="19"/>
  <c r="EB205" i="19"/>
  <c r="BU205" i="19"/>
  <c r="BT205" i="19"/>
  <c r="BS205" i="19"/>
  <c r="BR205" i="19"/>
  <c r="BQ205" i="19"/>
  <c r="BP205" i="19"/>
  <c r="BO205" i="19"/>
  <c r="BK205" i="19"/>
  <c r="BJ205" i="19"/>
  <c r="BI205" i="19"/>
  <c r="BH205" i="19"/>
  <c r="BG205" i="19"/>
  <c r="BF205" i="19"/>
  <c r="BE205" i="19"/>
  <c r="BC205" i="19"/>
  <c r="AT205" i="19"/>
  <c r="AQ205" i="19"/>
  <c r="AP205" i="19"/>
  <c r="AO205" i="19"/>
  <c r="AH205" i="19"/>
  <c r="AI205" i="19" s="1"/>
  <c r="Y205" i="19"/>
  <c r="Z205" i="19" s="1"/>
  <c r="P205" i="19"/>
  <c r="EC204" i="19"/>
  <c r="EB204" i="19"/>
  <c r="BU204" i="19"/>
  <c r="BT204" i="19"/>
  <c r="BS204" i="19"/>
  <c r="BR204" i="19"/>
  <c r="BQ204" i="19"/>
  <c r="BP204" i="19"/>
  <c r="BO204" i="19"/>
  <c r="BK204" i="19"/>
  <c r="BJ204" i="19"/>
  <c r="BI204" i="19"/>
  <c r="BH204" i="19"/>
  <c r="BG204" i="19"/>
  <c r="BF204" i="19"/>
  <c r="BE204" i="19"/>
  <c r="BC204" i="19"/>
  <c r="AT204" i="19"/>
  <c r="AQ204" i="19"/>
  <c r="AP204" i="19"/>
  <c r="AO204" i="19"/>
  <c r="P204" i="19"/>
  <c r="Q204" i="19" s="1"/>
  <c r="EC203" i="19"/>
  <c r="EB203" i="19"/>
  <c r="BU203" i="19"/>
  <c r="BT203" i="19"/>
  <c r="BS203" i="19"/>
  <c r="BR203" i="19"/>
  <c r="BQ203" i="19"/>
  <c r="BP203" i="19"/>
  <c r="BO203" i="19"/>
  <c r="BK203" i="19"/>
  <c r="BJ203" i="19"/>
  <c r="BI203" i="19"/>
  <c r="BH203" i="19"/>
  <c r="BG203" i="19"/>
  <c r="BF203" i="19"/>
  <c r="BE203" i="19"/>
  <c r="BC203" i="19"/>
  <c r="AT203" i="19"/>
  <c r="AQ203" i="19"/>
  <c r="AP203" i="19"/>
  <c r="AO203" i="19"/>
  <c r="AH203" i="19"/>
  <c r="AI203" i="19" s="1"/>
  <c r="Y203" i="19"/>
  <c r="Z203" i="19" s="1"/>
  <c r="P203" i="19"/>
  <c r="Q203" i="19" s="1"/>
  <c r="EC202" i="19"/>
  <c r="EB202" i="19"/>
  <c r="BU202" i="19"/>
  <c r="BT202" i="19"/>
  <c r="BS202" i="19"/>
  <c r="BR202" i="19"/>
  <c r="BQ202" i="19"/>
  <c r="BP202" i="19"/>
  <c r="BO202" i="19"/>
  <c r="BK202" i="19"/>
  <c r="BJ202" i="19"/>
  <c r="BI202" i="19"/>
  <c r="BH202" i="19"/>
  <c r="BG202" i="19"/>
  <c r="BF202" i="19"/>
  <c r="BE202" i="19"/>
  <c r="BC202" i="19"/>
  <c r="AT202" i="19"/>
  <c r="AQ202" i="19"/>
  <c r="AP202" i="19"/>
  <c r="AO202" i="19"/>
  <c r="AH202" i="19"/>
  <c r="AI202" i="19" s="1"/>
  <c r="Y202" i="19"/>
  <c r="Z202" i="19" s="1"/>
  <c r="P202" i="19"/>
  <c r="EC201" i="19"/>
  <c r="EB201" i="19"/>
  <c r="BU201" i="19"/>
  <c r="BT201" i="19"/>
  <c r="BS201" i="19"/>
  <c r="BR201" i="19"/>
  <c r="BQ201" i="19"/>
  <c r="BP201" i="19"/>
  <c r="BO201" i="19"/>
  <c r="BK201" i="19"/>
  <c r="BJ201" i="19"/>
  <c r="BI201" i="19"/>
  <c r="BH201" i="19"/>
  <c r="BG201" i="19"/>
  <c r="BF201" i="19"/>
  <c r="BE201" i="19"/>
  <c r="BC201" i="19"/>
  <c r="AT201" i="19"/>
  <c r="AQ201" i="19"/>
  <c r="AP201" i="19"/>
  <c r="AO201" i="19"/>
  <c r="AH201" i="19"/>
  <c r="AI201" i="19" s="1"/>
  <c r="Y201" i="19"/>
  <c r="Z201" i="19" s="1"/>
  <c r="P201" i="19"/>
  <c r="Q201" i="19" s="1"/>
  <c r="EC200" i="19"/>
  <c r="EB200" i="19"/>
  <c r="BU200" i="19"/>
  <c r="BT200" i="19"/>
  <c r="BS200" i="19"/>
  <c r="BR200" i="19"/>
  <c r="BQ200" i="19"/>
  <c r="BP200" i="19"/>
  <c r="BO200" i="19"/>
  <c r="BK200" i="19"/>
  <c r="BJ200" i="19"/>
  <c r="BI200" i="19"/>
  <c r="BH200" i="19"/>
  <c r="BG200" i="19"/>
  <c r="BF200" i="19"/>
  <c r="BE200" i="19"/>
  <c r="BC200" i="19"/>
  <c r="AT200" i="19"/>
  <c r="AQ200" i="19"/>
  <c r="AP200" i="19"/>
  <c r="AO200" i="19"/>
  <c r="AH200" i="19"/>
  <c r="AI200" i="19" s="1"/>
  <c r="Y200" i="19"/>
  <c r="Z200" i="19" s="1"/>
  <c r="P200" i="19"/>
  <c r="Q200" i="19" s="1"/>
  <c r="EC199" i="19"/>
  <c r="EB199" i="19"/>
  <c r="BU199" i="19"/>
  <c r="BT199" i="19"/>
  <c r="BS199" i="19"/>
  <c r="BR199" i="19"/>
  <c r="BQ199" i="19"/>
  <c r="BP199" i="19"/>
  <c r="BO199" i="19"/>
  <c r="BK199" i="19"/>
  <c r="BJ199" i="19"/>
  <c r="BI199" i="19"/>
  <c r="BH199" i="19"/>
  <c r="BG199" i="19"/>
  <c r="BF199" i="19"/>
  <c r="BE199" i="19"/>
  <c r="BC199" i="19"/>
  <c r="AT199" i="19"/>
  <c r="AQ199" i="19"/>
  <c r="AP199" i="19"/>
  <c r="AO199" i="19"/>
  <c r="AH199" i="19"/>
  <c r="AI199" i="19" s="1"/>
  <c r="Y199" i="19"/>
  <c r="Z199" i="19" s="1"/>
  <c r="P199" i="19"/>
  <c r="Q199" i="19" s="1"/>
  <c r="EC198" i="19"/>
  <c r="EB198" i="19"/>
  <c r="BU198" i="19"/>
  <c r="BT198" i="19"/>
  <c r="BS198" i="19"/>
  <c r="BR198" i="19"/>
  <c r="BQ198" i="19"/>
  <c r="BP198" i="19"/>
  <c r="BO198" i="19"/>
  <c r="BK198" i="19"/>
  <c r="BJ198" i="19"/>
  <c r="BI198" i="19"/>
  <c r="BH198" i="19"/>
  <c r="BG198" i="19"/>
  <c r="BF198" i="19"/>
  <c r="BE198" i="19"/>
  <c r="BC198" i="19"/>
  <c r="AT198" i="19"/>
  <c r="AQ198" i="19"/>
  <c r="AP198" i="19"/>
  <c r="AO198" i="19"/>
  <c r="P198" i="19"/>
  <c r="EC197" i="19"/>
  <c r="EB197" i="19"/>
  <c r="BU197" i="19"/>
  <c r="BT197" i="19"/>
  <c r="BS197" i="19"/>
  <c r="BR197" i="19"/>
  <c r="BQ197" i="19"/>
  <c r="BP197" i="19"/>
  <c r="BO197" i="19"/>
  <c r="BK197" i="19"/>
  <c r="BJ197" i="19"/>
  <c r="BI197" i="19"/>
  <c r="BH197" i="19"/>
  <c r="BG197" i="19"/>
  <c r="BF197" i="19"/>
  <c r="BE197" i="19"/>
  <c r="BC197" i="19"/>
  <c r="AT197" i="19"/>
  <c r="AQ197" i="19"/>
  <c r="AP197" i="19"/>
  <c r="AO197" i="19"/>
  <c r="P197" i="19"/>
  <c r="Q197" i="19" s="1"/>
  <c r="EC196" i="19"/>
  <c r="EB196" i="19"/>
  <c r="BU196" i="19"/>
  <c r="BT196" i="19"/>
  <c r="BS196" i="19"/>
  <c r="BR196" i="19"/>
  <c r="BQ196" i="19"/>
  <c r="BP196" i="19"/>
  <c r="BO196" i="19"/>
  <c r="BK196" i="19"/>
  <c r="BJ196" i="19"/>
  <c r="BI196" i="19"/>
  <c r="BH196" i="19"/>
  <c r="BG196" i="19"/>
  <c r="BF196" i="19"/>
  <c r="BE196" i="19"/>
  <c r="BC196" i="19"/>
  <c r="AT196" i="19"/>
  <c r="AQ196" i="19"/>
  <c r="AP196" i="19"/>
  <c r="AO196" i="19"/>
  <c r="AH196" i="19"/>
  <c r="AI196" i="19" s="1"/>
  <c r="Y196" i="19"/>
  <c r="Z196" i="19" s="1"/>
  <c r="P196" i="19"/>
  <c r="Q196" i="19" s="1"/>
  <c r="EC195" i="19"/>
  <c r="EB195" i="19"/>
  <c r="BU195" i="19"/>
  <c r="BT195" i="19"/>
  <c r="BS195" i="19"/>
  <c r="BR195" i="19"/>
  <c r="BQ195" i="19"/>
  <c r="BP195" i="19"/>
  <c r="BO195" i="19"/>
  <c r="BK195" i="19"/>
  <c r="BJ195" i="19"/>
  <c r="BI195" i="19"/>
  <c r="BH195" i="19"/>
  <c r="BG195" i="19"/>
  <c r="BF195" i="19"/>
  <c r="BE195" i="19"/>
  <c r="BC195" i="19"/>
  <c r="AT195" i="19"/>
  <c r="AQ195" i="19"/>
  <c r="AP195" i="19"/>
  <c r="AO195" i="19"/>
  <c r="AH195" i="19"/>
  <c r="AI195" i="19" s="1"/>
  <c r="Y195" i="19"/>
  <c r="Z195" i="19" s="1"/>
  <c r="P195" i="19"/>
  <c r="Q195" i="19" s="1"/>
  <c r="EC194" i="19"/>
  <c r="EB194" i="19"/>
  <c r="BU194" i="19"/>
  <c r="BT194" i="19"/>
  <c r="BS194" i="19"/>
  <c r="BR194" i="19"/>
  <c r="BQ194" i="19"/>
  <c r="BP194" i="19"/>
  <c r="BO194" i="19"/>
  <c r="BK194" i="19"/>
  <c r="BJ194" i="19"/>
  <c r="BI194" i="19"/>
  <c r="BH194" i="19"/>
  <c r="BG194" i="19"/>
  <c r="BF194" i="19"/>
  <c r="BE194" i="19"/>
  <c r="BC194" i="19"/>
  <c r="AT194" i="19"/>
  <c r="AQ194" i="19"/>
  <c r="AP194" i="19"/>
  <c r="AO194" i="19"/>
  <c r="AH194" i="19"/>
  <c r="AI194" i="19" s="1"/>
  <c r="Y194" i="19"/>
  <c r="Z194" i="19" s="1"/>
  <c r="P194" i="19"/>
  <c r="EC193" i="19"/>
  <c r="EB193" i="19"/>
  <c r="BU193" i="19"/>
  <c r="BT193" i="19"/>
  <c r="BS193" i="19"/>
  <c r="BR193" i="19"/>
  <c r="BQ193" i="19"/>
  <c r="BP193" i="19"/>
  <c r="BO193" i="19"/>
  <c r="BK193" i="19"/>
  <c r="BJ193" i="19"/>
  <c r="BI193" i="19"/>
  <c r="BH193" i="19"/>
  <c r="BG193" i="19"/>
  <c r="BF193" i="19"/>
  <c r="BE193" i="19"/>
  <c r="BC193" i="19"/>
  <c r="AT193" i="19"/>
  <c r="AQ193" i="19"/>
  <c r="AP193" i="19"/>
  <c r="AO193" i="19"/>
  <c r="AH193" i="19"/>
  <c r="AI193" i="19" s="1"/>
  <c r="Y193" i="19"/>
  <c r="Z193" i="19" s="1"/>
  <c r="P193" i="19"/>
  <c r="Q193" i="19" s="1"/>
  <c r="EC192" i="19"/>
  <c r="EB192" i="19"/>
  <c r="BU192" i="19"/>
  <c r="BT192" i="19"/>
  <c r="BS192" i="19"/>
  <c r="BR192" i="19"/>
  <c r="BQ192" i="19"/>
  <c r="BP192" i="19"/>
  <c r="BO192" i="19"/>
  <c r="BK192" i="19"/>
  <c r="BJ192" i="19"/>
  <c r="BI192" i="19"/>
  <c r="BH192" i="19"/>
  <c r="BG192" i="19"/>
  <c r="BF192" i="19"/>
  <c r="BE192" i="19"/>
  <c r="BC192" i="19"/>
  <c r="AT192" i="19"/>
  <c r="AQ192" i="19"/>
  <c r="AP192" i="19"/>
  <c r="AO192" i="19"/>
  <c r="AH192" i="19"/>
  <c r="AI192" i="19" s="1"/>
  <c r="Y192" i="19"/>
  <c r="Z192" i="19" s="1"/>
  <c r="P192" i="19"/>
  <c r="Q192" i="19" s="1"/>
  <c r="EC191" i="19"/>
  <c r="EB191" i="19"/>
  <c r="BU191" i="19"/>
  <c r="BT191" i="19"/>
  <c r="BS191" i="19"/>
  <c r="BR191" i="19"/>
  <c r="BQ191" i="19"/>
  <c r="BP191" i="19"/>
  <c r="BO191" i="19"/>
  <c r="BK191" i="19"/>
  <c r="BJ191" i="19"/>
  <c r="BI191" i="19"/>
  <c r="BH191" i="19"/>
  <c r="BG191" i="19"/>
  <c r="BF191" i="19"/>
  <c r="BE191" i="19"/>
  <c r="BC191" i="19"/>
  <c r="AT191" i="19"/>
  <c r="AQ191" i="19"/>
  <c r="AP191" i="19"/>
  <c r="AO191" i="19"/>
  <c r="AH191" i="19"/>
  <c r="AI191" i="19" s="1"/>
  <c r="Y191" i="19"/>
  <c r="Z191" i="19" s="1"/>
  <c r="P191" i="19"/>
  <c r="Q191" i="19" s="1"/>
  <c r="EC190" i="19"/>
  <c r="EB190" i="19"/>
  <c r="BU190" i="19"/>
  <c r="BT190" i="19"/>
  <c r="BS190" i="19"/>
  <c r="BR190" i="19"/>
  <c r="BQ190" i="19"/>
  <c r="BP190" i="19"/>
  <c r="BO190" i="19"/>
  <c r="BK190" i="19"/>
  <c r="BJ190" i="19"/>
  <c r="BI190" i="19"/>
  <c r="BH190" i="19"/>
  <c r="BG190" i="19"/>
  <c r="BF190" i="19"/>
  <c r="BE190" i="19"/>
  <c r="BC190" i="19"/>
  <c r="AT190" i="19"/>
  <c r="AQ190" i="19"/>
  <c r="AP190" i="19"/>
  <c r="AO190" i="19"/>
  <c r="P190" i="19"/>
  <c r="Q190" i="19" s="1"/>
  <c r="EC189" i="19"/>
  <c r="EB189" i="19"/>
  <c r="BU189" i="19"/>
  <c r="BT189" i="19"/>
  <c r="BS189" i="19"/>
  <c r="BR189" i="19"/>
  <c r="BQ189" i="19"/>
  <c r="BP189" i="19"/>
  <c r="BO189" i="19"/>
  <c r="BK189" i="19"/>
  <c r="BJ189" i="19"/>
  <c r="BI189" i="19"/>
  <c r="BH189" i="19"/>
  <c r="BG189" i="19"/>
  <c r="BF189" i="19"/>
  <c r="BE189" i="19"/>
  <c r="BC189" i="19"/>
  <c r="AT189" i="19"/>
  <c r="AQ189" i="19"/>
  <c r="AP189" i="19"/>
  <c r="AO189" i="19"/>
  <c r="AH189" i="19"/>
  <c r="AI189" i="19" s="1"/>
  <c r="Y189" i="19"/>
  <c r="Z189" i="19" s="1"/>
  <c r="P189" i="19"/>
  <c r="Q189" i="19" s="1"/>
  <c r="EC188" i="19"/>
  <c r="EB188" i="19"/>
  <c r="BU188" i="19"/>
  <c r="BT188" i="19"/>
  <c r="BS188" i="19"/>
  <c r="BR188" i="19"/>
  <c r="BQ188" i="19"/>
  <c r="BP188" i="19"/>
  <c r="BO188" i="19"/>
  <c r="BK188" i="19"/>
  <c r="BJ188" i="19"/>
  <c r="BI188" i="19"/>
  <c r="BH188" i="19"/>
  <c r="BG188" i="19"/>
  <c r="BF188" i="19"/>
  <c r="BE188" i="19"/>
  <c r="BC188" i="19"/>
  <c r="AT188" i="19"/>
  <c r="AQ188" i="19"/>
  <c r="AP188" i="19"/>
  <c r="AO188" i="19"/>
  <c r="AH188" i="19"/>
  <c r="AI188" i="19" s="1"/>
  <c r="Y188" i="19"/>
  <c r="Z188" i="19" s="1"/>
  <c r="P188" i="19"/>
  <c r="Q188" i="19" s="1"/>
  <c r="EC187" i="19"/>
  <c r="EB187" i="19"/>
  <c r="BU187" i="19"/>
  <c r="BT187" i="19"/>
  <c r="BS187" i="19"/>
  <c r="BR187" i="19"/>
  <c r="BQ187" i="19"/>
  <c r="BP187" i="19"/>
  <c r="BO187" i="19"/>
  <c r="BK187" i="19"/>
  <c r="BJ187" i="19"/>
  <c r="BI187" i="19"/>
  <c r="BH187" i="19"/>
  <c r="BG187" i="19"/>
  <c r="BF187" i="19"/>
  <c r="BE187" i="19"/>
  <c r="BC187" i="19"/>
  <c r="AT187" i="19"/>
  <c r="AQ187" i="19"/>
  <c r="AP187" i="19"/>
  <c r="AO187" i="19"/>
  <c r="AH187" i="19"/>
  <c r="AI187" i="19" s="1"/>
  <c r="Y187" i="19"/>
  <c r="Z187" i="19" s="1"/>
  <c r="P187" i="19"/>
  <c r="Q187" i="19" s="1"/>
  <c r="EC186" i="19"/>
  <c r="EB186" i="19"/>
  <c r="BU186" i="19"/>
  <c r="BT186" i="19"/>
  <c r="BS186" i="19"/>
  <c r="BR186" i="19"/>
  <c r="BQ186" i="19"/>
  <c r="BP186" i="19"/>
  <c r="BO186" i="19"/>
  <c r="BK186" i="19"/>
  <c r="BJ186" i="19"/>
  <c r="BI186" i="19"/>
  <c r="BH186" i="19"/>
  <c r="BG186" i="19"/>
  <c r="BF186" i="19"/>
  <c r="BE186" i="19"/>
  <c r="BC186" i="19"/>
  <c r="AT186" i="19"/>
  <c r="AQ186" i="19"/>
  <c r="AP186" i="19"/>
  <c r="AO186" i="19"/>
  <c r="AH186" i="19"/>
  <c r="AI186" i="19" s="1"/>
  <c r="Y186" i="19"/>
  <c r="Z186" i="19" s="1"/>
  <c r="P186" i="19"/>
  <c r="Q186" i="19" s="1"/>
  <c r="EC185" i="19"/>
  <c r="EB185" i="19"/>
  <c r="BU185" i="19"/>
  <c r="BT185" i="19"/>
  <c r="BS185" i="19"/>
  <c r="BR185" i="19"/>
  <c r="BQ185" i="19"/>
  <c r="BP185" i="19"/>
  <c r="BO185" i="19"/>
  <c r="BK185" i="19"/>
  <c r="BJ185" i="19"/>
  <c r="BI185" i="19"/>
  <c r="BH185" i="19"/>
  <c r="BG185" i="19"/>
  <c r="BF185" i="19"/>
  <c r="BE185" i="19"/>
  <c r="BC185" i="19"/>
  <c r="AT185" i="19"/>
  <c r="AQ185" i="19"/>
  <c r="AP185" i="19"/>
  <c r="AO185" i="19"/>
  <c r="AH185" i="19"/>
  <c r="AI185" i="19" s="1"/>
  <c r="Y185" i="19"/>
  <c r="Z185" i="19" s="1"/>
  <c r="P185" i="19"/>
  <c r="Q185" i="19" s="1"/>
  <c r="EC184" i="19"/>
  <c r="EB184" i="19"/>
  <c r="BU184" i="19"/>
  <c r="BT184" i="19"/>
  <c r="BS184" i="19"/>
  <c r="BR184" i="19"/>
  <c r="BQ184" i="19"/>
  <c r="BP184" i="19"/>
  <c r="BO184" i="19"/>
  <c r="BK184" i="19"/>
  <c r="BJ184" i="19"/>
  <c r="BI184" i="19"/>
  <c r="BH184" i="19"/>
  <c r="BG184" i="19"/>
  <c r="BF184" i="19"/>
  <c r="BE184" i="19"/>
  <c r="BC184" i="19"/>
  <c r="AT184" i="19"/>
  <c r="AQ184" i="19"/>
  <c r="AP184" i="19"/>
  <c r="AO184" i="19"/>
  <c r="AH184" i="19"/>
  <c r="AI184" i="19" s="1"/>
  <c r="Y184" i="19"/>
  <c r="Z184" i="19" s="1"/>
  <c r="P184" i="19"/>
  <c r="Q184" i="19" s="1"/>
  <c r="EC183" i="19"/>
  <c r="EB183" i="19"/>
  <c r="BU183" i="19"/>
  <c r="BT183" i="19"/>
  <c r="BS183" i="19"/>
  <c r="BR183" i="19"/>
  <c r="BQ183" i="19"/>
  <c r="BP183" i="19"/>
  <c r="BO183" i="19"/>
  <c r="BK183" i="19"/>
  <c r="BJ183" i="19"/>
  <c r="BI183" i="19"/>
  <c r="BH183" i="19"/>
  <c r="BG183" i="19"/>
  <c r="BF183" i="19"/>
  <c r="BE183" i="19"/>
  <c r="BC183" i="19"/>
  <c r="AT183" i="19"/>
  <c r="AQ183" i="19"/>
  <c r="AP183" i="19"/>
  <c r="AO183" i="19"/>
  <c r="AH183" i="19"/>
  <c r="AI183" i="19" s="1"/>
  <c r="Y183" i="19"/>
  <c r="Z183" i="19" s="1"/>
  <c r="P183" i="19"/>
  <c r="EC182" i="19"/>
  <c r="EB182" i="19"/>
  <c r="BU182" i="19"/>
  <c r="BT182" i="19"/>
  <c r="BS182" i="19"/>
  <c r="BR182" i="19"/>
  <c r="BQ182" i="19"/>
  <c r="BP182" i="19"/>
  <c r="BO182" i="19"/>
  <c r="BK182" i="19"/>
  <c r="BJ182" i="19"/>
  <c r="BI182" i="19"/>
  <c r="BH182" i="19"/>
  <c r="BG182" i="19"/>
  <c r="BF182" i="19"/>
  <c r="BE182" i="19"/>
  <c r="BC182" i="19"/>
  <c r="AT182" i="19"/>
  <c r="AQ182" i="19"/>
  <c r="AP182" i="19"/>
  <c r="AO182" i="19"/>
  <c r="AH182" i="19"/>
  <c r="AI182" i="19" s="1"/>
  <c r="Y182" i="19"/>
  <c r="Z182" i="19" s="1"/>
  <c r="P182" i="19"/>
  <c r="Q182" i="19" s="1"/>
  <c r="EC181" i="19"/>
  <c r="EB181" i="19"/>
  <c r="BU181" i="19"/>
  <c r="BT181" i="19"/>
  <c r="BS181" i="19"/>
  <c r="BR181" i="19"/>
  <c r="BQ181" i="19"/>
  <c r="BP181" i="19"/>
  <c r="BO181" i="19"/>
  <c r="BK181" i="19"/>
  <c r="BJ181" i="19"/>
  <c r="BI181" i="19"/>
  <c r="BH181" i="19"/>
  <c r="BG181" i="19"/>
  <c r="BF181" i="19"/>
  <c r="BE181" i="19"/>
  <c r="BC181" i="19"/>
  <c r="AT181" i="19"/>
  <c r="AQ181" i="19"/>
  <c r="AP181" i="19"/>
  <c r="AO181" i="19"/>
  <c r="AH181" i="19"/>
  <c r="AI181" i="19" s="1"/>
  <c r="Y181" i="19"/>
  <c r="Z181" i="19" s="1"/>
  <c r="P181" i="19"/>
  <c r="Q181" i="19" s="1"/>
  <c r="EC180" i="19"/>
  <c r="EB180" i="19"/>
  <c r="BU180" i="19"/>
  <c r="BT180" i="19"/>
  <c r="BS180" i="19"/>
  <c r="BR180" i="19"/>
  <c r="BQ180" i="19"/>
  <c r="BP180" i="19"/>
  <c r="BO180" i="19"/>
  <c r="BK180" i="19"/>
  <c r="BJ180" i="19"/>
  <c r="BI180" i="19"/>
  <c r="BH180" i="19"/>
  <c r="BG180" i="19"/>
  <c r="BF180" i="19"/>
  <c r="BE180" i="19"/>
  <c r="BC180" i="19"/>
  <c r="AT180" i="19"/>
  <c r="AQ180" i="19"/>
  <c r="AP180" i="19"/>
  <c r="AO180" i="19"/>
  <c r="AH180" i="19"/>
  <c r="AI180" i="19" s="1"/>
  <c r="Y180" i="19"/>
  <c r="Z180" i="19" s="1"/>
  <c r="P180" i="19"/>
  <c r="Q180" i="19" s="1"/>
  <c r="EC179" i="19"/>
  <c r="EB179" i="19"/>
  <c r="BU179" i="19"/>
  <c r="BT179" i="19"/>
  <c r="BS179" i="19"/>
  <c r="BR179" i="19"/>
  <c r="BQ179" i="19"/>
  <c r="BP179" i="19"/>
  <c r="BO179" i="19"/>
  <c r="BK179" i="19"/>
  <c r="BJ179" i="19"/>
  <c r="BI179" i="19"/>
  <c r="BH179" i="19"/>
  <c r="BG179" i="19"/>
  <c r="BF179" i="19"/>
  <c r="BE179" i="19"/>
  <c r="BC179" i="19"/>
  <c r="AT179" i="19"/>
  <c r="AQ179" i="19"/>
  <c r="AP179" i="19"/>
  <c r="AO179" i="19"/>
  <c r="AH179" i="19"/>
  <c r="AI179" i="19" s="1"/>
  <c r="Y179" i="19"/>
  <c r="Z179" i="19" s="1"/>
  <c r="P179" i="19"/>
  <c r="Q179" i="19" s="1"/>
  <c r="EC178" i="19"/>
  <c r="EB178" i="19"/>
  <c r="BU178" i="19"/>
  <c r="BT178" i="19"/>
  <c r="BS178" i="19"/>
  <c r="BR178" i="19"/>
  <c r="BQ178" i="19"/>
  <c r="BP178" i="19"/>
  <c r="BO178" i="19"/>
  <c r="BK178" i="19"/>
  <c r="BJ178" i="19"/>
  <c r="BI178" i="19"/>
  <c r="BH178" i="19"/>
  <c r="BG178" i="19"/>
  <c r="BF178" i="19"/>
  <c r="BE178" i="19"/>
  <c r="BC178" i="19"/>
  <c r="AT178" i="19"/>
  <c r="AQ178" i="19"/>
  <c r="AP178" i="19"/>
  <c r="AO178" i="19"/>
  <c r="AH178" i="19"/>
  <c r="AI178" i="19" s="1"/>
  <c r="Y178" i="19"/>
  <c r="Z178" i="19" s="1"/>
  <c r="P178" i="19"/>
  <c r="Q178" i="19" s="1"/>
  <c r="EC177" i="19"/>
  <c r="EB177" i="19"/>
  <c r="BU177" i="19"/>
  <c r="BT177" i="19"/>
  <c r="BS177" i="19"/>
  <c r="BR177" i="19"/>
  <c r="BQ177" i="19"/>
  <c r="BP177" i="19"/>
  <c r="BO177" i="19"/>
  <c r="BK177" i="19"/>
  <c r="BJ177" i="19"/>
  <c r="BI177" i="19"/>
  <c r="BH177" i="19"/>
  <c r="BG177" i="19"/>
  <c r="BF177" i="19"/>
  <c r="BE177" i="19"/>
  <c r="BC177" i="19"/>
  <c r="AT177" i="19"/>
  <c r="AQ177" i="19"/>
  <c r="AP177" i="19"/>
  <c r="AO177" i="19"/>
  <c r="AH177" i="19"/>
  <c r="AI177" i="19" s="1"/>
  <c r="Y177" i="19"/>
  <c r="Z177" i="19" s="1"/>
  <c r="P177" i="19"/>
  <c r="Q177" i="19" s="1"/>
  <c r="EC176" i="19"/>
  <c r="EB176" i="19"/>
  <c r="BU176" i="19"/>
  <c r="BT176" i="19"/>
  <c r="BS176" i="19"/>
  <c r="BR176" i="19"/>
  <c r="BQ176" i="19"/>
  <c r="BP176" i="19"/>
  <c r="BO176" i="19"/>
  <c r="BK176" i="19"/>
  <c r="BJ176" i="19"/>
  <c r="BI176" i="19"/>
  <c r="BH176" i="19"/>
  <c r="BG176" i="19"/>
  <c r="BF176" i="19"/>
  <c r="BE176" i="19"/>
  <c r="BC176" i="19"/>
  <c r="AT176" i="19"/>
  <c r="AQ176" i="19"/>
  <c r="AP176" i="19"/>
  <c r="AO176" i="19"/>
  <c r="AH176" i="19"/>
  <c r="AI176" i="19" s="1"/>
  <c r="Y176" i="19"/>
  <c r="Z176" i="19" s="1"/>
  <c r="P176" i="19"/>
  <c r="Q176" i="19" s="1"/>
  <c r="EC175" i="19"/>
  <c r="EB175" i="19"/>
  <c r="BU175" i="19"/>
  <c r="BT175" i="19"/>
  <c r="BS175" i="19"/>
  <c r="BR175" i="19"/>
  <c r="BQ175" i="19"/>
  <c r="BP175" i="19"/>
  <c r="BO175" i="19"/>
  <c r="BK175" i="19"/>
  <c r="BJ175" i="19"/>
  <c r="BI175" i="19"/>
  <c r="BH175" i="19"/>
  <c r="BG175" i="19"/>
  <c r="BF175" i="19"/>
  <c r="BE175" i="19"/>
  <c r="BC175" i="19"/>
  <c r="AT175" i="19"/>
  <c r="AQ175" i="19"/>
  <c r="AP175" i="19"/>
  <c r="AO175" i="19"/>
  <c r="AH175" i="19"/>
  <c r="AI175" i="19" s="1"/>
  <c r="Y175" i="19"/>
  <c r="Z175" i="19" s="1"/>
  <c r="P175" i="19"/>
  <c r="Q175" i="19" s="1"/>
  <c r="EC174" i="19"/>
  <c r="EB174" i="19"/>
  <c r="BU174" i="19"/>
  <c r="BT174" i="19"/>
  <c r="BS174" i="19"/>
  <c r="BR174" i="19"/>
  <c r="BQ174" i="19"/>
  <c r="BP174" i="19"/>
  <c r="BO174" i="19"/>
  <c r="BK174" i="19"/>
  <c r="BJ174" i="19"/>
  <c r="BI174" i="19"/>
  <c r="BH174" i="19"/>
  <c r="BG174" i="19"/>
  <c r="BF174" i="19"/>
  <c r="BE174" i="19"/>
  <c r="BC174" i="19"/>
  <c r="AT174" i="19"/>
  <c r="AQ174" i="19"/>
  <c r="AP174" i="19"/>
  <c r="AO174" i="19"/>
  <c r="AH174" i="19"/>
  <c r="AI174" i="19" s="1"/>
  <c r="Y174" i="19"/>
  <c r="Z174" i="19" s="1"/>
  <c r="P174" i="19"/>
  <c r="EC173" i="19"/>
  <c r="EB173" i="19"/>
  <c r="BU173" i="19"/>
  <c r="BT173" i="19"/>
  <c r="BS173" i="19"/>
  <c r="BR173" i="19"/>
  <c r="BQ173" i="19"/>
  <c r="BP173" i="19"/>
  <c r="BO173" i="19"/>
  <c r="BK173" i="19"/>
  <c r="BJ173" i="19"/>
  <c r="BI173" i="19"/>
  <c r="BH173" i="19"/>
  <c r="BG173" i="19"/>
  <c r="BF173" i="19"/>
  <c r="BE173" i="19"/>
  <c r="BC173" i="19"/>
  <c r="AT173" i="19"/>
  <c r="AQ173" i="19"/>
  <c r="AP173" i="19"/>
  <c r="AO173" i="19"/>
  <c r="AH173" i="19"/>
  <c r="AI173" i="19" s="1"/>
  <c r="Y173" i="19"/>
  <c r="Z173" i="19" s="1"/>
  <c r="P173" i="19"/>
  <c r="Q173" i="19" s="1"/>
  <c r="EC172" i="19"/>
  <c r="EB172" i="19"/>
  <c r="BU172" i="19"/>
  <c r="BT172" i="19"/>
  <c r="BS172" i="19"/>
  <c r="BR172" i="19"/>
  <c r="BQ172" i="19"/>
  <c r="BP172" i="19"/>
  <c r="BO172" i="19"/>
  <c r="BK172" i="19"/>
  <c r="BJ172" i="19"/>
  <c r="BI172" i="19"/>
  <c r="BH172" i="19"/>
  <c r="BG172" i="19"/>
  <c r="BF172" i="19"/>
  <c r="BE172" i="19"/>
  <c r="BC172" i="19"/>
  <c r="AT172" i="19"/>
  <c r="AQ172" i="19"/>
  <c r="AP172" i="19"/>
  <c r="AO172" i="19"/>
  <c r="AH172" i="19"/>
  <c r="AI172" i="19" s="1"/>
  <c r="Y172" i="19"/>
  <c r="Z172" i="19" s="1"/>
  <c r="P172" i="19"/>
  <c r="Q172" i="19" s="1"/>
  <c r="EC171" i="19"/>
  <c r="EB171" i="19"/>
  <c r="BU171" i="19"/>
  <c r="BT171" i="19"/>
  <c r="BS171" i="19"/>
  <c r="BR171" i="19"/>
  <c r="BQ171" i="19"/>
  <c r="BP171" i="19"/>
  <c r="BO171" i="19"/>
  <c r="BK171" i="19"/>
  <c r="BJ171" i="19"/>
  <c r="BI171" i="19"/>
  <c r="BH171" i="19"/>
  <c r="BG171" i="19"/>
  <c r="BF171" i="19"/>
  <c r="BE171" i="19"/>
  <c r="BC171" i="19"/>
  <c r="AT171" i="19"/>
  <c r="AQ171" i="19"/>
  <c r="AP171" i="19"/>
  <c r="AO171" i="19"/>
  <c r="AH171" i="19"/>
  <c r="AI171" i="19" s="1"/>
  <c r="Y171" i="19"/>
  <c r="Z171" i="19" s="1"/>
  <c r="P171" i="19"/>
  <c r="Q171" i="19" s="1"/>
  <c r="EC170" i="19"/>
  <c r="EB170" i="19"/>
  <c r="BU170" i="19"/>
  <c r="BT170" i="19"/>
  <c r="BS170" i="19"/>
  <c r="BR170" i="19"/>
  <c r="BQ170" i="19"/>
  <c r="BP170" i="19"/>
  <c r="BO170" i="19"/>
  <c r="BK170" i="19"/>
  <c r="BJ170" i="19"/>
  <c r="BI170" i="19"/>
  <c r="BH170" i="19"/>
  <c r="BG170" i="19"/>
  <c r="BF170" i="19"/>
  <c r="BE170" i="19"/>
  <c r="BC170" i="19"/>
  <c r="AT170" i="19"/>
  <c r="AQ170" i="19"/>
  <c r="AP170" i="19"/>
  <c r="AO170" i="19"/>
  <c r="AH170" i="19"/>
  <c r="AI170" i="19" s="1"/>
  <c r="Y170" i="19"/>
  <c r="Z170" i="19" s="1"/>
  <c r="P170" i="19"/>
  <c r="Q170" i="19" s="1"/>
  <c r="EC169" i="19"/>
  <c r="EB169" i="19"/>
  <c r="BU169" i="19"/>
  <c r="BT169" i="19"/>
  <c r="BS169" i="19"/>
  <c r="BR169" i="19"/>
  <c r="BQ169" i="19"/>
  <c r="BP169" i="19"/>
  <c r="BO169" i="19"/>
  <c r="BK169" i="19"/>
  <c r="BJ169" i="19"/>
  <c r="BI169" i="19"/>
  <c r="BH169" i="19"/>
  <c r="BG169" i="19"/>
  <c r="BF169" i="19"/>
  <c r="BE169" i="19"/>
  <c r="BC169" i="19"/>
  <c r="AT169" i="19"/>
  <c r="AQ169" i="19"/>
  <c r="AP169" i="19"/>
  <c r="AO169" i="19"/>
  <c r="AH169" i="19"/>
  <c r="AI169" i="19" s="1"/>
  <c r="Y169" i="19"/>
  <c r="Z169" i="19" s="1"/>
  <c r="P169" i="19"/>
  <c r="Q169" i="19" s="1"/>
  <c r="EC168" i="19"/>
  <c r="EB168" i="19"/>
  <c r="BU168" i="19"/>
  <c r="BT168" i="19"/>
  <c r="BS168" i="19"/>
  <c r="BR168" i="19"/>
  <c r="BQ168" i="19"/>
  <c r="BP168" i="19"/>
  <c r="BO168" i="19"/>
  <c r="BK168" i="19"/>
  <c r="BJ168" i="19"/>
  <c r="BI168" i="19"/>
  <c r="BH168" i="19"/>
  <c r="BG168" i="19"/>
  <c r="BF168" i="19"/>
  <c r="BE168" i="19"/>
  <c r="BC168" i="19"/>
  <c r="AT168" i="19"/>
  <c r="AQ168" i="19"/>
  <c r="AP168" i="19"/>
  <c r="AO168" i="19"/>
  <c r="AH168" i="19"/>
  <c r="AI168" i="19" s="1"/>
  <c r="Y168" i="19"/>
  <c r="Z168" i="19" s="1"/>
  <c r="P168" i="19"/>
  <c r="Q168" i="19" s="1"/>
  <c r="EC167" i="19"/>
  <c r="EB167" i="19"/>
  <c r="BU167" i="19"/>
  <c r="BT167" i="19"/>
  <c r="BS167" i="19"/>
  <c r="BR167" i="19"/>
  <c r="BQ167" i="19"/>
  <c r="BP167" i="19"/>
  <c r="BO167" i="19"/>
  <c r="BK167" i="19"/>
  <c r="BJ167" i="19"/>
  <c r="BI167" i="19"/>
  <c r="BH167" i="19"/>
  <c r="BG167" i="19"/>
  <c r="BF167" i="19"/>
  <c r="BE167" i="19"/>
  <c r="BC167" i="19"/>
  <c r="AT167" i="19"/>
  <c r="AQ167" i="19"/>
  <c r="AP167" i="19"/>
  <c r="AO167" i="19"/>
  <c r="AH167" i="19"/>
  <c r="AI167" i="19" s="1"/>
  <c r="Y167" i="19"/>
  <c r="Z167" i="19" s="1"/>
  <c r="P167" i="19"/>
  <c r="Q167" i="19" s="1"/>
  <c r="EC166" i="19"/>
  <c r="EB166" i="19"/>
  <c r="BU166" i="19"/>
  <c r="BT166" i="19"/>
  <c r="BS166" i="19"/>
  <c r="BR166" i="19"/>
  <c r="BQ166" i="19"/>
  <c r="BP166" i="19"/>
  <c r="BO166" i="19"/>
  <c r="BK166" i="19"/>
  <c r="BJ166" i="19"/>
  <c r="BI166" i="19"/>
  <c r="BH166" i="19"/>
  <c r="BG166" i="19"/>
  <c r="BF166" i="19"/>
  <c r="BE166" i="19"/>
  <c r="BC166" i="19"/>
  <c r="AT166" i="19"/>
  <c r="AQ166" i="19"/>
  <c r="AP166" i="19"/>
  <c r="AO166" i="19"/>
  <c r="AH166" i="19"/>
  <c r="AI166" i="19" s="1"/>
  <c r="Y166" i="19"/>
  <c r="Z166" i="19" s="1"/>
  <c r="P166" i="19"/>
  <c r="EC165" i="19"/>
  <c r="EB165" i="19"/>
  <c r="BU165" i="19"/>
  <c r="BT165" i="19"/>
  <c r="BS165" i="19"/>
  <c r="BR165" i="19"/>
  <c r="BQ165" i="19"/>
  <c r="BP165" i="19"/>
  <c r="BO165" i="19"/>
  <c r="BK165" i="19"/>
  <c r="BJ165" i="19"/>
  <c r="BI165" i="19"/>
  <c r="BH165" i="19"/>
  <c r="BG165" i="19"/>
  <c r="BF165" i="19"/>
  <c r="BE165" i="19"/>
  <c r="BC165" i="19"/>
  <c r="AT165" i="19"/>
  <c r="AQ165" i="19"/>
  <c r="AP165" i="19"/>
  <c r="AO165" i="19"/>
  <c r="AH165" i="19"/>
  <c r="AI165" i="19" s="1"/>
  <c r="Y165" i="19"/>
  <c r="Z165" i="19" s="1"/>
  <c r="P165" i="19"/>
  <c r="Q165" i="19" s="1"/>
  <c r="EC164" i="19"/>
  <c r="EB164" i="19"/>
  <c r="BU164" i="19"/>
  <c r="BT164" i="19"/>
  <c r="BS164" i="19"/>
  <c r="BR164" i="19"/>
  <c r="BQ164" i="19"/>
  <c r="BP164" i="19"/>
  <c r="BO164" i="19"/>
  <c r="BK164" i="19"/>
  <c r="BJ164" i="19"/>
  <c r="BI164" i="19"/>
  <c r="BH164" i="19"/>
  <c r="BG164" i="19"/>
  <c r="BF164" i="19"/>
  <c r="BE164" i="19"/>
  <c r="BC164" i="19"/>
  <c r="AT164" i="19"/>
  <c r="AQ164" i="19"/>
  <c r="AP164" i="19"/>
  <c r="AO164" i="19"/>
  <c r="AH164" i="19"/>
  <c r="AI164" i="19" s="1"/>
  <c r="Y164" i="19"/>
  <c r="Z164" i="19" s="1"/>
  <c r="P164" i="19"/>
  <c r="Q164" i="19" s="1"/>
  <c r="EC163" i="19"/>
  <c r="EB163" i="19"/>
  <c r="BU163" i="19"/>
  <c r="BT163" i="19"/>
  <c r="BS163" i="19"/>
  <c r="BR163" i="19"/>
  <c r="BQ163" i="19"/>
  <c r="BP163" i="19"/>
  <c r="BO163" i="19"/>
  <c r="BK163" i="19"/>
  <c r="BJ163" i="19"/>
  <c r="BI163" i="19"/>
  <c r="BH163" i="19"/>
  <c r="BG163" i="19"/>
  <c r="BF163" i="19"/>
  <c r="BE163" i="19"/>
  <c r="BC163" i="19"/>
  <c r="AT163" i="19"/>
  <c r="AQ163" i="19"/>
  <c r="AP163" i="19"/>
  <c r="AO163" i="19"/>
  <c r="AH163" i="19"/>
  <c r="AI163" i="19" s="1"/>
  <c r="Y163" i="19"/>
  <c r="Z163" i="19" s="1"/>
  <c r="P163" i="19"/>
  <c r="Q163" i="19" s="1"/>
  <c r="EC162" i="19"/>
  <c r="EB162" i="19"/>
  <c r="BU162" i="19"/>
  <c r="BT162" i="19"/>
  <c r="BS162" i="19"/>
  <c r="BR162" i="19"/>
  <c r="BQ162" i="19"/>
  <c r="BP162" i="19"/>
  <c r="BO162" i="19"/>
  <c r="BK162" i="19"/>
  <c r="BJ162" i="19"/>
  <c r="BI162" i="19"/>
  <c r="BH162" i="19"/>
  <c r="BG162" i="19"/>
  <c r="BF162" i="19"/>
  <c r="BE162" i="19"/>
  <c r="BC162" i="19"/>
  <c r="AT162" i="19"/>
  <c r="AQ162" i="19"/>
  <c r="AP162" i="19"/>
  <c r="AO162" i="19"/>
  <c r="AH162" i="19"/>
  <c r="AI162" i="19" s="1"/>
  <c r="Y162" i="19"/>
  <c r="Z162" i="19" s="1"/>
  <c r="P162" i="19"/>
  <c r="Q162" i="19" s="1"/>
  <c r="EC161" i="19"/>
  <c r="EB161" i="19"/>
  <c r="BU161" i="19"/>
  <c r="BT161" i="19"/>
  <c r="BS161" i="19"/>
  <c r="BR161" i="19"/>
  <c r="BQ161" i="19"/>
  <c r="BP161" i="19"/>
  <c r="BO161" i="19"/>
  <c r="BK161" i="19"/>
  <c r="BJ161" i="19"/>
  <c r="BI161" i="19"/>
  <c r="BH161" i="19"/>
  <c r="BG161" i="19"/>
  <c r="BF161" i="19"/>
  <c r="BE161" i="19"/>
  <c r="BC161" i="19"/>
  <c r="AT161" i="19"/>
  <c r="AQ161" i="19"/>
  <c r="AP161" i="19"/>
  <c r="AO161" i="19"/>
  <c r="AH161" i="19"/>
  <c r="AI161" i="19" s="1"/>
  <c r="Y161" i="19"/>
  <c r="Z161" i="19" s="1"/>
  <c r="P161" i="19"/>
  <c r="Q161" i="19" s="1"/>
  <c r="EC160" i="19"/>
  <c r="EB160" i="19"/>
  <c r="BU160" i="19"/>
  <c r="BT160" i="19"/>
  <c r="BS160" i="19"/>
  <c r="BR160" i="19"/>
  <c r="BQ160" i="19"/>
  <c r="BP160" i="19"/>
  <c r="BO160" i="19"/>
  <c r="BK160" i="19"/>
  <c r="BJ160" i="19"/>
  <c r="BI160" i="19"/>
  <c r="BH160" i="19"/>
  <c r="BG160" i="19"/>
  <c r="BF160" i="19"/>
  <c r="BE160" i="19"/>
  <c r="BC160" i="19"/>
  <c r="AT160" i="19"/>
  <c r="AQ160" i="19"/>
  <c r="AP160" i="19"/>
  <c r="AO160" i="19"/>
  <c r="AH160" i="19"/>
  <c r="AI160" i="19" s="1"/>
  <c r="Y160" i="19"/>
  <c r="Z160" i="19" s="1"/>
  <c r="P160" i="19"/>
  <c r="Q160" i="19" s="1"/>
  <c r="EC159" i="19"/>
  <c r="EB159" i="19"/>
  <c r="BU159" i="19"/>
  <c r="BT159" i="19"/>
  <c r="BS159" i="19"/>
  <c r="BR159" i="19"/>
  <c r="BQ159" i="19"/>
  <c r="BP159" i="19"/>
  <c r="BO159" i="19"/>
  <c r="BK159" i="19"/>
  <c r="BJ159" i="19"/>
  <c r="BI159" i="19"/>
  <c r="BH159" i="19"/>
  <c r="BG159" i="19"/>
  <c r="BF159" i="19"/>
  <c r="BE159" i="19"/>
  <c r="BC159" i="19"/>
  <c r="AT159" i="19"/>
  <c r="AQ159" i="19"/>
  <c r="AP159" i="19"/>
  <c r="AO159" i="19"/>
  <c r="AH159" i="19"/>
  <c r="AI159" i="19" s="1"/>
  <c r="Y159" i="19"/>
  <c r="Z159" i="19" s="1"/>
  <c r="P159" i="19"/>
  <c r="Q159" i="19" s="1"/>
  <c r="EC158" i="19"/>
  <c r="EB158" i="19"/>
  <c r="BU158" i="19"/>
  <c r="BT158" i="19"/>
  <c r="BS158" i="19"/>
  <c r="BR158" i="19"/>
  <c r="BQ158" i="19"/>
  <c r="BP158" i="19"/>
  <c r="BO158" i="19"/>
  <c r="BK158" i="19"/>
  <c r="BJ158" i="19"/>
  <c r="BI158" i="19"/>
  <c r="BH158" i="19"/>
  <c r="BG158" i="19"/>
  <c r="BF158" i="19"/>
  <c r="BE158" i="19"/>
  <c r="BC158" i="19"/>
  <c r="AT158" i="19"/>
  <c r="AQ158" i="19"/>
  <c r="AP158" i="19"/>
  <c r="AO158" i="19"/>
  <c r="AH158" i="19"/>
  <c r="AI158" i="19" s="1"/>
  <c r="Y158" i="19"/>
  <c r="Z158" i="19" s="1"/>
  <c r="P158" i="19"/>
  <c r="EC157" i="19"/>
  <c r="EB157" i="19"/>
  <c r="BU157" i="19"/>
  <c r="BT157" i="19"/>
  <c r="BS157" i="19"/>
  <c r="BR157" i="19"/>
  <c r="BQ157" i="19"/>
  <c r="BP157" i="19"/>
  <c r="BO157" i="19"/>
  <c r="BK157" i="19"/>
  <c r="BJ157" i="19"/>
  <c r="BI157" i="19"/>
  <c r="BH157" i="19"/>
  <c r="BG157" i="19"/>
  <c r="BF157" i="19"/>
  <c r="BE157" i="19"/>
  <c r="BC157" i="19"/>
  <c r="AT157" i="19"/>
  <c r="AQ157" i="19"/>
  <c r="AP157" i="19"/>
  <c r="AO157" i="19"/>
  <c r="AH157" i="19"/>
  <c r="AI157" i="19" s="1"/>
  <c r="Y157" i="19"/>
  <c r="Z157" i="19" s="1"/>
  <c r="P157" i="19"/>
  <c r="Q157" i="19" s="1"/>
  <c r="EC156" i="19"/>
  <c r="EB156" i="19"/>
  <c r="BU156" i="19"/>
  <c r="BT156" i="19"/>
  <c r="BS156" i="19"/>
  <c r="BR156" i="19"/>
  <c r="BQ156" i="19"/>
  <c r="BP156" i="19"/>
  <c r="BO156" i="19"/>
  <c r="BK156" i="19"/>
  <c r="BJ156" i="19"/>
  <c r="BI156" i="19"/>
  <c r="BH156" i="19"/>
  <c r="BG156" i="19"/>
  <c r="BF156" i="19"/>
  <c r="BE156" i="19"/>
  <c r="BC156" i="19"/>
  <c r="AT156" i="19"/>
  <c r="AQ156" i="19"/>
  <c r="AP156" i="19"/>
  <c r="AO156" i="19"/>
  <c r="AH156" i="19"/>
  <c r="AI156" i="19" s="1"/>
  <c r="Y156" i="19"/>
  <c r="Z156" i="19" s="1"/>
  <c r="P156" i="19"/>
  <c r="Q156" i="19" s="1"/>
  <c r="EC155" i="19"/>
  <c r="EB155" i="19"/>
  <c r="BU155" i="19"/>
  <c r="BT155" i="19"/>
  <c r="BS155" i="19"/>
  <c r="BR155" i="19"/>
  <c r="BQ155" i="19"/>
  <c r="BP155" i="19"/>
  <c r="BO155" i="19"/>
  <c r="BK155" i="19"/>
  <c r="BJ155" i="19"/>
  <c r="BI155" i="19"/>
  <c r="BH155" i="19"/>
  <c r="BG155" i="19"/>
  <c r="BF155" i="19"/>
  <c r="BE155" i="19"/>
  <c r="BC155" i="19"/>
  <c r="AT155" i="19"/>
  <c r="AQ155" i="19"/>
  <c r="AP155" i="19"/>
  <c r="AO155" i="19"/>
  <c r="AH155" i="19"/>
  <c r="AI155" i="19" s="1"/>
  <c r="Y155" i="19"/>
  <c r="Z155" i="19" s="1"/>
  <c r="P155" i="19"/>
  <c r="Q155" i="19" s="1"/>
  <c r="EC154" i="19"/>
  <c r="EB154" i="19"/>
  <c r="BU154" i="19"/>
  <c r="BT154" i="19"/>
  <c r="BS154" i="19"/>
  <c r="BR154" i="19"/>
  <c r="BQ154" i="19"/>
  <c r="BP154" i="19"/>
  <c r="BO154" i="19"/>
  <c r="BK154" i="19"/>
  <c r="BJ154" i="19"/>
  <c r="BI154" i="19"/>
  <c r="BH154" i="19"/>
  <c r="BG154" i="19"/>
  <c r="BF154" i="19"/>
  <c r="BE154" i="19"/>
  <c r="BC154" i="19"/>
  <c r="AT154" i="19"/>
  <c r="AQ154" i="19"/>
  <c r="AP154" i="19"/>
  <c r="AO154" i="19"/>
  <c r="AH154" i="19"/>
  <c r="AI154" i="19" s="1"/>
  <c r="Y154" i="19"/>
  <c r="Z154" i="19" s="1"/>
  <c r="P154" i="19"/>
  <c r="Q154" i="19" s="1"/>
  <c r="EC153" i="19"/>
  <c r="EB153" i="19"/>
  <c r="BU153" i="19"/>
  <c r="BT153" i="19"/>
  <c r="BS153" i="19"/>
  <c r="BR153" i="19"/>
  <c r="BQ153" i="19"/>
  <c r="BP153" i="19"/>
  <c r="BO153" i="19"/>
  <c r="BK153" i="19"/>
  <c r="BJ153" i="19"/>
  <c r="BI153" i="19"/>
  <c r="BH153" i="19"/>
  <c r="BG153" i="19"/>
  <c r="BF153" i="19"/>
  <c r="BE153" i="19"/>
  <c r="BC153" i="19"/>
  <c r="AT153" i="19"/>
  <c r="AQ153" i="19"/>
  <c r="AP153" i="19"/>
  <c r="AO153" i="19"/>
  <c r="AH153" i="19"/>
  <c r="AI153" i="19" s="1"/>
  <c r="Y153" i="19"/>
  <c r="Z153" i="19" s="1"/>
  <c r="P153" i="19"/>
  <c r="Q153" i="19" s="1"/>
  <c r="EC152" i="19"/>
  <c r="EB152" i="19"/>
  <c r="BU152" i="19"/>
  <c r="BT152" i="19"/>
  <c r="BS152" i="19"/>
  <c r="BR152" i="19"/>
  <c r="BQ152" i="19"/>
  <c r="BP152" i="19"/>
  <c r="BO152" i="19"/>
  <c r="BK152" i="19"/>
  <c r="BJ152" i="19"/>
  <c r="BI152" i="19"/>
  <c r="BH152" i="19"/>
  <c r="BG152" i="19"/>
  <c r="BF152" i="19"/>
  <c r="BE152" i="19"/>
  <c r="BC152" i="19"/>
  <c r="AT152" i="19"/>
  <c r="AQ152" i="19"/>
  <c r="AP152" i="19"/>
  <c r="AO152" i="19"/>
  <c r="AH152" i="19"/>
  <c r="AI152" i="19" s="1"/>
  <c r="Y152" i="19"/>
  <c r="Z152" i="19" s="1"/>
  <c r="P152" i="19"/>
  <c r="Q152" i="19" s="1"/>
  <c r="EC151" i="19"/>
  <c r="EB151" i="19"/>
  <c r="BU151" i="19"/>
  <c r="BT151" i="19"/>
  <c r="BS151" i="19"/>
  <c r="BR151" i="19"/>
  <c r="BQ151" i="19"/>
  <c r="BP151" i="19"/>
  <c r="BO151" i="19"/>
  <c r="BK151" i="19"/>
  <c r="BJ151" i="19"/>
  <c r="BI151" i="19"/>
  <c r="BH151" i="19"/>
  <c r="BG151" i="19"/>
  <c r="BF151" i="19"/>
  <c r="BE151" i="19"/>
  <c r="BC151" i="19"/>
  <c r="AT151" i="19"/>
  <c r="AQ151" i="19"/>
  <c r="AP151" i="19"/>
  <c r="AO151" i="19"/>
  <c r="AH151" i="19"/>
  <c r="AI151" i="19" s="1"/>
  <c r="Y151" i="19"/>
  <c r="Z151" i="19" s="1"/>
  <c r="P151" i="19"/>
  <c r="Q151" i="19" s="1"/>
  <c r="EC150" i="19"/>
  <c r="EB150" i="19"/>
  <c r="BU150" i="19"/>
  <c r="BT150" i="19"/>
  <c r="BS150" i="19"/>
  <c r="BR150" i="19"/>
  <c r="BQ150" i="19"/>
  <c r="BP150" i="19"/>
  <c r="BO150" i="19"/>
  <c r="BK150" i="19"/>
  <c r="BJ150" i="19"/>
  <c r="BI150" i="19"/>
  <c r="BH150" i="19"/>
  <c r="BG150" i="19"/>
  <c r="BF150" i="19"/>
  <c r="BE150" i="19"/>
  <c r="BC150" i="19"/>
  <c r="AT150" i="19"/>
  <c r="AQ150" i="19"/>
  <c r="AP150" i="19"/>
  <c r="AO150" i="19"/>
  <c r="AH150" i="19"/>
  <c r="AI150" i="19" s="1"/>
  <c r="Y150" i="19"/>
  <c r="Z150" i="19" s="1"/>
  <c r="P150" i="19"/>
  <c r="EC149" i="19"/>
  <c r="EB149" i="19"/>
  <c r="BU149" i="19"/>
  <c r="BT149" i="19"/>
  <c r="BS149" i="19"/>
  <c r="BR149" i="19"/>
  <c r="BQ149" i="19"/>
  <c r="BP149" i="19"/>
  <c r="BO149" i="19"/>
  <c r="BK149" i="19"/>
  <c r="BJ149" i="19"/>
  <c r="BI149" i="19"/>
  <c r="BH149" i="19"/>
  <c r="BG149" i="19"/>
  <c r="BF149" i="19"/>
  <c r="BE149" i="19"/>
  <c r="BC149" i="19"/>
  <c r="AT149" i="19"/>
  <c r="AQ149" i="19"/>
  <c r="AP149" i="19"/>
  <c r="AO149" i="19"/>
  <c r="AH149" i="19"/>
  <c r="AI149" i="19" s="1"/>
  <c r="Y149" i="19"/>
  <c r="Z149" i="19" s="1"/>
  <c r="P149" i="19"/>
  <c r="Q149" i="19" s="1"/>
  <c r="EC148" i="19"/>
  <c r="EB148" i="19"/>
  <c r="BU148" i="19"/>
  <c r="BT148" i="19"/>
  <c r="BS148" i="19"/>
  <c r="BR148" i="19"/>
  <c r="BQ148" i="19"/>
  <c r="BP148" i="19"/>
  <c r="BO148" i="19"/>
  <c r="BK148" i="19"/>
  <c r="BJ148" i="19"/>
  <c r="BI148" i="19"/>
  <c r="BH148" i="19"/>
  <c r="BG148" i="19"/>
  <c r="BF148" i="19"/>
  <c r="BE148" i="19"/>
  <c r="BC148" i="19"/>
  <c r="AT148" i="19"/>
  <c r="AQ148" i="19"/>
  <c r="AP148" i="19"/>
  <c r="AO148" i="19"/>
  <c r="AH148" i="19"/>
  <c r="AI148" i="19" s="1"/>
  <c r="Y148" i="19"/>
  <c r="Z148" i="19" s="1"/>
  <c r="P148" i="19"/>
  <c r="Q148" i="19" s="1"/>
  <c r="EC147" i="19"/>
  <c r="EB147" i="19"/>
  <c r="BU147" i="19"/>
  <c r="BT147" i="19"/>
  <c r="BS147" i="19"/>
  <c r="BR147" i="19"/>
  <c r="BQ147" i="19"/>
  <c r="BP147" i="19"/>
  <c r="BO147" i="19"/>
  <c r="BK147" i="19"/>
  <c r="BJ147" i="19"/>
  <c r="BI147" i="19"/>
  <c r="BH147" i="19"/>
  <c r="BG147" i="19"/>
  <c r="BF147" i="19"/>
  <c r="BE147" i="19"/>
  <c r="BC147" i="19"/>
  <c r="AT147" i="19"/>
  <c r="AQ147" i="19"/>
  <c r="AP147" i="19"/>
  <c r="AO147" i="19"/>
  <c r="AH147" i="19"/>
  <c r="AI147" i="19" s="1"/>
  <c r="Y147" i="19"/>
  <c r="Z147" i="19" s="1"/>
  <c r="P147" i="19"/>
  <c r="Q147" i="19" s="1"/>
  <c r="EC146" i="19"/>
  <c r="EB146" i="19"/>
  <c r="BU146" i="19"/>
  <c r="BT146" i="19"/>
  <c r="BS146" i="19"/>
  <c r="BR146" i="19"/>
  <c r="BQ146" i="19"/>
  <c r="BP146" i="19"/>
  <c r="BO146" i="19"/>
  <c r="BK146" i="19"/>
  <c r="BJ146" i="19"/>
  <c r="BI146" i="19"/>
  <c r="BH146" i="19"/>
  <c r="BG146" i="19"/>
  <c r="BF146" i="19"/>
  <c r="BE146" i="19"/>
  <c r="BC146" i="19"/>
  <c r="AT146" i="19"/>
  <c r="AQ146" i="19"/>
  <c r="AP146" i="19"/>
  <c r="AO146" i="19"/>
  <c r="AH146" i="19"/>
  <c r="AI146" i="19" s="1"/>
  <c r="Y146" i="19"/>
  <c r="Z146" i="19" s="1"/>
  <c r="P146" i="19"/>
  <c r="Q146" i="19" s="1"/>
  <c r="EC145" i="19"/>
  <c r="EB145" i="19"/>
  <c r="BU145" i="19"/>
  <c r="BT145" i="19"/>
  <c r="BS145" i="19"/>
  <c r="BR145" i="19"/>
  <c r="BQ145" i="19"/>
  <c r="BP145" i="19"/>
  <c r="BO145" i="19"/>
  <c r="BK145" i="19"/>
  <c r="BJ145" i="19"/>
  <c r="BI145" i="19"/>
  <c r="BH145" i="19"/>
  <c r="BG145" i="19"/>
  <c r="BF145" i="19"/>
  <c r="BE145" i="19"/>
  <c r="BC145" i="19"/>
  <c r="AT145" i="19"/>
  <c r="AQ145" i="19"/>
  <c r="AP145" i="19"/>
  <c r="AO145" i="19"/>
  <c r="P145" i="19"/>
  <c r="EC144" i="19"/>
  <c r="EB144" i="19"/>
  <c r="BU144" i="19"/>
  <c r="BT144" i="19"/>
  <c r="BS144" i="19"/>
  <c r="BR144" i="19"/>
  <c r="BQ144" i="19"/>
  <c r="BP144" i="19"/>
  <c r="BO144" i="19"/>
  <c r="BK144" i="19"/>
  <c r="BJ144" i="19"/>
  <c r="BI144" i="19"/>
  <c r="BH144" i="19"/>
  <c r="BG144" i="19"/>
  <c r="BF144" i="19"/>
  <c r="BE144" i="19"/>
  <c r="BC144" i="19"/>
  <c r="AT144" i="19"/>
  <c r="AQ144" i="19"/>
  <c r="AP144" i="19"/>
  <c r="AO144" i="19"/>
  <c r="AH144" i="19"/>
  <c r="AI144" i="19" s="1"/>
  <c r="Y144" i="19"/>
  <c r="Z144" i="19" s="1"/>
  <c r="P144" i="19"/>
  <c r="Q144" i="19" s="1"/>
  <c r="EC143" i="19"/>
  <c r="EB143" i="19"/>
  <c r="BU143" i="19"/>
  <c r="BT143" i="19"/>
  <c r="BS143" i="19"/>
  <c r="BR143" i="19"/>
  <c r="BQ143" i="19"/>
  <c r="BP143" i="19"/>
  <c r="BO143" i="19"/>
  <c r="BK143" i="19"/>
  <c r="BJ143" i="19"/>
  <c r="BI143" i="19"/>
  <c r="BH143" i="19"/>
  <c r="BG143" i="19"/>
  <c r="BF143" i="19"/>
  <c r="BE143" i="19"/>
  <c r="BC143" i="19"/>
  <c r="AT143" i="19"/>
  <c r="AQ143" i="19"/>
  <c r="AP143" i="19"/>
  <c r="AO143" i="19"/>
  <c r="AH143" i="19"/>
  <c r="AI143" i="19" s="1"/>
  <c r="Y143" i="19"/>
  <c r="Z143" i="19" s="1"/>
  <c r="P143" i="19"/>
  <c r="Q143" i="19" s="1"/>
  <c r="EC142" i="19"/>
  <c r="EB142" i="19"/>
  <c r="BU142" i="19"/>
  <c r="BT142" i="19"/>
  <c r="BS142" i="19"/>
  <c r="BR142" i="19"/>
  <c r="BQ142" i="19"/>
  <c r="BP142" i="19"/>
  <c r="BO142" i="19"/>
  <c r="BK142" i="19"/>
  <c r="BJ142" i="19"/>
  <c r="BI142" i="19"/>
  <c r="BH142" i="19"/>
  <c r="BG142" i="19"/>
  <c r="BF142" i="19"/>
  <c r="BE142" i="19"/>
  <c r="BC142" i="19"/>
  <c r="AT142" i="19"/>
  <c r="AQ142" i="19"/>
  <c r="AP142" i="19"/>
  <c r="AO142" i="19"/>
  <c r="AH142" i="19"/>
  <c r="AI142" i="19" s="1"/>
  <c r="Y142" i="19"/>
  <c r="Z142" i="19" s="1"/>
  <c r="P142" i="19"/>
  <c r="Q142" i="19" s="1"/>
  <c r="EC141" i="19"/>
  <c r="EB141" i="19"/>
  <c r="BU141" i="19"/>
  <c r="BT141" i="19"/>
  <c r="BS141" i="19"/>
  <c r="BR141" i="19"/>
  <c r="BQ141" i="19"/>
  <c r="BP141" i="19"/>
  <c r="BO141" i="19"/>
  <c r="BK141" i="19"/>
  <c r="BJ141" i="19"/>
  <c r="BI141" i="19"/>
  <c r="BH141" i="19"/>
  <c r="BG141" i="19"/>
  <c r="BF141" i="19"/>
  <c r="BE141" i="19"/>
  <c r="BC141" i="19"/>
  <c r="AT141" i="19"/>
  <c r="AQ141" i="19"/>
  <c r="AP141" i="19"/>
  <c r="AO141" i="19"/>
  <c r="AH141" i="19"/>
  <c r="AI141" i="19" s="1"/>
  <c r="Y141" i="19"/>
  <c r="Z141" i="19" s="1"/>
  <c r="P141" i="19"/>
  <c r="Q141" i="19" s="1"/>
  <c r="EC140" i="19"/>
  <c r="EB140" i="19"/>
  <c r="BU140" i="19"/>
  <c r="BT140" i="19"/>
  <c r="BS140" i="19"/>
  <c r="BR140" i="19"/>
  <c r="BQ140" i="19"/>
  <c r="BP140" i="19"/>
  <c r="BO140" i="19"/>
  <c r="BK140" i="19"/>
  <c r="BJ140" i="19"/>
  <c r="BI140" i="19"/>
  <c r="BH140" i="19"/>
  <c r="BG140" i="19"/>
  <c r="BF140" i="19"/>
  <c r="BE140" i="19"/>
  <c r="BC140" i="19"/>
  <c r="AT140" i="19"/>
  <c r="AQ140" i="19"/>
  <c r="AP140" i="19"/>
  <c r="AO140" i="19"/>
  <c r="AH140" i="19"/>
  <c r="AI140" i="19" s="1"/>
  <c r="Y140" i="19"/>
  <c r="Z140" i="19" s="1"/>
  <c r="P140" i="19"/>
  <c r="Q140" i="19" s="1"/>
  <c r="EC139" i="19"/>
  <c r="EB139" i="19"/>
  <c r="BU139" i="19"/>
  <c r="BT139" i="19"/>
  <c r="BS139" i="19"/>
  <c r="BR139" i="19"/>
  <c r="BQ139" i="19"/>
  <c r="BP139" i="19"/>
  <c r="BO139" i="19"/>
  <c r="BK139" i="19"/>
  <c r="BJ139" i="19"/>
  <c r="BI139" i="19"/>
  <c r="BH139" i="19"/>
  <c r="BG139" i="19"/>
  <c r="BF139" i="19"/>
  <c r="BE139" i="19"/>
  <c r="BC139" i="19"/>
  <c r="AT139" i="19"/>
  <c r="AQ139" i="19"/>
  <c r="AP139" i="19"/>
  <c r="AO139" i="19"/>
  <c r="AH139" i="19"/>
  <c r="AI139" i="19" s="1"/>
  <c r="Y139" i="19"/>
  <c r="Z139" i="19" s="1"/>
  <c r="P139" i="19"/>
  <c r="EC138" i="19"/>
  <c r="EB138" i="19"/>
  <c r="BU138" i="19"/>
  <c r="BT138" i="19"/>
  <c r="BS138" i="19"/>
  <c r="BR138" i="19"/>
  <c r="BQ138" i="19"/>
  <c r="BP138" i="19"/>
  <c r="BO138" i="19"/>
  <c r="BK138" i="19"/>
  <c r="BJ138" i="19"/>
  <c r="BI138" i="19"/>
  <c r="BH138" i="19"/>
  <c r="BG138" i="19"/>
  <c r="BF138" i="19"/>
  <c r="BE138" i="19"/>
  <c r="BC138" i="19"/>
  <c r="AT138" i="19"/>
  <c r="AQ138" i="19"/>
  <c r="AP138" i="19"/>
  <c r="AO138" i="19"/>
  <c r="AH138" i="19"/>
  <c r="AI138" i="19" s="1"/>
  <c r="Y138" i="19"/>
  <c r="Z138" i="19" s="1"/>
  <c r="P138" i="19"/>
  <c r="EC137" i="19"/>
  <c r="EB137" i="19"/>
  <c r="ED137" i="19" s="1"/>
  <c r="BU137" i="19"/>
  <c r="BT137" i="19"/>
  <c r="BS137" i="19"/>
  <c r="BR137" i="19"/>
  <c r="BQ137" i="19"/>
  <c r="BP137" i="19"/>
  <c r="BO137" i="19"/>
  <c r="BK137" i="19"/>
  <c r="BJ137" i="19"/>
  <c r="BI137" i="19"/>
  <c r="BH137" i="19"/>
  <c r="BG137" i="19"/>
  <c r="BF137" i="19"/>
  <c r="BE137" i="19"/>
  <c r="BC137" i="19"/>
  <c r="AT137" i="19"/>
  <c r="AQ137" i="19"/>
  <c r="AP137" i="19"/>
  <c r="AO137" i="19"/>
  <c r="AH137" i="19"/>
  <c r="AI137" i="19" s="1"/>
  <c r="Y137" i="19"/>
  <c r="Z137" i="19" s="1"/>
  <c r="P137" i="19"/>
  <c r="Q137" i="19" s="1"/>
  <c r="EC136" i="19"/>
  <c r="EB136" i="19"/>
  <c r="BU136" i="19"/>
  <c r="BT136" i="19"/>
  <c r="BS136" i="19"/>
  <c r="BR136" i="19"/>
  <c r="BQ136" i="19"/>
  <c r="BP136" i="19"/>
  <c r="BO136" i="19"/>
  <c r="BK136" i="19"/>
  <c r="BJ136" i="19"/>
  <c r="BI136" i="19"/>
  <c r="BH136" i="19"/>
  <c r="BG136" i="19"/>
  <c r="BF136" i="19"/>
  <c r="BE136" i="19"/>
  <c r="BC136" i="19"/>
  <c r="AT136" i="19"/>
  <c r="AQ136" i="19"/>
  <c r="AP136" i="19"/>
  <c r="AO136" i="19"/>
  <c r="AH136" i="19"/>
  <c r="AI136" i="19" s="1"/>
  <c r="Y136" i="19"/>
  <c r="Z136" i="19" s="1"/>
  <c r="P136" i="19"/>
  <c r="Q136" i="19" s="1"/>
  <c r="EC135" i="19"/>
  <c r="EB135" i="19"/>
  <c r="BU135" i="19"/>
  <c r="BT135" i="19"/>
  <c r="BS135" i="19"/>
  <c r="BR135" i="19"/>
  <c r="BQ135" i="19"/>
  <c r="BP135" i="19"/>
  <c r="BO135" i="19"/>
  <c r="BK135" i="19"/>
  <c r="BJ135" i="19"/>
  <c r="BI135" i="19"/>
  <c r="BH135" i="19"/>
  <c r="BG135" i="19"/>
  <c r="BF135" i="19"/>
  <c r="BE135" i="19"/>
  <c r="BC135" i="19"/>
  <c r="AT135" i="19"/>
  <c r="AQ135" i="19"/>
  <c r="AP135" i="19"/>
  <c r="AO135" i="19"/>
  <c r="AH135" i="19"/>
  <c r="AI135" i="19" s="1"/>
  <c r="Y135" i="19"/>
  <c r="Z135" i="19" s="1"/>
  <c r="P135" i="19"/>
  <c r="Q135" i="19" s="1"/>
  <c r="EC134" i="19"/>
  <c r="EB134" i="19"/>
  <c r="BU134" i="19"/>
  <c r="BT134" i="19"/>
  <c r="BS134" i="19"/>
  <c r="BR134" i="19"/>
  <c r="BQ134" i="19"/>
  <c r="BP134" i="19"/>
  <c r="BO134" i="19"/>
  <c r="BK134" i="19"/>
  <c r="BJ134" i="19"/>
  <c r="BI134" i="19"/>
  <c r="BH134" i="19"/>
  <c r="BG134" i="19"/>
  <c r="BF134" i="19"/>
  <c r="BE134" i="19"/>
  <c r="BC134" i="19"/>
  <c r="AT134" i="19"/>
  <c r="AQ134" i="19"/>
  <c r="AP134" i="19"/>
  <c r="AO134" i="19"/>
  <c r="AH134" i="19"/>
  <c r="AI134" i="19" s="1"/>
  <c r="Y134" i="19"/>
  <c r="Z134" i="19" s="1"/>
  <c r="P134" i="19"/>
  <c r="Q134" i="19" s="1"/>
  <c r="EC133" i="19"/>
  <c r="EB133" i="19"/>
  <c r="BU133" i="19"/>
  <c r="BT133" i="19"/>
  <c r="BS133" i="19"/>
  <c r="BR133" i="19"/>
  <c r="BQ133" i="19"/>
  <c r="BP133" i="19"/>
  <c r="BO133" i="19"/>
  <c r="BK133" i="19"/>
  <c r="BJ133" i="19"/>
  <c r="BI133" i="19"/>
  <c r="BH133" i="19"/>
  <c r="BG133" i="19"/>
  <c r="BF133" i="19"/>
  <c r="BE133" i="19"/>
  <c r="BC133" i="19"/>
  <c r="AT133" i="19"/>
  <c r="AQ133" i="19"/>
  <c r="AP133" i="19"/>
  <c r="AO133" i="19"/>
  <c r="AH133" i="19"/>
  <c r="AI133" i="19" s="1"/>
  <c r="Y133" i="19"/>
  <c r="Z133" i="19" s="1"/>
  <c r="P133" i="19"/>
  <c r="Q133" i="19" s="1"/>
  <c r="EC132" i="19"/>
  <c r="EB132" i="19"/>
  <c r="BU132" i="19"/>
  <c r="BT132" i="19"/>
  <c r="BS132" i="19"/>
  <c r="BR132" i="19"/>
  <c r="BQ132" i="19"/>
  <c r="BP132" i="19"/>
  <c r="BO132" i="19"/>
  <c r="BK132" i="19"/>
  <c r="BJ132" i="19"/>
  <c r="BI132" i="19"/>
  <c r="BH132" i="19"/>
  <c r="BG132" i="19"/>
  <c r="BF132" i="19"/>
  <c r="BE132" i="19"/>
  <c r="BC132" i="19"/>
  <c r="AT132" i="19"/>
  <c r="AQ132" i="19"/>
  <c r="AP132" i="19"/>
  <c r="AO132" i="19"/>
  <c r="AH132" i="19"/>
  <c r="AI132" i="19" s="1"/>
  <c r="Y132" i="19"/>
  <c r="Z132" i="19" s="1"/>
  <c r="P132" i="19"/>
  <c r="Q132" i="19" s="1"/>
  <c r="EC131" i="19"/>
  <c r="EB131" i="19"/>
  <c r="BU131" i="19"/>
  <c r="BT131" i="19"/>
  <c r="BS131" i="19"/>
  <c r="BR131" i="19"/>
  <c r="BQ131" i="19"/>
  <c r="BP131" i="19"/>
  <c r="BO131" i="19"/>
  <c r="BK131" i="19"/>
  <c r="BJ131" i="19"/>
  <c r="BI131" i="19"/>
  <c r="BH131" i="19"/>
  <c r="BG131" i="19"/>
  <c r="BF131" i="19"/>
  <c r="BE131" i="19"/>
  <c r="BC131" i="19"/>
  <c r="AT131" i="19"/>
  <c r="AQ131" i="19"/>
  <c r="AP131" i="19"/>
  <c r="AO131" i="19"/>
  <c r="AH131" i="19"/>
  <c r="AI131" i="19" s="1"/>
  <c r="Y131" i="19"/>
  <c r="Z131" i="19" s="1"/>
  <c r="P131" i="19"/>
  <c r="Q131" i="19" s="1"/>
  <c r="EC130" i="19"/>
  <c r="EB130" i="19"/>
  <c r="BU130" i="19"/>
  <c r="BT130" i="19"/>
  <c r="BS130" i="19"/>
  <c r="BR130" i="19"/>
  <c r="BQ130" i="19"/>
  <c r="BP130" i="19"/>
  <c r="BO130" i="19"/>
  <c r="BK130" i="19"/>
  <c r="BJ130" i="19"/>
  <c r="BI130" i="19"/>
  <c r="BH130" i="19"/>
  <c r="BG130" i="19"/>
  <c r="BF130" i="19"/>
  <c r="BE130" i="19"/>
  <c r="BC130" i="19"/>
  <c r="AT130" i="19"/>
  <c r="AQ130" i="19"/>
  <c r="AP130" i="19"/>
  <c r="AO130" i="19"/>
  <c r="AH130" i="19"/>
  <c r="AI130" i="19" s="1"/>
  <c r="Y130" i="19"/>
  <c r="Z130" i="19" s="1"/>
  <c r="P130" i="19"/>
  <c r="EC129" i="19"/>
  <c r="EB129" i="19"/>
  <c r="ED129" i="19" s="1"/>
  <c r="BU129" i="19"/>
  <c r="BT129" i="19"/>
  <c r="BS129" i="19"/>
  <c r="BR129" i="19"/>
  <c r="BQ129" i="19"/>
  <c r="BP129" i="19"/>
  <c r="BO129" i="19"/>
  <c r="BK129" i="19"/>
  <c r="BJ129" i="19"/>
  <c r="BI129" i="19"/>
  <c r="BH129" i="19"/>
  <c r="BG129" i="19"/>
  <c r="BF129" i="19"/>
  <c r="BE129" i="19"/>
  <c r="BC129" i="19"/>
  <c r="AT129" i="19"/>
  <c r="AQ129" i="19"/>
  <c r="AP129" i="19"/>
  <c r="AO129" i="19"/>
  <c r="AH129" i="19"/>
  <c r="AI129" i="19" s="1"/>
  <c r="Y129" i="19"/>
  <c r="Z129" i="19" s="1"/>
  <c r="P129" i="19"/>
  <c r="Q129" i="19" s="1"/>
  <c r="EC128" i="19"/>
  <c r="EB128" i="19"/>
  <c r="BU128" i="19"/>
  <c r="BT128" i="19"/>
  <c r="BS128" i="19"/>
  <c r="BR128" i="19"/>
  <c r="BQ128" i="19"/>
  <c r="BP128" i="19"/>
  <c r="BO128" i="19"/>
  <c r="BK128" i="19"/>
  <c r="BJ128" i="19"/>
  <c r="BI128" i="19"/>
  <c r="BH128" i="19"/>
  <c r="BG128" i="19"/>
  <c r="BF128" i="19"/>
  <c r="BE128" i="19"/>
  <c r="BC128" i="19"/>
  <c r="AT128" i="19"/>
  <c r="AQ128" i="19"/>
  <c r="AP128" i="19"/>
  <c r="AO128" i="19"/>
  <c r="AH128" i="19"/>
  <c r="AI128" i="19" s="1"/>
  <c r="Y128" i="19"/>
  <c r="Z128" i="19" s="1"/>
  <c r="P128" i="19"/>
  <c r="Q128" i="19" s="1"/>
  <c r="EC127" i="19"/>
  <c r="EB127" i="19"/>
  <c r="BU127" i="19"/>
  <c r="BT127" i="19"/>
  <c r="BS127" i="19"/>
  <c r="BR127" i="19"/>
  <c r="BQ127" i="19"/>
  <c r="BP127" i="19"/>
  <c r="BO127" i="19"/>
  <c r="BK127" i="19"/>
  <c r="BJ127" i="19"/>
  <c r="BI127" i="19"/>
  <c r="BH127" i="19"/>
  <c r="BG127" i="19"/>
  <c r="BF127" i="19"/>
  <c r="BE127" i="19"/>
  <c r="BC127" i="19"/>
  <c r="AT127" i="19"/>
  <c r="AQ127" i="19"/>
  <c r="AP127" i="19"/>
  <c r="AO127" i="19"/>
  <c r="AH127" i="19"/>
  <c r="AI127" i="19" s="1"/>
  <c r="Y127" i="19"/>
  <c r="Z127" i="19" s="1"/>
  <c r="P127" i="19"/>
  <c r="EC126" i="19"/>
  <c r="EB126" i="19"/>
  <c r="BU126" i="19"/>
  <c r="BT126" i="19"/>
  <c r="BS126" i="19"/>
  <c r="BR126" i="19"/>
  <c r="BQ126" i="19"/>
  <c r="BP126" i="19"/>
  <c r="BO126" i="19"/>
  <c r="BK126" i="19"/>
  <c r="BJ126" i="19"/>
  <c r="BI126" i="19"/>
  <c r="BH126" i="19"/>
  <c r="BG126" i="19"/>
  <c r="BF126" i="19"/>
  <c r="BE126" i="19"/>
  <c r="BC126" i="19"/>
  <c r="AT126" i="19"/>
  <c r="AQ126" i="19"/>
  <c r="AP126" i="19"/>
  <c r="AO126" i="19"/>
  <c r="AH126" i="19"/>
  <c r="AI126" i="19" s="1"/>
  <c r="Y126" i="19"/>
  <c r="Z126" i="19" s="1"/>
  <c r="P126" i="19"/>
  <c r="EC125" i="19"/>
  <c r="EB125" i="19"/>
  <c r="BU125" i="19"/>
  <c r="BT125" i="19"/>
  <c r="BS125" i="19"/>
  <c r="BR125" i="19"/>
  <c r="BQ125" i="19"/>
  <c r="BP125" i="19"/>
  <c r="BO125" i="19"/>
  <c r="BK125" i="19"/>
  <c r="BJ125" i="19"/>
  <c r="BI125" i="19"/>
  <c r="BH125" i="19"/>
  <c r="BG125" i="19"/>
  <c r="BF125" i="19"/>
  <c r="BE125" i="19"/>
  <c r="BC125" i="19"/>
  <c r="AT125" i="19"/>
  <c r="AQ125" i="19"/>
  <c r="AP125" i="19"/>
  <c r="AO125" i="19"/>
  <c r="AH125" i="19"/>
  <c r="AI125" i="19" s="1"/>
  <c r="Y125" i="19"/>
  <c r="Z125" i="19" s="1"/>
  <c r="P125" i="19"/>
  <c r="Q125" i="19" s="1"/>
  <c r="EC124" i="19"/>
  <c r="EB124" i="19"/>
  <c r="BU124" i="19"/>
  <c r="BT124" i="19"/>
  <c r="BS124" i="19"/>
  <c r="BR124" i="19"/>
  <c r="BQ124" i="19"/>
  <c r="BP124" i="19"/>
  <c r="BO124" i="19"/>
  <c r="BK124" i="19"/>
  <c r="BJ124" i="19"/>
  <c r="BI124" i="19"/>
  <c r="BH124" i="19"/>
  <c r="BG124" i="19"/>
  <c r="BF124" i="19"/>
  <c r="BE124" i="19"/>
  <c r="BC124" i="19"/>
  <c r="AT124" i="19"/>
  <c r="AQ124" i="19"/>
  <c r="AP124" i="19"/>
  <c r="AO124" i="19"/>
  <c r="AH124" i="19"/>
  <c r="AI124" i="19" s="1"/>
  <c r="Y124" i="19"/>
  <c r="Z124" i="19" s="1"/>
  <c r="P124" i="19"/>
  <c r="Q124" i="19" s="1"/>
  <c r="EC123" i="19"/>
  <c r="EB123" i="19"/>
  <c r="BU123" i="19"/>
  <c r="BT123" i="19"/>
  <c r="BS123" i="19"/>
  <c r="BR123" i="19"/>
  <c r="BQ123" i="19"/>
  <c r="BP123" i="19"/>
  <c r="BO123" i="19"/>
  <c r="BK123" i="19"/>
  <c r="BJ123" i="19"/>
  <c r="BI123" i="19"/>
  <c r="BH123" i="19"/>
  <c r="BG123" i="19"/>
  <c r="BF123" i="19"/>
  <c r="BE123" i="19"/>
  <c r="BC123" i="19"/>
  <c r="AT123" i="19"/>
  <c r="AQ123" i="19"/>
  <c r="AP123" i="19"/>
  <c r="AO123" i="19"/>
  <c r="AH123" i="19"/>
  <c r="AI123" i="19" s="1"/>
  <c r="Y123" i="19"/>
  <c r="Z123" i="19" s="1"/>
  <c r="P123" i="19"/>
  <c r="Q123" i="19" s="1"/>
  <c r="EC122" i="19"/>
  <c r="EB122" i="19"/>
  <c r="BU122" i="19"/>
  <c r="BT122" i="19"/>
  <c r="BS122" i="19"/>
  <c r="BR122" i="19"/>
  <c r="BQ122" i="19"/>
  <c r="BP122" i="19"/>
  <c r="BO122" i="19"/>
  <c r="BK122" i="19"/>
  <c r="BJ122" i="19"/>
  <c r="BI122" i="19"/>
  <c r="BH122" i="19"/>
  <c r="BG122" i="19"/>
  <c r="BF122" i="19"/>
  <c r="BE122" i="19"/>
  <c r="BC122" i="19"/>
  <c r="AT122" i="19"/>
  <c r="AQ122" i="19"/>
  <c r="AP122" i="19"/>
  <c r="AO122" i="19"/>
  <c r="AH122" i="19"/>
  <c r="AI122" i="19" s="1"/>
  <c r="Y122" i="19"/>
  <c r="Z122" i="19" s="1"/>
  <c r="P122" i="19"/>
  <c r="Q122" i="19" s="1"/>
  <c r="EC121" i="19"/>
  <c r="EB121" i="19"/>
  <c r="BU121" i="19"/>
  <c r="BT121" i="19"/>
  <c r="BS121" i="19"/>
  <c r="BR121" i="19"/>
  <c r="BQ121" i="19"/>
  <c r="BP121" i="19"/>
  <c r="BO121" i="19"/>
  <c r="BK121" i="19"/>
  <c r="BJ121" i="19"/>
  <c r="BI121" i="19"/>
  <c r="BH121" i="19"/>
  <c r="BG121" i="19"/>
  <c r="BF121" i="19"/>
  <c r="BE121" i="19"/>
  <c r="BC121" i="19"/>
  <c r="AT121" i="19"/>
  <c r="AQ121" i="19"/>
  <c r="AP121" i="19"/>
  <c r="AO121" i="19"/>
  <c r="AH121" i="19"/>
  <c r="AI121" i="19" s="1"/>
  <c r="Y121" i="19"/>
  <c r="Z121" i="19" s="1"/>
  <c r="P121" i="19"/>
  <c r="Q121" i="19" s="1"/>
  <c r="EC120" i="19"/>
  <c r="EB120" i="19"/>
  <c r="BU120" i="19"/>
  <c r="BT120" i="19"/>
  <c r="BS120" i="19"/>
  <c r="BR120" i="19"/>
  <c r="BQ120" i="19"/>
  <c r="BP120" i="19"/>
  <c r="BO120" i="19"/>
  <c r="BK120" i="19"/>
  <c r="BJ120" i="19"/>
  <c r="BI120" i="19"/>
  <c r="BH120" i="19"/>
  <c r="BG120" i="19"/>
  <c r="BF120" i="19"/>
  <c r="BE120" i="19"/>
  <c r="BC120" i="19"/>
  <c r="AT120" i="19"/>
  <c r="AQ120" i="19"/>
  <c r="AP120" i="19"/>
  <c r="AO120" i="19"/>
  <c r="AH120" i="19"/>
  <c r="AI120" i="19" s="1"/>
  <c r="Y120" i="19"/>
  <c r="Z120" i="19" s="1"/>
  <c r="P120" i="19"/>
  <c r="Q120" i="19" s="1"/>
  <c r="EC119" i="19"/>
  <c r="EB119" i="19"/>
  <c r="BU119" i="19"/>
  <c r="BT119" i="19"/>
  <c r="BS119" i="19"/>
  <c r="BR119" i="19"/>
  <c r="BQ119" i="19"/>
  <c r="BP119" i="19"/>
  <c r="BO119" i="19"/>
  <c r="BK119" i="19"/>
  <c r="BJ119" i="19"/>
  <c r="BI119" i="19"/>
  <c r="BH119" i="19"/>
  <c r="BG119" i="19"/>
  <c r="BF119" i="19"/>
  <c r="BE119" i="19"/>
  <c r="BC119" i="19"/>
  <c r="AT119" i="19"/>
  <c r="AQ119" i="19"/>
  <c r="AP119" i="19"/>
  <c r="AO119" i="19"/>
  <c r="AH119" i="19"/>
  <c r="AI119" i="19" s="1"/>
  <c r="Y119" i="19"/>
  <c r="Z119" i="19" s="1"/>
  <c r="P119" i="19"/>
  <c r="EC118" i="19"/>
  <c r="EB118" i="19"/>
  <c r="BU118" i="19"/>
  <c r="BT118" i="19"/>
  <c r="BS118" i="19"/>
  <c r="BR118" i="19"/>
  <c r="BQ118" i="19"/>
  <c r="BP118" i="19"/>
  <c r="BO118" i="19"/>
  <c r="BK118" i="19"/>
  <c r="BJ118" i="19"/>
  <c r="BI118" i="19"/>
  <c r="BH118" i="19"/>
  <c r="BG118" i="19"/>
  <c r="BF118" i="19"/>
  <c r="BE118" i="19"/>
  <c r="BC118" i="19"/>
  <c r="AT118" i="19"/>
  <c r="AQ118" i="19"/>
  <c r="AP118" i="19"/>
  <c r="AO118" i="19"/>
  <c r="AH118" i="19"/>
  <c r="AI118" i="19" s="1"/>
  <c r="Y118" i="19"/>
  <c r="Z118" i="19" s="1"/>
  <c r="P118" i="19"/>
  <c r="EC117" i="19"/>
  <c r="EB117" i="19"/>
  <c r="BU117" i="19"/>
  <c r="BT117" i="19"/>
  <c r="BS117" i="19"/>
  <c r="BR117" i="19"/>
  <c r="BQ117" i="19"/>
  <c r="BP117" i="19"/>
  <c r="BO117" i="19"/>
  <c r="BK117" i="19"/>
  <c r="BJ117" i="19"/>
  <c r="BI117" i="19"/>
  <c r="BH117" i="19"/>
  <c r="BG117" i="19"/>
  <c r="BF117" i="19"/>
  <c r="BE117" i="19"/>
  <c r="BC117" i="19"/>
  <c r="AT117" i="19"/>
  <c r="AQ117" i="19"/>
  <c r="AP117" i="19"/>
  <c r="AO117" i="19"/>
  <c r="AH117" i="19"/>
  <c r="AI117" i="19" s="1"/>
  <c r="Y117" i="19"/>
  <c r="Z117" i="19" s="1"/>
  <c r="P117" i="19"/>
  <c r="Q117" i="19" s="1"/>
  <c r="EC116" i="19"/>
  <c r="EB116" i="19"/>
  <c r="BU116" i="19"/>
  <c r="BT116" i="19"/>
  <c r="BS116" i="19"/>
  <c r="BR116" i="19"/>
  <c r="BQ116" i="19"/>
  <c r="BP116" i="19"/>
  <c r="BO116" i="19"/>
  <c r="BK116" i="19"/>
  <c r="BJ116" i="19"/>
  <c r="BI116" i="19"/>
  <c r="BH116" i="19"/>
  <c r="BG116" i="19"/>
  <c r="BF116" i="19"/>
  <c r="BE116" i="19"/>
  <c r="BC116" i="19"/>
  <c r="AT116" i="19"/>
  <c r="AQ116" i="19"/>
  <c r="AP116" i="19"/>
  <c r="AO116" i="19"/>
  <c r="AH116" i="19"/>
  <c r="AI116" i="19" s="1"/>
  <c r="Y116" i="19"/>
  <c r="Z116" i="19" s="1"/>
  <c r="P116" i="19"/>
  <c r="Q116" i="19" s="1"/>
  <c r="EC115" i="19"/>
  <c r="EB115" i="19"/>
  <c r="BU115" i="19"/>
  <c r="BT115" i="19"/>
  <c r="BS115" i="19"/>
  <c r="BR115" i="19"/>
  <c r="BQ115" i="19"/>
  <c r="BP115" i="19"/>
  <c r="BO115" i="19"/>
  <c r="BK115" i="19"/>
  <c r="BJ115" i="19"/>
  <c r="BI115" i="19"/>
  <c r="BH115" i="19"/>
  <c r="BG115" i="19"/>
  <c r="BF115" i="19"/>
  <c r="BE115" i="19"/>
  <c r="BC115" i="19"/>
  <c r="AT115" i="19"/>
  <c r="AQ115" i="19"/>
  <c r="AP115" i="19"/>
  <c r="AO115" i="19"/>
  <c r="AH115" i="19"/>
  <c r="AI115" i="19" s="1"/>
  <c r="Y115" i="19"/>
  <c r="Z115" i="19" s="1"/>
  <c r="P115" i="19"/>
  <c r="Q115" i="19" s="1"/>
  <c r="EC114" i="19"/>
  <c r="EB114" i="19"/>
  <c r="ED114" i="19" s="1"/>
  <c r="BU114" i="19"/>
  <c r="BT114" i="19"/>
  <c r="BS114" i="19"/>
  <c r="BR114" i="19"/>
  <c r="BQ114" i="19"/>
  <c r="BP114" i="19"/>
  <c r="BO114" i="19"/>
  <c r="BK114" i="19"/>
  <c r="BJ114" i="19"/>
  <c r="BI114" i="19"/>
  <c r="BH114" i="19"/>
  <c r="BG114" i="19"/>
  <c r="BF114" i="19"/>
  <c r="BE114" i="19"/>
  <c r="BC114" i="19"/>
  <c r="AT114" i="19"/>
  <c r="AQ114" i="19"/>
  <c r="AP114" i="19"/>
  <c r="AO114" i="19"/>
  <c r="AH114" i="19"/>
  <c r="AI114" i="19" s="1"/>
  <c r="Y114" i="19"/>
  <c r="Z114" i="19" s="1"/>
  <c r="P114" i="19"/>
  <c r="Q114" i="19" s="1"/>
  <c r="EC113" i="19"/>
  <c r="EB113" i="19"/>
  <c r="BU113" i="19"/>
  <c r="BT113" i="19"/>
  <c r="BS113" i="19"/>
  <c r="BR113" i="19"/>
  <c r="BQ113" i="19"/>
  <c r="BP113" i="19"/>
  <c r="BO113" i="19"/>
  <c r="BK113" i="19"/>
  <c r="BJ113" i="19"/>
  <c r="BI113" i="19"/>
  <c r="BH113" i="19"/>
  <c r="BG113" i="19"/>
  <c r="BF113" i="19"/>
  <c r="BE113" i="19"/>
  <c r="BC113" i="19"/>
  <c r="AT113" i="19"/>
  <c r="AQ113" i="19"/>
  <c r="AP113" i="19"/>
  <c r="AO113" i="19"/>
  <c r="AH113" i="19"/>
  <c r="AI113" i="19" s="1"/>
  <c r="Y113" i="19"/>
  <c r="Z113" i="19" s="1"/>
  <c r="P113" i="19"/>
  <c r="Q113" i="19" s="1"/>
  <c r="EC112" i="19"/>
  <c r="EB112" i="19"/>
  <c r="BU112" i="19"/>
  <c r="BT112" i="19"/>
  <c r="BS112" i="19"/>
  <c r="BR112" i="19"/>
  <c r="BQ112" i="19"/>
  <c r="BP112" i="19"/>
  <c r="BO112" i="19"/>
  <c r="BK112" i="19"/>
  <c r="BJ112" i="19"/>
  <c r="BI112" i="19"/>
  <c r="BH112" i="19"/>
  <c r="BG112" i="19"/>
  <c r="BF112" i="19"/>
  <c r="BE112" i="19"/>
  <c r="BC112" i="19"/>
  <c r="AT112" i="19"/>
  <c r="AQ112" i="19"/>
  <c r="AP112" i="19"/>
  <c r="AO112" i="19"/>
  <c r="AH112" i="19"/>
  <c r="AI112" i="19" s="1"/>
  <c r="Y112" i="19"/>
  <c r="Z112" i="19" s="1"/>
  <c r="P112" i="19"/>
  <c r="Q112" i="19" s="1"/>
  <c r="EC111" i="19"/>
  <c r="EB111" i="19"/>
  <c r="BU111" i="19"/>
  <c r="BT111" i="19"/>
  <c r="BS111" i="19"/>
  <c r="BR111" i="19"/>
  <c r="BQ111" i="19"/>
  <c r="BP111" i="19"/>
  <c r="BO111" i="19"/>
  <c r="BK111" i="19"/>
  <c r="BJ111" i="19"/>
  <c r="BI111" i="19"/>
  <c r="BH111" i="19"/>
  <c r="BG111" i="19"/>
  <c r="BF111" i="19"/>
  <c r="BE111" i="19"/>
  <c r="BC111" i="19"/>
  <c r="AT111" i="19"/>
  <c r="AQ111" i="19"/>
  <c r="AP111" i="19"/>
  <c r="AO111" i="19"/>
  <c r="AH111" i="19"/>
  <c r="AI111" i="19" s="1"/>
  <c r="Y111" i="19"/>
  <c r="Z111" i="19" s="1"/>
  <c r="P111" i="19"/>
  <c r="EC110" i="19"/>
  <c r="EB110" i="19"/>
  <c r="BU110" i="19"/>
  <c r="BT110" i="19"/>
  <c r="BS110" i="19"/>
  <c r="BR110" i="19"/>
  <c r="BQ110" i="19"/>
  <c r="BP110" i="19"/>
  <c r="BO110" i="19"/>
  <c r="BK110" i="19"/>
  <c r="BJ110" i="19"/>
  <c r="BI110" i="19"/>
  <c r="BH110" i="19"/>
  <c r="BG110" i="19"/>
  <c r="BF110" i="19"/>
  <c r="BE110" i="19"/>
  <c r="BC110" i="19"/>
  <c r="AT110" i="19"/>
  <c r="AQ110" i="19"/>
  <c r="AP110" i="19"/>
  <c r="AO110" i="19"/>
  <c r="AH110" i="19"/>
  <c r="AI110" i="19" s="1"/>
  <c r="Y110" i="19"/>
  <c r="Z110" i="19" s="1"/>
  <c r="P110" i="19"/>
  <c r="Q110" i="19" s="1"/>
  <c r="EC109" i="19"/>
  <c r="EB109" i="19"/>
  <c r="BU109" i="19"/>
  <c r="BT109" i="19"/>
  <c r="BS109" i="19"/>
  <c r="BR109" i="19"/>
  <c r="BQ109" i="19"/>
  <c r="BP109" i="19"/>
  <c r="BO109" i="19"/>
  <c r="BK109" i="19"/>
  <c r="BJ109" i="19"/>
  <c r="BI109" i="19"/>
  <c r="BH109" i="19"/>
  <c r="BG109" i="19"/>
  <c r="BF109" i="19"/>
  <c r="BE109" i="19"/>
  <c r="BC109" i="19"/>
  <c r="AT109" i="19"/>
  <c r="AQ109" i="19"/>
  <c r="AP109" i="19"/>
  <c r="AO109" i="19"/>
  <c r="AH109" i="19"/>
  <c r="AI109" i="19" s="1"/>
  <c r="Y109" i="19"/>
  <c r="Z109" i="19" s="1"/>
  <c r="P109" i="19"/>
  <c r="Q109" i="19" s="1"/>
  <c r="EC108" i="19"/>
  <c r="EB108" i="19"/>
  <c r="BU108" i="19"/>
  <c r="BT108" i="19"/>
  <c r="BS108" i="19"/>
  <c r="BR108" i="19"/>
  <c r="BQ108" i="19"/>
  <c r="BP108" i="19"/>
  <c r="BO108" i="19"/>
  <c r="BK108" i="19"/>
  <c r="BJ108" i="19"/>
  <c r="BI108" i="19"/>
  <c r="BH108" i="19"/>
  <c r="BG108" i="19"/>
  <c r="BF108" i="19"/>
  <c r="BE108" i="19"/>
  <c r="BC108" i="19"/>
  <c r="AT108" i="19"/>
  <c r="AQ108" i="19"/>
  <c r="AP108" i="19"/>
  <c r="AO108" i="19"/>
  <c r="AH108" i="19"/>
  <c r="AI108" i="19" s="1"/>
  <c r="Y108" i="19"/>
  <c r="Z108" i="19" s="1"/>
  <c r="P108" i="19"/>
  <c r="Q108" i="19" s="1"/>
  <c r="EC107" i="19"/>
  <c r="EB107" i="19"/>
  <c r="BU107" i="19"/>
  <c r="BT107" i="19"/>
  <c r="BS107" i="19"/>
  <c r="BR107" i="19"/>
  <c r="BQ107" i="19"/>
  <c r="BP107" i="19"/>
  <c r="BO107" i="19"/>
  <c r="BK107" i="19"/>
  <c r="BJ107" i="19"/>
  <c r="BI107" i="19"/>
  <c r="BH107" i="19"/>
  <c r="BG107" i="19"/>
  <c r="BF107" i="19"/>
  <c r="BE107" i="19"/>
  <c r="BC107" i="19"/>
  <c r="AT107" i="19"/>
  <c r="AQ107" i="19"/>
  <c r="AP107" i="19"/>
  <c r="AO107" i="19"/>
  <c r="AH107" i="19"/>
  <c r="AI107" i="19" s="1"/>
  <c r="Y107" i="19"/>
  <c r="Z107" i="19" s="1"/>
  <c r="P107" i="19"/>
  <c r="Q107" i="19" s="1"/>
  <c r="EC106" i="19"/>
  <c r="EB106" i="19"/>
  <c r="BU106" i="19"/>
  <c r="BT106" i="19"/>
  <c r="BS106" i="19"/>
  <c r="BR106" i="19"/>
  <c r="BQ106" i="19"/>
  <c r="BP106" i="19"/>
  <c r="BO106" i="19"/>
  <c r="BK106" i="19"/>
  <c r="BJ106" i="19"/>
  <c r="BI106" i="19"/>
  <c r="BH106" i="19"/>
  <c r="BG106" i="19"/>
  <c r="BF106" i="19"/>
  <c r="BE106" i="19"/>
  <c r="BC106" i="19"/>
  <c r="AT106" i="19"/>
  <c r="AQ106" i="19"/>
  <c r="AP106" i="19"/>
  <c r="AO106" i="19"/>
  <c r="AH106" i="19"/>
  <c r="AI106" i="19" s="1"/>
  <c r="Y106" i="19"/>
  <c r="Z106" i="19" s="1"/>
  <c r="P106" i="19"/>
  <c r="Q106" i="19" s="1"/>
  <c r="EC105" i="19"/>
  <c r="EB105" i="19"/>
  <c r="BU105" i="19"/>
  <c r="BT105" i="19"/>
  <c r="BS105" i="19"/>
  <c r="BR105" i="19"/>
  <c r="BQ105" i="19"/>
  <c r="BP105" i="19"/>
  <c r="BO105" i="19"/>
  <c r="BK105" i="19"/>
  <c r="BJ105" i="19"/>
  <c r="BI105" i="19"/>
  <c r="BH105" i="19"/>
  <c r="BG105" i="19"/>
  <c r="BF105" i="19"/>
  <c r="BE105" i="19"/>
  <c r="BC105" i="19"/>
  <c r="AT105" i="19"/>
  <c r="AQ105" i="19"/>
  <c r="AP105" i="19"/>
  <c r="AO105" i="19"/>
  <c r="AH105" i="19"/>
  <c r="AI105" i="19" s="1"/>
  <c r="Y105" i="19"/>
  <c r="Z105" i="19" s="1"/>
  <c r="P105" i="19"/>
  <c r="Q105" i="19" s="1"/>
  <c r="EC104" i="19"/>
  <c r="EB104" i="19"/>
  <c r="BU104" i="19"/>
  <c r="BT104" i="19"/>
  <c r="BS104" i="19"/>
  <c r="BR104" i="19"/>
  <c r="BQ104" i="19"/>
  <c r="BP104" i="19"/>
  <c r="BO104" i="19"/>
  <c r="BK104" i="19"/>
  <c r="BJ104" i="19"/>
  <c r="BI104" i="19"/>
  <c r="BH104" i="19"/>
  <c r="BG104" i="19"/>
  <c r="BF104" i="19"/>
  <c r="BE104" i="19"/>
  <c r="BC104" i="19"/>
  <c r="AT104" i="19"/>
  <c r="AQ104" i="19"/>
  <c r="AP104" i="19"/>
  <c r="AO104" i="19"/>
  <c r="AH104" i="19"/>
  <c r="AI104" i="19" s="1"/>
  <c r="Y104" i="19"/>
  <c r="Z104" i="19" s="1"/>
  <c r="P104" i="19"/>
  <c r="Q104" i="19" s="1"/>
  <c r="EC103" i="19"/>
  <c r="EB103" i="19"/>
  <c r="BU103" i="19"/>
  <c r="BT103" i="19"/>
  <c r="BS103" i="19"/>
  <c r="BR103" i="19"/>
  <c r="BQ103" i="19"/>
  <c r="BP103" i="19"/>
  <c r="BO103" i="19"/>
  <c r="BK103" i="19"/>
  <c r="BJ103" i="19"/>
  <c r="BI103" i="19"/>
  <c r="BH103" i="19"/>
  <c r="BG103" i="19"/>
  <c r="BF103" i="19"/>
  <c r="BE103" i="19"/>
  <c r="BC103" i="19"/>
  <c r="AT103" i="19"/>
  <c r="AQ103" i="19"/>
  <c r="AP103" i="19"/>
  <c r="AO103" i="19"/>
  <c r="AH103" i="19"/>
  <c r="AI103" i="19" s="1"/>
  <c r="Y103" i="19"/>
  <c r="Z103" i="19" s="1"/>
  <c r="P103" i="19"/>
  <c r="Q103" i="19" s="1"/>
  <c r="EC102" i="19"/>
  <c r="EB102" i="19"/>
  <c r="BU102" i="19"/>
  <c r="BT102" i="19"/>
  <c r="BS102" i="19"/>
  <c r="BR102" i="19"/>
  <c r="BQ102" i="19"/>
  <c r="BP102" i="19"/>
  <c r="BO102" i="19"/>
  <c r="BK102" i="19"/>
  <c r="BJ102" i="19"/>
  <c r="BI102" i="19"/>
  <c r="BH102" i="19"/>
  <c r="BG102" i="19"/>
  <c r="BF102" i="19"/>
  <c r="BE102" i="19"/>
  <c r="BC102" i="19"/>
  <c r="AT102" i="19"/>
  <c r="AQ102" i="19"/>
  <c r="AP102" i="19"/>
  <c r="AO102" i="19"/>
  <c r="AH102" i="19"/>
  <c r="AI102" i="19" s="1"/>
  <c r="Y102" i="19"/>
  <c r="Z102" i="19" s="1"/>
  <c r="P102" i="19"/>
  <c r="EC101" i="19"/>
  <c r="EB101" i="19"/>
  <c r="BU101" i="19"/>
  <c r="BT101" i="19"/>
  <c r="BS101" i="19"/>
  <c r="BR101" i="19"/>
  <c r="BQ101" i="19"/>
  <c r="BP101" i="19"/>
  <c r="BO101" i="19"/>
  <c r="BK101" i="19"/>
  <c r="BJ101" i="19"/>
  <c r="BI101" i="19"/>
  <c r="BH101" i="19"/>
  <c r="BG101" i="19"/>
  <c r="BF101" i="19"/>
  <c r="BE101" i="19"/>
  <c r="BC101" i="19"/>
  <c r="AT101" i="19"/>
  <c r="AQ101" i="19"/>
  <c r="AP101" i="19"/>
  <c r="AO101" i="19"/>
  <c r="AH101" i="19"/>
  <c r="AI101" i="19" s="1"/>
  <c r="Y101" i="19"/>
  <c r="Z101" i="19" s="1"/>
  <c r="P101" i="19"/>
  <c r="Q101" i="19" s="1"/>
  <c r="EC100" i="19"/>
  <c r="EB100" i="19"/>
  <c r="BU100" i="19"/>
  <c r="BT100" i="19"/>
  <c r="BS100" i="19"/>
  <c r="BR100" i="19"/>
  <c r="BQ100" i="19"/>
  <c r="BP100" i="19"/>
  <c r="BO100" i="19"/>
  <c r="BK100" i="19"/>
  <c r="BJ100" i="19"/>
  <c r="BI100" i="19"/>
  <c r="BH100" i="19"/>
  <c r="BG100" i="19"/>
  <c r="BF100" i="19"/>
  <c r="BE100" i="19"/>
  <c r="BC100" i="19"/>
  <c r="AT100" i="19"/>
  <c r="AQ100" i="19"/>
  <c r="AP100" i="19"/>
  <c r="AO100" i="19"/>
  <c r="AH100" i="19"/>
  <c r="AI100" i="19" s="1"/>
  <c r="Y100" i="19"/>
  <c r="Z100" i="19" s="1"/>
  <c r="P100" i="19"/>
  <c r="Q100" i="19" s="1"/>
  <c r="EC99" i="19"/>
  <c r="EB99" i="19"/>
  <c r="BU99" i="19"/>
  <c r="BT99" i="19"/>
  <c r="BS99" i="19"/>
  <c r="BR99" i="19"/>
  <c r="BQ99" i="19"/>
  <c r="BP99" i="19"/>
  <c r="BO99" i="19"/>
  <c r="BK99" i="19"/>
  <c r="BJ99" i="19"/>
  <c r="BI99" i="19"/>
  <c r="BH99" i="19"/>
  <c r="BG99" i="19"/>
  <c r="BF99" i="19"/>
  <c r="BE99" i="19"/>
  <c r="BC99" i="19"/>
  <c r="AT99" i="19"/>
  <c r="AQ99" i="19"/>
  <c r="AP99" i="19"/>
  <c r="AO99" i="19"/>
  <c r="AH99" i="19"/>
  <c r="AI99" i="19" s="1"/>
  <c r="Y99" i="19"/>
  <c r="Z99" i="19" s="1"/>
  <c r="P99" i="19"/>
  <c r="Q99" i="19" s="1"/>
  <c r="EC98" i="19"/>
  <c r="EB98" i="19"/>
  <c r="BU98" i="19"/>
  <c r="BT98" i="19"/>
  <c r="BS98" i="19"/>
  <c r="BR98" i="19"/>
  <c r="BQ98" i="19"/>
  <c r="BP98" i="19"/>
  <c r="BO98" i="19"/>
  <c r="BK98" i="19"/>
  <c r="BJ98" i="19"/>
  <c r="BI98" i="19"/>
  <c r="BH98" i="19"/>
  <c r="BG98" i="19"/>
  <c r="BF98" i="19"/>
  <c r="BE98" i="19"/>
  <c r="BC98" i="19"/>
  <c r="AT98" i="19"/>
  <c r="AQ98" i="19"/>
  <c r="AP98" i="19"/>
  <c r="AO98" i="19"/>
  <c r="AH98" i="19"/>
  <c r="AI98" i="19" s="1"/>
  <c r="Y98" i="19"/>
  <c r="Z98" i="19" s="1"/>
  <c r="P98" i="19"/>
  <c r="Q98" i="19" s="1"/>
  <c r="EC97" i="19"/>
  <c r="EB97" i="19"/>
  <c r="BU97" i="19"/>
  <c r="BT97" i="19"/>
  <c r="BS97" i="19"/>
  <c r="BR97" i="19"/>
  <c r="BQ97" i="19"/>
  <c r="BP97" i="19"/>
  <c r="BO97" i="19"/>
  <c r="BK97" i="19"/>
  <c r="BJ97" i="19"/>
  <c r="BI97" i="19"/>
  <c r="BH97" i="19"/>
  <c r="BG97" i="19"/>
  <c r="BF97" i="19"/>
  <c r="BE97" i="19"/>
  <c r="BC97" i="19"/>
  <c r="AT97" i="19"/>
  <c r="AQ97" i="19"/>
  <c r="AP97" i="19"/>
  <c r="AO97" i="19"/>
  <c r="AH97" i="19"/>
  <c r="AI97" i="19" s="1"/>
  <c r="Y97" i="19"/>
  <c r="Z97" i="19" s="1"/>
  <c r="P97" i="19"/>
  <c r="Q97" i="19" s="1"/>
  <c r="EC96" i="19"/>
  <c r="EB96" i="19"/>
  <c r="BU96" i="19"/>
  <c r="BT96" i="19"/>
  <c r="BS96" i="19"/>
  <c r="BR96" i="19"/>
  <c r="BQ96" i="19"/>
  <c r="BP96" i="19"/>
  <c r="BO96" i="19"/>
  <c r="BK96" i="19"/>
  <c r="BJ96" i="19"/>
  <c r="BI96" i="19"/>
  <c r="BH96" i="19"/>
  <c r="BG96" i="19"/>
  <c r="BF96" i="19"/>
  <c r="BE96" i="19"/>
  <c r="BC96" i="19"/>
  <c r="AT96" i="19"/>
  <c r="AQ96" i="19"/>
  <c r="AP96" i="19"/>
  <c r="AO96" i="19"/>
  <c r="AH96" i="19"/>
  <c r="AI96" i="19" s="1"/>
  <c r="Y96" i="19"/>
  <c r="Z96" i="19" s="1"/>
  <c r="P96" i="19"/>
  <c r="Q96" i="19" s="1"/>
  <c r="EC95" i="19"/>
  <c r="EB95" i="19"/>
  <c r="BU95" i="19"/>
  <c r="BT95" i="19"/>
  <c r="BS95" i="19"/>
  <c r="BR95" i="19"/>
  <c r="BQ95" i="19"/>
  <c r="BP95" i="19"/>
  <c r="BO95" i="19"/>
  <c r="BK95" i="19"/>
  <c r="BJ95" i="19"/>
  <c r="BI95" i="19"/>
  <c r="BH95" i="19"/>
  <c r="BG95" i="19"/>
  <c r="BF95" i="19"/>
  <c r="BE95" i="19"/>
  <c r="BC95" i="19"/>
  <c r="AT95" i="19"/>
  <c r="AQ95" i="19"/>
  <c r="AP95" i="19"/>
  <c r="AO95" i="19"/>
  <c r="AH95" i="19"/>
  <c r="AI95" i="19" s="1"/>
  <c r="Y95" i="19"/>
  <c r="Z95" i="19" s="1"/>
  <c r="P95" i="19"/>
  <c r="Q95" i="19" s="1"/>
  <c r="EC94" i="19"/>
  <c r="EB94" i="19"/>
  <c r="BU94" i="19"/>
  <c r="BT94" i="19"/>
  <c r="BS94" i="19"/>
  <c r="BR94" i="19"/>
  <c r="BQ94" i="19"/>
  <c r="BP94" i="19"/>
  <c r="BO94" i="19"/>
  <c r="BK94" i="19"/>
  <c r="BJ94" i="19"/>
  <c r="BI94" i="19"/>
  <c r="BH94" i="19"/>
  <c r="BG94" i="19"/>
  <c r="BF94" i="19"/>
  <c r="BE94" i="19"/>
  <c r="BC94" i="19"/>
  <c r="AT94" i="19"/>
  <c r="AQ94" i="19"/>
  <c r="AP94" i="19"/>
  <c r="AO94" i="19"/>
  <c r="AH94" i="19"/>
  <c r="AI94" i="19" s="1"/>
  <c r="Y94" i="19"/>
  <c r="Z94" i="19" s="1"/>
  <c r="P94" i="19"/>
  <c r="Q94" i="19" s="1"/>
  <c r="EC93" i="19"/>
  <c r="EB93" i="19"/>
  <c r="BU93" i="19"/>
  <c r="BT93" i="19"/>
  <c r="BS93" i="19"/>
  <c r="BR93" i="19"/>
  <c r="BQ93" i="19"/>
  <c r="BP93" i="19"/>
  <c r="BO93" i="19"/>
  <c r="BK93" i="19"/>
  <c r="BJ93" i="19"/>
  <c r="BI93" i="19"/>
  <c r="BH93" i="19"/>
  <c r="BG93" i="19"/>
  <c r="BF93" i="19"/>
  <c r="BE93" i="19"/>
  <c r="BC93" i="19"/>
  <c r="AT93" i="19"/>
  <c r="AQ93" i="19"/>
  <c r="AP93" i="19"/>
  <c r="AO93" i="19"/>
  <c r="AH93" i="19"/>
  <c r="AI93" i="19" s="1"/>
  <c r="Y93" i="19"/>
  <c r="Z93" i="19" s="1"/>
  <c r="P93" i="19"/>
  <c r="Q93" i="19" s="1"/>
  <c r="EC92" i="19"/>
  <c r="EB92" i="19"/>
  <c r="BU92" i="19"/>
  <c r="BT92" i="19"/>
  <c r="BS92" i="19"/>
  <c r="BR92" i="19"/>
  <c r="BQ92" i="19"/>
  <c r="BP92" i="19"/>
  <c r="BO92" i="19"/>
  <c r="BK92" i="19"/>
  <c r="BJ92" i="19"/>
  <c r="BI92" i="19"/>
  <c r="BH92" i="19"/>
  <c r="BG92" i="19"/>
  <c r="BF92" i="19"/>
  <c r="BE92" i="19"/>
  <c r="BC92" i="19"/>
  <c r="AT92" i="19"/>
  <c r="AQ92" i="19"/>
  <c r="AP92" i="19"/>
  <c r="AO92" i="19"/>
  <c r="AH92" i="19"/>
  <c r="AI92" i="19" s="1"/>
  <c r="Y92" i="19"/>
  <c r="Z92" i="19" s="1"/>
  <c r="P92" i="19"/>
  <c r="Q92" i="19" s="1"/>
  <c r="EC91" i="19"/>
  <c r="BO91" i="19"/>
  <c r="BV91" i="19" s="1"/>
  <c r="BC91" i="19"/>
  <c r="AT91" i="19"/>
  <c r="AQ91" i="19"/>
  <c r="AP91" i="19"/>
  <c r="AO91" i="19"/>
  <c r="P91" i="19"/>
  <c r="Q91" i="19" s="1"/>
  <c r="EC90" i="19"/>
  <c r="EB90" i="19"/>
  <c r="BU90" i="19"/>
  <c r="BT90" i="19"/>
  <c r="BS90" i="19"/>
  <c r="BR90" i="19"/>
  <c r="BQ90" i="19"/>
  <c r="BP90" i="19"/>
  <c r="BO90" i="19"/>
  <c r="BK90" i="19"/>
  <c r="BJ90" i="19"/>
  <c r="BI90" i="19"/>
  <c r="BH90" i="19"/>
  <c r="BG90" i="19"/>
  <c r="BF90" i="19"/>
  <c r="BE90" i="19"/>
  <c r="BC90" i="19"/>
  <c r="AT90" i="19"/>
  <c r="AQ90" i="19"/>
  <c r="AP90" i="19"/>
  <c r="AO90" i="19"/>
  <c r="AH90" i="19"/>
  <c r="AI90" i="19" s="1"/>
  <c r="Y90" i="19"/>
  <c r="Z90" i="19" s="1"/>
  <c r="P90" i="19"/>
  <c r="Q90" i="19" s="1"/>
  <c r="EC89" i="19"/>
  <c r="EB89" i="19"/>
  <c r="BU89" i="19"/>
  <c r="BT89" i="19"/>
  <c r="BS89" i="19"/>
  <c r="BR89" i="19"/>
  <c r="BQ89" i="19"/>
  <c r="BP89" i="19"/>
  <c r="BO89" i="19"/>
  <c r="BK89" i="19"/>
  <c r="BJ89" i="19"/>
  <c r="BI89" i="19"/>
  <c r="BH89" i="19"/>
  <c r="BG89" i="19"/>
  <c r="BF89" i="19"/>
  <c r="BE89" i="19"/>
  <c r="BC89" i="19"/>
  <c r="AT89" i="19"/>
  <c r="AQ89" i="19"/>
  <c r="AP89" i="19"/>
  <c r="AO89" i="19"/>
  <c r="AH89" i="19"/>
  <c r="AI89" i="19" s="1"/>
  <c r="Y89" i="19"/>
  <c r="Z89" i="19" s="1"/>
  <c r="P89" i="19"/>
  <c r="EC88" i="19"/>
  <c r="EB88" i="19"/>
  <c r="BU88" i="19"/>
  <c r="BT88" i="19"/>
  <c r="BS88" i="19"/>
  <c r="BR88" i="19"/>
  <c r="BQ88" i="19"/>
  <c r="BP88" i="19"/>
  <c r="BO88" i="19"/>
  <c r="BK88" i="19"/>
  <c r="BJ88" i="19"/>
  <c r="BI88" i="19"/>
  <c r="BH88" i="19"/>
  <c r="BG88" i="19"/>
  <c r="BF88" i="19"/>
  <c r="BE88" i="19"/>
  <c r="BC88" i="19"/>
  <c r="AT88" i="19"/>
  <c r="AQ88" i="19"/>
  <c r="AP88" i="19"/>
  <c r="AO88" i="19"/>
  <c r="AH88" i="19"/>
  <c r="AI88" i="19" s="1"/>
  <c r="Y88" i="19"/>
  <c r="Z88" i="19" s="1"/>
  <c r="P88" i="19"/>
  <c r="Q88" i="19" s="1"/>
  <c r="EC87" i="19"/>
  <c r="EB87" i="19"/>
  <c r="BU87" i="19"/>
  <c r="BT87" i="19"/>
  <c r="BS87" i="19"/>
  <c r="BR87" i="19"/>
  <c r="BQ87" i="19"/>
  <c r="BP87" i="19"/>
  <c r="BO87" i="19"/>
  <c r="BK87" i="19"/>
  <c r="BJ87" i="19"/>
  <c r="BI87" i="19"/>
  <c r="BH87" i="19"/>
  <c r="BG87" i="19"/>
  <c r="BF87" i="19"/>
  <c r="BE87" i="19"/>
  <c r="BC87" i="19"/>
  <c r="AT87" i="19"/>
  <c r="AQ87" i="19"/>
  <c r="AP87" i="19"/>
  <c r="AO87" i="19"/>
  <c r="AH87" i="19"/>
  <c r="AI87" i="19" s="1"/>
  <c r="Y87" i="19"/>
  <c r="Z87" i="19" s="1"/>
  <c r="P87" i="19"/>
  <c r="EC86" i="19"/>
  <c r="EB86" i="19"/>
  <c r="BU86" i="19"/>
  <c r="BT86" i="19"/>
  <c r="BS86" i="19"/>
  <c r="BR86" i="19"/>
  <c r="BQ86" i="19"/>
  <c r="BP86" i="19"/>
  <c r="BO86" i="19"/>
  <c r="BK86" i="19"/>
  <c r="BJ86" i="19"/>
  <c r="BI86" i="19"/>
  <c r="BH86" i="19"/>
  <c r="BG86" i="19"/>
  <c r="BF86" i="19"/>
  <c r="BE86" i="19"/>
  <c r="BC86" i="19"/>
  <c r="AT86" i="19"/>
  <c r="AQ86" i="19"/>
  <c r="AP86" i="19"/>
  <c r="AO86" i="19"/>
  <c r="AH86" i="19"/>
  <c r="AI86" i="19" s="1"/>
  <c r="Y86" i="19"/>
  <c r="Z86" i="19" s="1"/>
  <c r="P86" i="19"/>
  <c r="Q86" i="19" s="1"/>
  <c r="EC85" i="19"/>
  <c r="EB85" i="19"/>
  <c r="BU85" i="19"/>
  <c r="BT85" i="19"/>
  <c r="BS85" i="19"/>
  <c r="BR85" i="19"/>
  <c r="BQ85" i="19"/>
  <c r="BP85" i="19"/>
  <c r="BO85" i="19"/>
  <c r="BK85" i="19"/>
  <c r="BJ85" i="19"/>
  <c r="BI85" i="19"/>
  <c r="BH85" i="19"/>
  <c r="BG85" i="19"/>
  <c r="BF85" i="19"/>
  <c r="BE85" i="19"/>
  <c r="BC85" i="19"/>
  <c r="AT85" i="19"/>
  <c r="AQ85" i="19"/>
  <c r="AP85" i="19"/>
  <c r="AO85" i="19"/>
  <c r="AH85" i="19"/>
  <c r="AI85" i="19" s="1"/>
  <c r="Y85" i="19"/>
  <c r="Z85" i="19" s="1"/>
  <c r="P85" i="19"/>
  <c r="Q85" i="19" s="1"/>
  <c r="EC84" i="19"/>
  <c r="EB84" i="19"/>
  <c r="BU84" i="19"/>
  <c r="BT84" i="19"/>
  <c r="BS84" i="19"/>
  <c r="BR84" i="19"/>
  <c r="BQ84" i="19"/>
  <c r="BP84" i="19"/>
  <c r="BO84" i="19"/>
  <c r="BK84" i="19"/>
  <c r="BJ84" i="19"/>
  <c r="BI84" i="19"/>
  <c r="BH84" i="19"/>
  <c r="BG84" i="19"/>
  <c r="BF84" i="19"/>
  <c r="BE84" i="19"/>
  <c r="BC84" i="19"/>
  <c r="AT84" i="19"/>
  <c r="AQ84" i="19"/>
  <c r="AP84" i="19"/>
  <c r="AO84" i="19"/>
  <c r="AH84" i="19"/>
  <c r="AI84" i="19" s="1"/>
  <c r="Y84" i="19"/>
  <c r="Z84" i="19" s="1"/>
  <c r="P84" i="19"/>
  <c r="Q84" i="19" s="1"/>
  <c r="EC83" i="19"/>
  <c r="EB83" i="19"/>
  <c r="BU83" i="19"/>
  <c r="BT83" i="19"/>
  <c r="BS83" i="19"/>
  <c r="BR83" i="19"/>
  <c r="BQ83" i="19"/>
  <c r="BP83" i="19"/>
  <c r="BO83" i="19"/>
  <c r="BK83" i="19"/>
  <c r="BJ83" i="19"/>
  <c r="BI83" i="19"/>
  <c r="BH83" i="19"/>
  <c r="BG83" i="19"/>
  <c r="BF83" i="19"/>
  <c r="BE83" i="19"/>
  <c r="BC83" i="19"/>
  <c r="AT83" i="19"/>
  <c r="AQ83" i="19"/>
  <c r="AP83" i="19"/>
  <c r="AO83" i="19"/>
  <c r="AH83" i="19"/>
  <c r="AI83" i="19" s="1"/>
  <c r="Y83" i="19"/>
  <c r="Z83" i="19" s="1"/>
  <c r="P83" i="19"/>
  <c r="Q83" i="19" s="1"/>
  <c r="EC82" i="19"/>
  <c r="EB82" i="19"/>
  <c r="BU82" i="19"/>
  <c r="BT82" i="19"/>
  <c r="BS82" i="19"/>
  <c r="BR82" i="19"/>
  <c r="BQ82" i="19"/>
  <c r="BP82" i="19"/>
  <c r="BO82" i="19"/>
  <c r="BK82" i="19"/>
  <c r="BJ82" i="19"/>
  <c r="BI82" i="19"/>
  <c r="BH82" i="19"/>
  <c r="BG82" i="19"/>
  <c r="BF82" i="19"/>
  <c r="BE82" i="19"/>
  <c r="BC82" i="19"/>
  <c r="AT82" i="19"/>
  <c r="AQ82" i="19"/>
  <c r="AP82" i="19"/>
  <c r="AO82" i="19"/>
  <c r="AH82" i="19"/>
  <c r="AI82" i="19" s="1"/>
  <c r="Y82" i="19"/>
  <c r="Z82" i="19" s="1"/>
  <c r="P82" i="19"/>
  <c r="Q82" i="19" s="1"/>
  <c r="EC81" i="19"/>
  <c r="EB81" i="19"/>
  <c r="BU81" i="19"/>
  <c r="BT81" i="19"/>
  <c r="BS81" i="19"/>
  <c r="BR81" i="19"/>
  <c r="BQ81" i="19"/>
  <c r="BP81" i="19"/>
  <c r="BO81" i="19"/>
  <c r="BK81" i="19"/>
  <c r="BJ81" i="19"/>
  <c r="BI81" i="19"/>
  <c r="BH81" i="19"/>
  <c r="BG81" i="19"/>
  <c r="BF81" i="19"/>
  <c r="BE81" i="19"/>
  <c r="BC81" i="19"/>
  <c r="AT81" i="19"/>
  <c r="AQ81" i="19"/>
  <c r="AP81" i="19"/>
  <c r="AO81" i="19"/>
  <c r="AH81" i="19"/>
  <c r="AI81" i="19" s="1"/>
  <c r="Y81" i="19"/>
  <c r="Z81" i="19" s="1"/>
  <c r="P81" i="19"/>
  <c r="Q81" i="19" s="1"/>
  <c r="EC80" i="19"/>
  <c r="EB80" i="19"/>
  <c r="BU80" i="19"/>
  <c r="BT80" i="19"/>
  <c r="BS80" i="19"/>
  <c r="BR80" i="19"/>
  <c r="BQ80" i="19"/>
  <c r="BP80" i="19"/>
  <c r="BO80" i="19"/>
  <c r="BK80" i="19"/>
  <c r="BJ80" i="19"/>
  <c r="BI80" i="19"/>
  <c r="BH80" i="19"/>
  <c r="BG80" i="19"/>
  <c r="BF80" i="19"/>
  <c r="BE80" i="19"/>
  <c r="BC80" i="19"/>
  <c r="AT80" i="19"/>
  <c r="AQ80" i="19"/>
  <c r="AP80" i="19"/>
  <c r="AO80" i="19"/>
  <c r="AH80" i="19"/>
  <c r="AI80" i="19" s="1"/>
  <c r="Y80" i="19"/>
  <c r="Z80" i="19" s="1"/>
  <c r="P80" i="19"/>
  <c r="Q80" i="19" s="1"/>
  <c r="EC79" i="19"/>
  <c r="EB79" i="19"/>
  <c r="BU79" i="19"/>
  <c r="BT79" i="19"/>
  <c r="BS79" i="19"/>
  <c r="BR79" i="19"/>
  <c r="BQ79" i="19"/>
  <c r="BP79" i="19"/>
  <c r="BO79" i="19"/>
  <c r="BK79" i="19"/>
  <c r="BJ79" i="19"/>
  <c r="BI79" i="19"/>
  <c r="BH79" i="19"/>
  <c r="BG79" i="19"/>
  <c r="BF79" i="19"/>
  <c r="BE79" i="19"/>
  <c r="BC79" i="19"/>
  <c r="AT79" i="19"/>
  <c r="AQ79" i="19"/>
  <c r="AP79" i="19"/>
  <c r="AO79" i="19"/>
  <c r="AH79" i="19"/>
  <c r="AI79" i="19" s="1"/>
  <c r="Y79" i="19"/>
  <c r="Z79" i="19" s="1"/>
  <c r="P79" i="19"/>
  <c r="Q79" i="19" s="1"/>
  <c r="EC78" i="19"/>
  <c r="EB78" i="19"/>
  <c r="BU78" i="19"/>
  <c r="BT78" i="19"/>
  <c r="BS78" i="19"/>
  <c r="BR78" i="19"/>
  <c r="BQ78" i="19"/>
  <c r="BP78" i="19"/>
  <c r="BO78" i="19"/>
  <c r="BK78" i="19"/>
  <c r="BJ78" i="19"/>
  <c r="BI78" i="19"/>
  <c r="BH78" i="19"/>
  <c r="BG78" i="19"/>
  <c r="BF78" i="19"/>
  <c r="BE78" i="19"/>
  <c r="BC78" i="19"/>
  <c r="AT78" i="19"/>
  <c r="AQ78" i="19"/>
  <c r="AP78" i="19"/>
  <c r="AO78" i="19"/>
  <c r="AH78" i="19"/>
  <c r="AI78" i="19" s="1"/>
  <c r="Y78" i="19"/>
  <c r="Z78" i="19" s="1"/>
  <c r="P78" i="19"/>
  <c r="Q78" i="19" s="1"/>
  <c r="EC77" i="19"/>
  <c r="EB77" i="19"/>
  <c r="BU77" i="19"/>
  <c r="BT77" i="19"/>
  <c r="BS77" i="19"/>
  <c r="BR77" i="19"/>
  <c r="BQ77" i="19"/>
  <c r="BP77" i="19"/>
  <c r="BO77" i="19"/>
  <c r="BK77" i="19"/>
  <c r="BJ77" i="19"/>
  <c r="BI77" i="19"/>
  <c r="BH77" i="19"/>
  <c r="BG77" i="19"/>
  <c r="BF77" i="19"/>
  <c r="BE77" i="19"/>
  <c r="BC77" i="19"/>
  <c r="AT77" i="19"/>
  <c r="AQ77" i="19"/>
  <c r="AP77" i="19"/>
  <c r="AO77" i="19"/>
  <c r="AH77" i="19"/>
  <c r="AI77" i="19" s="1"/>
  <c r="Y77" i="19"/>
  <c r="Z77" i="19" s="1"/>
  <c r="P77" i="19"/>
  <c r="Q77" i="19" s="1"/>
  <c r="EC76" i="19"/>
  <c r="EB76" i="19"/>
  <c r="BU76" i="19"/>
  <c r="BT76" i="19"/>
  <c r="BS76" i="19"/>
  <c r="BR76" i="19"/>
  <c r="BQ76" i="19"/>
  <c r="BP76" i="19"/>
  <c r="BO76" i="19"/>
  <c r="BK76" i="19"/>
  <c r="BJ76" i="19"/>
  <c r="BI76" i="19"/>
  <c r="BH76" i="19"/>
  <c r="BG76" i="19"/>
  <c r="BF76" i="19"/>
  <c r="BE76" i="19"/>
  <c r="BC76" i="19"/>
  <c r="AT76" i="19"/>
  <c r="AQ76" i="19"/>
  <c r="AP76" i="19"/>
  <c r="AO76" i="19"/>
  <c r="AH76" i="19"/>
  <c r="AI76" i="19" s="1"/>
  <c r="Y76" i="19"/>
  <c r="Z76" i="19" s="1"/>
  <c r="P76" i="19"/>
  <c r="Q76" i="19" s="1"/>
  <c r="EC75" i="19"/>
  <c r="EB75" i="19"/>
  <c r="BU75" i="19"/>
  <c r="BT75" i="19"/>
  <c r="BS75" i="19"/>
  <c r="BR75" i="19"/>
  <c r="BQ75" i="19"/>
  <c r="BP75" i="19"/>
  <c r="BO75" i="19"/>
  <c r="BK75" i="19"/>
  <c r="BJ75" i="19"/>
  <c r="BI75" i="19"/>
  <c r="BH75" i="19"/>
  <c r="BG75" i="19"/>
  <c r="BF75" i="19"/>
  <c r="BE75" i="19"/>
  <c r="BC75" i="19"/>
  <c r="AT75" i="19"/>
  <c r="AQ75" i="19"/>
  <c r="AP75" i="19"/>
  <c r="AO75" i="19"/>
  <c r="AH75" i="19"/>
  <c r="AI75" i="19" s="1"/>
  <c r="Y75" i="19"/>
  <c r="Z75" i="19" s="1"/>
  <c r="P75" i="19"/>
  <c r="Q75" i="19" s="1"/>
  <c r="EC74" i="19"/>
  <c r="EB74" i="19"/>
  <c r="BU74" i="19"/>
  <c r="BT74" i="19"/>
  <c r="BS74" i="19"/>
  <c r="BR74" i="19"/>
  <c r="BQ74" i="19"/>
  <c r="BP74" i="19"/>
  <c r="BO74" i="19"/>
  <c r="BK74" i="19"/>
  <c r="BJ74" i="19"/>
  <c r="BI74" i="19"/>
  <c r="BH74" i="19"/>
  <c r="BG74" i="19"/>
  <c r="BF74" i="19"/>
  <c r="BE74" i="19"/>
  <c r="BC74" i="19"/>
  <c r="AT74" i="19"/>
  <c r="AQ74" i="19"/>
  <c r="AP74" i="19"/>
  <c r="AO74" i="19"/>
  <c r="AH74" i="19"/>
  <c r="AI74" i="19" s="1"/>
  <c r="Y74" i="19"/>
  <c r="Z74" i="19" s="1"/>
  <c r="P74" i="19"/>
  <c r="Q74" i="19" s="1"/>
  <c r="EC73" i="19"/>
  <c r="EB73" i="19"/>
  <c r="BU73" i="19"/>
  <c r="BT73" i="19"/>
  <c r="BS73" i="19"/>
  <c r="BR73" i="19"/>
  <c r="BQ73" i="19"/>
  <c r="BP73" i="19"/>
  <c r="BO73" i="19"/>
  <c r="BK73" i="19"/>
  <c r="BJ73" i="19"/>
  <c r="BI73" i="19"/>
  <c r="BH73" i="19"/>
  <c r="BG73" i="19"/>
  <c r="BF73" i="19"/>
  <c r="BE73" i="19"/>
  <c r="BC73" i="19"/>
  <c r="AT73" i="19"/>
  <c r="AQ73" i="19"/>
  <c r="AP73" i="19"/>
  <c r="AO73" i="19"/>
  <c r="AH73" i="19"/>
  <c r="AI73" i="19" s="1"/>
  <c r="Y73" i="19"/>
  <c r="Z73" i="19" s="1"/>
  <c r="P73" i="19"/>
  <c r="Q73" i="19" s="1"/>
  <c r="EC72" i="19"/>
  <c r="EB72" i="19"/>
  <c r="BU72" i="19"/>
  <c r="BT72" i="19"/>
  <c r="BS72" i="19"/>
  <c r="BR72" i="19"/>
  <c r="BQ72" i="19"/>
  <c r="BP72" i="19"/>
  <c r="BO72" i="19"/>
  <c r="BK72" i="19"/>
  <c r="BJ72" i="19"/>
  <c r="BI72" i="19"/>
  <c r="BH72" i="19"/>
  <c r="BG72" i="19"/>
  <c r="BF72" i="19"/>
  <c r="BE72" i="19"/>
  <c r="BC72" i="19"/>
  <c r="AT72" i="19"/>
  <c r="AQ72" i="19"/>
  <c r="AP72" i="19"/>
  <c r="AO72" i="19"/>
  <c r="AH72" i="19"/>
  <c r="AI72" i="19" s="1"/>
  <c r="Y72" i="19"/>
  <c r="Z72" i="19" s="1"/>
  <c r="P72" i="19"/>
  <c r="Q72" i="19" s="1"/>
  <c r="EC71" i="19"/>
  <c r="EB71" i="19"/>
  <c r="BU71" i="19"/>
  <c r="BT71" i="19"/>
  <c r="BS71" i="19"/>
  <c r="BR71" i="19"/>
  <c r="BQ71" i="19"/>
  <c r="BP71" i="19"/>
  <c r="BO71" i="19"/>
  <c r="BK71" i="19"/>
  <c r="BJ71" i="19"/>
  <c r="BI71" i="19"/>
  <c r="BH71" i="19"/>
  <c r="BG71" i="19"/>
  <c r="BF71" i="19"/>
  <c r="BE71" i="19"/>
  <c r="BC71" i="19"/>
  <c r="AT71" i="19"/>
  <c r="AQ71" i="19"/>
  <c r="AP71" i="19"/>
  <c r="AO71" i="19"/>
  <c r="AH71" i="19"/>
  <c r="AI71" i="19" s="1"/>
  <c r="Y71" i="19"/>
  <c r="Z71" i="19" s="1"/>
  <c r="P71" i="19"/>
  <c r="Q71" i="19" s="1"/>
  <c r="EC70" i="19"/>
  <c r="EB70" i="19"/>
  <c r="BU70" i="19"/>
  <c r="BT70" i="19"/>
  <c r="BS70" i="19"/>
  <c r="BR70" i="19"/>
  <c r="BQ70" i="19"/>
  <c r="BP70" i="19"/>
  <c r="BO70" i="19"/>
  <c r="BK70" i="19"/>
  <c r="BJ70" i="19"/>
  <c r="BI70" i="19"/>
  <c r="BH70" i="19"/>
  <c r="BG70" i="19"/>
  <c r="BF70" i="19"/>
  <c r="BE70" i="19"/>
  <c r="BC70" i="19"/>
  <c r="AT70" i="19"/>
  <c r="AQ70" i="19"/>
  <c r="AP70" i="19"/>
  <c r="AO70" i="19"/>
  <c r="AH70" i="19"/>
  <c r="AI70" i="19" s="1"/>
  <c r="Y70" i="19"/>
  <c r="Z70" i="19" s="1"/>
  <c r="P70" i="19"/>
  <c r="EC69" i="19"/>
  <c r="EB69" i="19"/>
  <c r="BU69" i="19"/>
  <c r="BT69" i="19"/>
  <c r="BS69" i="19"/>
  <c r="BR69" i="19"/>
  <c r="BQ69" i="19"/>
  <c r="BP69" i="19"/>
  <c r="BO69" i="19"/>
  <c r="BK69" i="19"/>
  <c r="BJ69" i="19"/>
  <c r="BI69" i="19"/>
  <c r="BH69" i="19"/>
  <c r="BG69" i="19"/>
  <c r="BF69" i="19"/>
  <c r="BE69" i="19"/>
  <c r="BC69" i="19"/>
  <c r="AT69" i="19"/>
  <c r="AQ69" i="19"/>
  <c r="AP69" i="19"/>
  <c r="AO69" i="19"/>
  <c r="AH69" i="19"/>
  <c r="AI69" i="19" s="1"/>
  <c r="Y69" i="19"/>
  <c r="Z69" i="19" s="1"/>
  <c r="P69" i="19"/>
  <c r="Q69" i="19" s="1"/>
  <c r="EC68" i="19"/>
  <c r="EB68" i="19"/>
  <c r="BU68" i="19"/>
  <c r="BT68" i="19"/>
  <c r="BS68" i="19"/>
  <c r="BR68" i="19"/>
  <c r="BQ68" i="19"/>
  <c r="BP68" i="19"/>
  <c r="BO68" i="19"/>
  <c r="BK68" i="19"/>
  <c r="BJ68" i="19"/>
  <c r="BI68" i="19"/>
  <c r="BH68" i="19"/>
  <c r="BG68" i="19"/>
  <c r="BF68" i="19"/>
  <c r="BE68" i="19"/>
  <c r="BC68" i="19"/>
  <c r="AT68" i="19"/>
  <c r="AQ68" i="19"/>
  <c r="AP68" i="19"/>
  <c r="AO68" i="19"/>
  <c r="AH68" i="19"/>
  <c r="AI68" i="19" s="1"/>
  <c r="Y68" i="19"/>
  <c r="Z68" i="19" s="1"/>
  <c r="P68" i="19"/>
  <c r="Q68" i="19" s="1"/>
  <c r="EC67" i="19"/>
  <c r="EB67" i="19"/>
  <c r="BU67" i="19"/>
  <c r="BT67" i="19"/>
  <c r="BS67" i="19"/>
  <c r="BR67" i="19"/>
  <c r="BQ67" i="19"/>
  <c r="BP67" i="19"/>
  <c r="BO67" i="19"/>
  <c r="BK67" i="19"/>
  <c r="BJ67" i="19"/>
  <c r="BI67" i="19"/>
  <c r="BH67" i="19"/>
  <c r="BG67" i="19"/>
  <c r="BF67" i="19"/>
  <c r="BE67" i="19"/>
  <c r="BC67" i="19"/>
  <c r="AT67" i="19"/>
  <c r="AQ67" i="19"/>
  <c r="AP67" i="19"/>
  <c r="AO67" i="19"/>
  <c r="AH67" i="19"/>
  <c r="AI67" i="19" s="1"/>
  <c r="Y67" i="19"/>
  <c r="Z67" i="19" s="1"/>
  <c r="P67" i="19"/>
  <c r="Q67" i="19" s="1"/>
  <c r="EC66" i="19"/>
  <c r="EB66" i="19"/>
  <c r="BU66" i="19"/>
  <c r="BT66" i="19"/>
  <c r="BS66" i="19"/>
  <c r="BR66" i="19"/>
  <c r="BQ66" i="19"/>
  <c r="BP66" i="19"/>
  <c r="BO66" i="19"/>
  <c r="BK66" i="19"/>
  <c r="BJ66" i="19"/>
  <c r="BI66" i="19"/>
  <c r="BH66" i="19"/>
  <c r="BG66" i="19"/>
  <c r="BF66" i="19"/>
  <c r="BE66" i="19"/>
  <c r="BC66" i="19"/>
  <c r="AT66" i="19"/>
  <c r="AQ66" i="19"/>
  <c r="AP66" i="19"/>
  <c r="AO66" i="19"/>
  <c r="AH66" i="19"/>
  <c r="AI66" i="19" s="1"/>
  <c r="Y66" i="19"/>
  <c r="Z66" i="19" s="1"/>
  <c r="P66" i="19"/>
  <c r="Q66" i="19" s="1"/>
  <c r="EC65" i="19"/>
  <c r="EB65" i="19"/>
  <c r="BU65" i="19"/>
  <c r="BT65" i="19"/>
  <c r="BS65" i="19"/>
  <c r="BR65" i="19"/>
  <c r="BQ65" i="19"/>
  <c r="BP65" i="19"/>
  <c r="BO65" i="19"/>
  <c r="BK65" i="19"/>
  <c r="BJ65" i="19"/>
  <c r="BI65" i="19"/>
  <c r="BH65" i="19"/>
  <c r="BG65" i="19"/>
  <c r="BF65" i="19"/>
  <c r="BE65" i="19"/>
  <c r="BC65" i="19"/>
  <c r="AT65" i="19"/>
  <c r="AQ65" i="19"/>
  <c r="AP65" i="19"/>
  <c r="AO65" i="19"/>
  <c r="AH65" i="19"/>
  <c r="AI65" i="19" s="1"/>
  <c r="Y65" i="19"/>
  <c r="Z65" i="19" s="1"/>
  <c r="P65" i="19"/>
  <c r="Q65" i="19" s="1"/>
  <c r="EC64" i="19"/>
  <c r="EB64" i="19"/>
  <c r="BU64" i="19"/>
  <c r="BT64" i="19"/>
  <c r="BS64" i="19"/>
  <c r="BR64" i="19"/>
  <c r="BQ64" i="19"/>
  <c r="BP64" i="19"/>
  <c r="BO64" i="19"/>
  <c r="BK64" i="19"/>
  <c r="BJ64" i="19"/>
  <c r="BI64" i="19"/>
  <c r="BH64" i="19"/>
  <c r="BG64" i="19"/>
  <c r="BF64" i="19"/>
  <c r="BE64" i="19"/>
  <c r="BC64" i="19"/>
  <c r="AT64" i="19"/>
  <c r="AQ64" i="19"/>
  <c r="AP64" i="19"/>
  <c r="AO64" i="19"/>
  <c r="AH64" i="19"/>
  <c r="AI64" i="19" s="1"/>
  <c r="Y64" i="19"/>
  <c r="Z64" i="19" s="1"/>
  <c r="P64" i="19"/>
  <c r="Q64" i="19" s="1"/>
  <c r="EC63" i="19"/>
  <c r="EB63" i="19"/>
  <c r="BU63" i="19"/>
  <c r="BT63" i="19"/>
  <c r="BS63" i="19"/>
  <c r="BR63" i="19"/>
  <c r="BQ63" i="19"/>
  <c r="BP63" i="19"/>
  <c r="BO63" i="19"/>
  <c r="BK63" i="19"/>
  <c r="BJ63" i="19"/>
  <c r="BI63" i="19"/>
  <c r="BH63" i="19"/>
  <c r="BG63" i="19"/>
  <c r="BF63" i="19"/>
  <c r="BE63" i="19"/>
  <c r="BC63" i="19"/>
  <c r="AT63" i="19"/>
  <c r="AQ63" i="19"/>
  <c r="AP63" i="19"/>
  <c r="AO63" i="19"/>
  <c r="AH63" i="19"/>
  <c r="AI63" i="19" s="1"/>
  <c r="Y63" i="19"/>
  <c r="Z63" i="19" s="1"/>
  <c r="P63" i="19"/>
  <c r="Q63" i="19" s="1"/>
  <c r="EC62" i="19"/>
  <c r="EB62" i="19"/>
  <c r="BU62" i="19"/>
  <c r="BT62" i="19"/>
  <c r="BS62" i="19"/>
  <c r="BR62" i="19"/>
  <c r="BQ62" i="19"/>
  <c r="BP62" i="19"/>
  <c r="BO62" i="19"/>
  <c r="BK62" i="19"/>
  <c r="BJ62" i="19"/>
  <c r="BI62" i="19"/>
  <c r="BH62" i="19"/>
  <c r="BG62" i="19"/>
  <c r="BF62" i="19"/>
  <c r="BE62" i="19"/>
  <c r="BC62" i="19"/>
  <c r="AT62" i="19"/>
  <c r="AQ62" i="19"/>
  <c r="AP62" i="19"/>
  <c r="AO62" i="19"/>
  <c r="AH62" i="19"/>
  <c r="AI62" i="19" s="1"/>
  <c r="Y62" i="19"/>
  <c r="Z62" i="19" s="1"/>
  <c r="P62" i="19"/>
  <c r="EC61" i="19"/>
  <c r="EB61" i="19"/>
  <c r="BU61" i="19"/>
  <c r="BT61" i="19"/>
  <c r="BS61" i="19"/>
  <c r="BR61" i="19"/>
  <c r="BQ61" i="19"/>
  <c r="BP61" i="19"/>
  <c r="BO61" i="19"/>
  <c r="BK61" i="19"/>
  <c r="BJ61" i="19"/>
  <c r="BI61" i="19"/>
  <c r="BH61" i="19"/>
  <c r="BG61" i="19"/>
  <c r="BF61" i="19"/>
  <c r="BE61" i="19"/>
  <c r="BC61" i="19"/>
  <c r="AT61" i="19"/>
  <c r="AQ61" i="19"/>
  <c r="AP61" i="19"/>
  <c r="AO61" i="19"/>
  <c r="AH61" i="19"/>
  <c r="AI61" i="19" s="1"/>
  <c r="Y61" i="19"/>
  <c r="Z61" i="19" s="1"/>
  <c r="P61" i="19"/>
  <c r="Q61" i="19" s="1"/>
  <c r="EC60" i="19"/>
  <c r="EB60" i="19"/>
  <c r="BU60" i="19"/>
  <c r="BT60" i="19"/>
  <c r="BS60" i="19"/>
  <c r="BR60" i="19"/>
  <c r="BQ60" i="19"/>
  <c r="BP60" i="19"/>
  <c r="BO60" i="19"/>
  <c r="BK60" i="19"/>
  <c r="BJ60" i="19"/>
  <c r="BI60" i="19"/>
  <c r="BH60" i="19"/>
  <c r="BG60" i="19"/>
  <c r="BF60" i="19"/>
  <c r="BE60" i="19"/>
  <c r="BC60" i="19"/>
  <c r="AT60" i="19"/>
  <c r="AQ60" i="19"/>
  <c r="AP60" i="19"/>
  <c r="AO60" i="19"/>
  <c r="AH60" i="19"/>
  <c r="AI60" i="19" s="1"/>
  <c r="Y60" i="19"/>
  <c r="Z60" i="19" s="1"/>
  <c r="P60" i="19"/>
  <c r="Q60" i="19" s="1"/>
  <c r="EC59" i="19"/>
  <c r="EB59" i="19"/>
  <c r="BU59" i="19"/>
  <c r="BT59" i="19"/>
  <c r="BS59" i="19"/>
  <c r="BR59" i="19"/>
  <c r="BQ59" i="19"/>
  <c r="BP59" i="19"/>
  <c r="BO59" i="19"/>
  <c r="BK59" i="19"/>
  <c r="BJ59" i="19"/>
  <c r="BI59" i="19"/>
  <c r="BH59" i="19"/>
  <c r="BG59" i="19"/>
  <c r="BF59" i="19"/>
  <c r="BE59" i="19"/>
  <c r="BC59" i="19"/>
  <c r="AT59" i="19"/>
  <c r="AQ59" i="19"/>
  <c r="AP59" i="19"/>
  <c r="AO59" i="19"/>
  <c r="AH59" i="19"/>
  <c r="AI59" i="19" s="1"/>
  <c r="Y59" i="19"/>
  <c r="Z59" i="19" s="1"/>
  <c r="P59" i="19"/>
  <c r="Q59" i="19" s="1"/>
  <c r="EC58" i="19"/>
  <c r="EB58" i="19"/>
  <c r="BU58" i="19"/>
  <c r="BT58" i="19"/>
  <c r="BS58" i="19"/>
  <c r="BR58" i="19"/>
  <c r="BQ58" i="19"/>
  <c r="BP58" i="19"/>
  <c r="BO58" i="19"/>
  <c r="BK58" i="19"/>
  <c r="BJ58" i="19"/>
  <c r="BI58" i="19"/>
  <c r="BH58" i="19"/>
  <c r="BG58" i="19"/>
  <c r="BF58" i="19"/>
  <c r="BE58" i="19"/>
  <c r="BC58" i="19"/>
  <c r="AT58" i="19"/>
  <c r="AQ58" i="19"/>
  <c r="AP58" i="19"/>
  <c r="AO58" i="19"/>
  <c r="AH58" i="19"/>
  <c r="AI58" i="19" s="1"/>
  <c r="Y58" i="19"/>
  <c r="Z58" i="19" s="1"/>
  <c r="P58" i="19"/>
  <c r="EC57" i="19"/>
  <c r="EB57" i="19"/>
  <c r="BU57" i="19"/>
  <c r="BT57" i="19"/>
  <c r="BS57" i="19"/>
  <c r="BR57" i="19"/>
  <c r="BQ57" i="19"/>
  <c r="BP57" i="19"/>
  <c r="BO57" i="19"/>
  <c r="BK57" i="19"/>
  <c r="BJ57" i="19"/>
  <c r="BI57" i="19"/>
  <c r="BH57" i="19"/>
  <c r="BG57" i="19"/>
  <c r="BF57" i="19"/>
  <c r="BE57" i="19"/>
  <c r="BC57" i="19"/>
  <c r="AT57" i="19"/>
  <c r="AQ57" i="19"/>
  <c r="AP57" i="19"/>
  <c r="AO57" i="19"/>
  <c r="AH57" i="19"/>
  <c r="AI57" i="19" s="1"/>
  <c r="Y57" i="19"/>
  <c r="Z57" i="19" s="1"/>
  <c r="P57" i="19"/>
  <c r="Q57" i="19" s="1"/>
  <c r="EC56" i="19"/>
  <c r="EB56" i="19"/>
  <c r="BU56" i="19"/>
  <c r="BT56" i="19"/>
  <c r="BS56" i="19"/>
  <c r="BR56" i="19"/>
  <c r="BQ56" i="19"/>
  <c r="BP56" i="19"/>
  <c r="BO56" i="19"/>
  <c r="BK56" i="19"/>
  <c r="BJ56" i="19"/>
  <c r="BI56" i="19"/>
  <c r="BH56" i="19"/>
  <c r="BG56" i="19"/>
  <c r="BF56" i="19"/>
  <c r="BE56" i="19"/>
  <c r="BC56" i="19"/>
  <c r="AT56" i="19"/>
  <c r="AQ56" i="19"/>
  <c r="AP56" i="19"/>
  <c r="AO56" i="19"/>
  <c r="AH56" i="19"/>
  <c r="AI56" i="19" s="1"/>
  <c r="Y56" i="19"/>
  <c r="Z56" i="19" s="1"/>
  <c r="P56" i="19"/>
  <c r="Q56" i="19" s="1"/>
  <c r="EC55" i="19"/>
  <c r="EB55" i="19"/>
  <c r="BU55" i="19"/>
  <c r="BT55" i="19"/>
  <c r="BS55" i="19"/>
  <c r="BR55" i="19"/>
  <c r="BQ55" i="19"/>
  <c r="BP55" i="19"/>
  <c r="BO55" i="19"/>
  <c r="BK55" i="19"/>
  <c r="BJ55" i="19"/>
  <c r="BI55" i="19"/>
  <c r="BH55" i="19"/>
  <c r="BG55" i="19"/>
  <c r="BF55" i="19"/>
  <c r="BE55" i="19"/>
  <c r="BC55" i="19"/>
  <c r="AT55" i="19"/>
  <c r="AQ55" i="19"/>
  <c r="AP55" i="19"/>
  <c r="AO55" i="19"/>
  <c r="AH55" i="19"/>
  <c r="AI55" i="19" s="1"/>
  <c r="Y55" i="19"/>
  <c r="Z55" i="19" s="1"/>
  <c r="P55" i="19"/>
  <c r="Q55" i="19" s="1"/>
  <c r="EC54" i="19"/>
  <c r="EB54" i="19"/>
  <c r="BU54" i="19"/>
  <c r="BT54" i="19"/>
  <c r="BS54" i="19"/>
  <c r="BR54" i="19"/>
  <c r="BQ54" i="19"/>
  <c r="BP54" i="19"/>
  <c r="BO54" i="19"/>
  <c r="BK54" i="19"/>
  <c r="BJ54" i="19"/>
  <c r="BI54" i="19"/>
  <c r="BH54" i="19"/>
  <c r="BG54" i="19"/>
  <c r="BF54" i="19"/>
  <c r="BE54" i="19"/>
  <c r="BC54" i="19"/>
  <c r="AT54" i="19"/>
  <c r="AQ54" i="19"/>
  <c r="AP54" i="19"/>
  <c r="AO54" i="19"/>
  <c r="AH54" i="19"/>
  <c r="AI54" i="19" s="1"/>
  <c r="Y54" i="19"/>
  <c r="Z54" i="19" s="1"/>
  <c r="P54" i="19"/>
  <c r="Q54" i="19" s="1"/>
  <c r="EC53" i="19"/>
  <c r="EB53" i="19"/>
  <c r="BU53" i="19"/>
  <c r="BT53" i="19"/>
  <c r="BS53" i="19"/>
  <c r="BR53" i="19"/>
  <c r="BQ53" i="19"/>
  <c r="BP53" i="19"/>
  <c r="BO53" i="19"/>
  <c r="BK53" i="19"/>
  <c r="BJ53" i="19"/>
  <c r="BI53" i="19"/>
  <c r="BH53" i="19"/>
  <c r="BG53" i="19"/>
  <c r="BF53" i="19"/>
  <c r="BE53" i="19"/>
  <c r="BC53" i="19"/>
  <c r="AT53" i="19"/>
  <c r="AQ53" i="19"/>
  <c r="AP53" i="19"/>
  <c r="AO53" i="19"/>
  <c r="AH53" i="19"/>
  <c r="AI53" i="19" s="1"/>
  <c r="Y53" i="19"/>
  <c r="Z53" i="19" s="1"/>
  <c r="P53" i="19"/>
  <c r="Q53" i="19" s="1"/>
  <c r="EC52" i="19"/>
  <c r="EB52" i="19"/>
  <c r="BU52" i="19"/>
  <c r="BT52" i="19"/>
  <c r="BS52" i="19"/>
  <c r="BR52" i="19"/>
  <c r="BQ52" i="19"/>
  <c r="BP52" i="19"/>
  <c r="BO52" i="19"/>
  <c r="BK52" i="19"/>
  <c r="BJ52" i="19"/>
  <c r="BI52" i="19"/>
  <c r="BH52" i="19"/>
  <c r="BG52" i="19"/>
  <c r="BF52" i="19"/>
  <c r="BE52" i="19"/>
  <c r="BC52" i="19"/>
  <c r="AT52" i="19"/>
  <c r="AQ52" i="19"/>
  <c r="AP52" i="19"/>
  <c r="AO52" i="19"/>
  <c r="AH52" i="19"/>
  <c r="AI52" i="19" s="1"/>
  <c r="Y52" i="19"/>
  <c r="Z52" i="19" s="1"/>
  <c r="P52" i="19"/>
  <c r="Q52" i="19" s="1"/>
  <c r="EC51" i="19"/>
  <c r="EB51" i="19"/>
  <c r="BU51" i="19"/>
  <c r="BT51" i="19"/>
  <c r="BS51" i="19"/>
  <c r="BR51" i="19"/>
  <c r="BQ51" i="19"/>
  <c r="BP51" i="19"/>
  <c r="BO51" i="19"/>
  <c r="BK51" i="19"/>
  <c r="BJ51" i="19"/>
  <c r="BI51" i="19"/>
  <c r="BH51" i="19"/>
  <c r="BG51" i="19"/>
  <c r="BF51" i="19"/>
  <c r="BE51" i="19"/>
  <c r="BC51" i="19"/>
  <c r="AT51" i="19"/>
  <c r="AQ51" i="19"/>
  <c r="AP51" i="19"/>
  <c r="AO51" i="19"/>
  <c r="AH51" i="19"/>
  <c r="AI51" i="19" s="1"/>
  <c r="Y51" i="19"/>
  <c r="Z51" i="19" s="1"/>
  <c r="P51" i="19"/>
  <c r="Q51" i="19" s="1"/>
  <c r="EC50" i="19"/>
  <c r="EB50" i="19"/>
  <c r="BU50" i="19"/>
  <c r="BT50" i="19"/>
  <c r="BS50" i="19"/>
  <c r="BR50" i="19"/>
  <c r="BQ50" i="19"/>
  <c r="BP50" i="19"/>
  <c r="BO50" i="19"/>
  <c r="BK50" i="19"/>
  <c r="BJ50" i="19"/>
  <c r="BI50" i="19"/>
  <c r="BH50" i="19"/>
  <c r="BG50" i="19"/>
  <c r="BF50" i="19"/>
  <c r="BE50" i="19"/>
  <c r="BC50" i="19"/>
  <c r="AT50" i="19"/>
  <c r="AQ50" i="19"/>
  <c r="AP50" i="19"/>
  <c r="AO50" i="19"/>
  <c r="AH50" i="19"/>
  <c r="AI50" i="19" s="1"/>
  <c r="Y50" i="19"/>
  <c r="Z50" i="19" s="1"/>
  <c r="P50" i="19"/>
  <c r="EC49" i="19"/>
  <c r="EB49" i="19"/>
  <c r="BU49" i="19"/>
  <c r="BT49" i="19"/>
  <c r="BS49" i="19"/>
  <c r="BR49" i="19"/>
  <c r="BQ49" i="19"/>
  <c r="BP49" i="19"/>
  <c r="BO49" i="19"/>
  <c r="BK49" i="19"/>
  <c r="BJ49" i="19"/>
  <c r="BI49" i="19"/>
  <c r="BH49" i="19"/>
  <c r="BG49" i="19"/>
  <c r="BF49" i="19"/>
  <c r="BE49" i="19"/>
  <c r="BC49" i="19"/>
  <c r="AT49" i="19"/>
  <c r="AQ49" i="19"/>
  <c r="AP49" i="19"/>
  <c r="AO49" i="19"/>
  <c r="AH49" i="19"/>
  <c r="AI49" i="19" s="1"/>
  <c r="Y49" i="19"/>
  <c r="Z49" i="19" s="1"/>
  <c r="P49" i="19"/>
  <c r="Q49" i="19" s="1"/>
  <c r="EC48" i="19"/>
  <c r="EB48" i="19"/>
  <c r="BU48" i="19"/>
  <c r="BT48" i="19"/>
  <c r="BS48" i="19"/>
  <c r="BR48" i="19"/>
  <c r="BQ48" i="19"/>
  <c r="BP48" i="19"/>
  <c r="BO48" i="19"/>
  <c r="BK48" i="19"/>
  <c r="BJ48" i="19"/>
  <c r="BI48" i="19"/>
  <c r="BH48" i="19"/>
  <c r="BG48" i="19"/>
  <c r="BF48" i="19"/>
  <c r="BE48" i="19"/>
  <c r="BC48" i="19"/>
  <c r="AT48" i="19"/>
  <c r="AQ48" i="19"/>
  <c r="AP48" i="19"/>
  <c r="AO48" i="19"/>
  <c r="AH48" i="19"/>
  <c r="AI48" i="19" s="1"/>
  <c r="Y48" i="19"/>
  <c r="Z48" i="19" s="1"/>
  <c r="P48" i="19"/>
  <c r="Q48" i="19" s="1"/>
  <c r="EC47" i="19"/>
  <c r="EB47" i="19"/>
  <c r="BU47" i="19"/>
  <c r="BT47" i="19"/>
  <c r="BS47" i="19"/>
  <c r="BR47" i="19"/>
  <c r="BQ47" i="19"/>
  <c r="BP47" i="19"/>
  <c r="BO47" i="19"/>
  <c r="BK47" i="19"/>
  <c r="BJ47" i="19"/>
  <c r="BI47" i="19"/>
  <c r="BH47" i="19"/>
  <c r="BG47" i="19"/>
  <c r="BF47" i="19"/>
  <c r="BE47" i="19"/>
  <c r="BC47" i="19"/>
  <c r="AT47" i="19"/>
  <c r="AQ47" i="19"/>
  <c r="AP47" i="19"/>
  <c r="AO47" i="19"/>
  <c r="AH47" i="19"/>
  <c r="AI47" i="19" s="1"/>
  <c r="Y47" i="19"/>
  <c r="Z47" i="19" s="1"/>
  <c r="P47" i="19"/>
  <c r="Q47" i="19" s="1"/>
  <c r="EC46" i="19"/>
  <c r="EB46" i="19"/>
  <c r="BU46" i="19"/>
  <c r="BT46" i="19"/>
  <c r="BS46" i="19"/>
  <c r="BR46" i="19"/>
  <c r="BQ46" i="19"/>
  <c r="BP46" i="19"/>
  <c r="BO46" i="19"/>
  <c r="BK46" i="19"/>
  <c r="BJ46" i="19"/>
  <c r="BI46" i="19"/>
  <c r="BH46" i="19"/>
  <c r="BG46" i="19"/>
  <c r="BF46" i="19"/>
  <c r="BE46" i="19"/>
  <c r="BC46" i="19"/>
  <c r="AT46" i="19"/>
  <c r="AQ46" i="19"/>
  <c r="AP46" i="19"/>
  <c r="AO46" i="19"/>
  <c r="AH46" i="19"/>
  <c r="AI46" i="19" s="1"/>
  <c r="Y46" i="19"/>
  <c r="Z46" i="19" s="1"/>
  <c r="P46" i="19"/>
  <c r="Q46" i="19" s="1"/>
  <c r="EC45" i="19"/>
  <c r="EB45" i="19"/>
  <c r="BU45" i="19"/>
  <c r="BT45" i="19"/>
  <c r="BS45" i="19"/>
  <c r="BR45" i="19"/>
  <c r="BQ45" i="19"/>
  <c r="BP45" i="19"/>
  <c r="BO45" i="19"/>
  <c r="BK45" i="19"/>
  <c r="BJ45" i="19"/>
  <c r="BI45" i="19"/>
  <c r="BH45" i="19"/>
  <c r="BG45" i="19"/>
  <c r="BF45" i="19"/>
  <c r="BE45" i="19"/>
  <c r="BC45" i="19"/>
  <c r="AT45" i="19"/>
  <c r="AQ45" i="19"/>
  <c r="AP45" i="19"/>
  <c r="AO45" i="19"/>
  <c r="AH45" i="19"/>
  <c r="AI45" i="19" s="1"/>
  <c r="Y45" i="19"/>
  <c r="Z45" i="19" s="1"/>
  <c r="P45" i="19"/>
  <c r="Q45" i="19" s="1"/>
  <c r="EC44" i="19"/>
  <c r="EB44" i="19"/>
  <c r="BU44" i="19"/>
  <c r="BT44" i="19"/>
  <c r="BS44" i="19"/>
  <c r="BR44" i="19"/>
  <c r="BQ44" i="19"/>
  <c r="BP44" i="19"/>
  <c r="BO44" i="19"/>
  <c r="BK44" i="19"/>
  <c r="BJ44" i="19"/>
  <c r="BI44" i="19"/>
  <c r="BH44" i="19"/>
  <c r="BG44" i="19"/>
  <c r="BF44" i="19"/>
  <c r="BE44" i="19"/>
  <c r="BC44" i="19"/>
  <c r="AT44" i="19"/>
  <c r="AQ44" i="19"/>
  <c r="AP44" i="19"/>
  <c r="AO44" i="19"/>
  <c r="AH44" i="19"/>
  <c r="AI44" i="19" s="1"/>
  <c r="Y44" i="19"/>
  <c r="Z44" i="19" s="1"/>
  <c r="P44" i="19"/>
  <c r="Q44" i="19" s="1"/>
  <c r="EC43" i="19"/>
  <c r="EB43" i="19"/>
  <c r="BU43" i="19"/>
  <c r="BT43" i="19"/>
  <c r="BS43" i="19"/>
  <c r="BR43" i="19"/>
  <c r="BQ43" i="19"/>
  <c r="BP43" i="19"/>
  <c r="BO43" i="19"/>
  <c r="BK43" i="19"/>
  <c r="BJ43" i="19"/>
  <c r="BI43" i="19"/>
  <c r="BH43" i="19"/>
  <c r="BG43" i="19"/>
  <c r="BF43" i="19"/>
  <c r="BE43" i="19"/>
  <c r="BC43" i="19"/>
  <c r="AT43" i="19"/>
  <c r="AQ43" i="19"/>
  <c r="AP43" i="19"/>
  <c r="AO43" i="19"/>
  <c r="AH43" i="19"/>
  <c r="AI43" i="19" s="1"/>
  <c r="Y43" i="19"/>
  <c r="Z43" i="19" s="1"/>
  <c r="P43" i="19"/>
  <c r="Q43" i="19" s="1"/>
  <c r="EC42" i="19"/>
  <c r="EB42" i="19"/>
  <c r="BU42" i="19"/>
  <c r="BT42" i="19"/>
  <c r="BS42" i="19"/>
  <c r="BR42" i="19"/>
  <c r="BQ42" i="19"/>
  <c r="BP42" i="19"/>
  <c r="BO42" i="19"/>
  <c r="BK42" i="19"/>
  <c r="BJ42" i="19"/>
  <c r="BI42" i="19"/>
  <c r="BH42" i="19"/>
  <c r="BG42" i="19"/>
  <c r="BF42" i="19"/>
  <c r="BE42" i="19"/>
  <c r="BC42" i="19"/>
  <c r="AT42" i="19"/>
  <c r="AQ42" i="19"/>
  <c r="AP42" i="19"/>
  <c r="AO42" i="19"/>
  <c r="AH42" i="19"/>
  <c r="AI42" i="19" s="1"/>
  <c r="Y42" i="19"/>
  <c r="Z42" i="19" s="1"/>
  <c r="P42" i="19"/>
  <c r="EC41" i="19"/>
  <c r="EB41" i="19"/>
  <c r="BU41" i="19"/>
  <c r="BT41" i="19"/>
  <c r="BS41" i="19"/>
  <c r="BR41" i="19"/>
  <c r="BQ41" i="19"/>
  <c r="BP41" i="19"/>
  <c r="BO41" i="19"/>
  <c r="BK41" i="19"/>
  <c r="BJ41" i="19"/>
  <c r="BI41" i="19"/>
  <c r="BH41" i="19"/>
  <c r="BG41" i="19"/>
  <c r="BF41" i="19"/>
  <c r="BE41" i="19"/>
  <c r="BC41" i="19"/>
  <c r="AT41" i="19"/>
  <c r="AQ41" i="19"/>
  <c r="AP41" i="19"/>
  <c r="AO41" i="19"/>
  <c r="AH41" i="19"/>
  <c r="AI41" i="19" s="1"/>
  <c r="Y41" i="19"/>
  <c r="Z41" i="19" s="1"/>
  <c r="P41" i="19"/>
  <c r="Q41" i="19" s="1"/>
  <c r="EC40" i="19"/>
  <c r="EB40" i="19"/>
  <c r="BU40" i="19"/>
  <c r="BT40" i="19"/>
  <c r="BS40" i="19"/>
  <c r="BR40" i="19"/>
  <c r="BQ40" i="19"/>
  <c r="BP40" i="19"/>
  <c r="BO40" i="19"/>
  <c r="BK40" i="19"/>
  <c r="BJ40" i="19"/>
  <c r="BI40" i="19"/>
  <c r="BH40" i="19"/>
  <c r="BG40" i="19"/>
  <c r="BF40" i="19"/>
  <c r="BE40" i="19"/>
  <c r="BC40" i="19"/>
  <c r="AT40" i="19"/>
  <c r="AQ40" i="19"/>
  <c r="AP40" i="19"/>
  <c r="AO40" i="19"/>
  <c r="AH40" i="19"/>
  <c r="AI40" i="19" s="1"/>
  <c r="Y40" i="19"/>
  <c r="Z40" i="19" s="1"/>
  <c r="P40" i="19"/>
  <c r="Q40" i="19" s="1"/>
  <c r="EC39" i="19"/>
  <c r="EB39" i="19"/>
  <c r="BU39" i="19"/>
  <c r="BT39" i="19"/>
  <c r="BS39" i="19"/>
  <c r="BR39" i="19"/>
  <c r="BQ39" i="19"/>
  <c r="BP39" i="19"/>
  <c r="BO39" i="19"/>
  <c r="BK39" i="19"/>
  <c r="BJ39" i="19"/>
  <c r="BI39" i="19"/>
  <c r="BH39" i="19"/>
  <c r="BG39" i="19"/>
  <c r="BF39" i="19"/>
  <c r="BE39" i="19"/>
  <c r="BC39" i="19"/>
  <c r="AT39" i="19"/>
  <c r="AQ39" i="19"/>
  <c r="AP39" i="19"/>
  <c r="AO39" i="19"/>
  <c r="AH39" i="19"/>
  <c r="AI39" i="19" s="1"/>
  <c r="Y39" i="19"/>
  <c r="Z39" i="19" s="1"/>
  <c r="P39" i="19"/>
  <c r="Q39" i="19" s="1"/>
  <c r="EC38" i="19"/>
  <c r="EB38" i="19"/>
  <c r="BU38" i="19"/>
  <c r="BT38" i="19"/>
  <c r="BS38" i="19"/>
  <c r="BR38" i="19"/>
  <c r="BQ38" i="19"/>
  <c r="BP38" i="19"/>
  <c r="BO38" i="19"/>
  <c r="BK38" i="19"/>
  <c r="BJ38" i="19"/>
  <c r="BI38" i="19"/>
  <c r="BH38" i="19"/>
  <c r="BG38" i="19"/>
  <c r="BF38" i="19"/>
  <c r="BE38" i="19"/>
  <c r="BC38" i="19"/>
  <c r="AT38" i="19"/>
  <c r="AQ38" i="19"/>
  <c r="AP38" i="19"/>
  <c r="AO38" i="19"/>
  <c r="AH38" i="19"/>
  <c r="AI38" i="19" s="1"/>
  <c r="Y38" i="19"/>
  <c r="Z38" i="19" s="1"/>
  <c r="P38" i="19"/>
  <c r="Q38" i="19" s="1"/>
  <c r="EC37" i="19"/>
  <c r="EB37" i="19"/>
  <c r="BU37" i="19"/>
  <c r="BT37" i="19"/>
  <c r="BS37" i="19"/>
  <c r="BR37" i="19"/>
  <c r="BQ37" i="19"/>
  <c r="BP37" i="19"/>
  <c r="BO37" i="19"/>
  <c r="BK37" i="19"/>
  <c r="BJ37" i="19"/>
  <c r="BI37" i="19"/>
  <c r="BH37" i="19"/>
  <c r="BG37" i="19"/>
  <c r="BF37" i="19"/>
  <c r="BE37" i="19"/>
  <c r="BC37" i="19"/>
  <c r="AT37" i="19"/>
  <c r="AQ37" i="19"/>
  <c r="AP37" i="19"/>
  <c r="AO37" i="19"/>
  <c r="AH37" i="19"/>
  <c r="AI37" i="19" s="1"/>
  <c r="Y37" i="19"/>
  <c r="Z37" i="19" s="1"/>
  <c r="P37" i="19"/>
  <c r="EC36" i="19"/>
  <c r="EB36" i="19"/>
  <c r="BU36" i="19"/>
  <c r="BT36" i="19"/>
  <c r="BS36" i="19"/>
  <c r="BR36" i="19"/>
  <c r="BQ36" i="19"/>
  <c r="BP36" i="19"/>
  <c r="BO36" i="19"/>
  <c r="BK36" i="19"/>
  <c r="BJ36" i="19"/>
  <c r="BI36" i="19"/>
  <c r="BH36" i="19"/>
  <c r="BG36" i="19"/>
  <c r="BF36" i="19"/>
  <c r="BE36" i="19"/>
  <c r="BC36" i="19"/>
  <c r="AT36" i="19"/>
  <c r="AQ36" i="19"/>
  <c r="AP36" i="19"/>
  <c r="AO36" i="19"/>
  <c r="AH36" i="19"/>
  <c r="AI36" i="19" s="1"/>
  <c r="Y36" i="19"/>
  <c r="Z36" i="19" s="1"/>
  <c r="P36" i="19"/>
  <c r="Q36" i="19" s="1"/>
  <c r="EC35" i="19"/>
  <c r="EB35" i="19"/>
  <c r="BU35" i="19"/>
  <c r="BT35" i="19"/>
  <c r="BS35" i="19"/>
  <c r="BR35" i="19"/>
  <c r="BQ35" i="19"/>
  <c r="BP35" i="19"/>
  <c r="BO35" i="19"/>
  <c r="BK35" i="19"/>
  <c r="BJ35" i="19"/>
  <c r="BI35" i="19"/>
  <c r="BH35" i="19"/>
  <c r="BG35" i="19"/>
  <c r="BF35" i="19"/>
  <c r="BE35" i="19"/>
  <c r="BC35" i="19"/>
  <c r="AT35" i="19"/>
  <c r="AQ35" i="19"/>
  <c r="AP35" i="19"/>
  <c r="AO35" i="19"/>
  <c r="AH35" i="19"/>
  <c r="AI35" i="19" s="1"/>
  <c r="Y35" i="19"/>
  <c r="Z35" i="19" s="1"/>
  <c r="P35" i="19"/>
  <c r="Q35" i="19" s="1"/>
  <c r="EC34" i="19"/>
  <c r="EB34" i="19"/>
  <c r="BU34" i="19"/>
  <c r="BT34" i="19"/>
  <c r="BS34" i="19"/>
  <c r="BR34" i="19"/>
  <c r="BQ34" i="19"/>
  <c r="BP34" i="19"/>
  <c r="BO34" i="19"/>
  <c r="BK34" i="19"/>
  <c r="BJ34" i="19"/>
  <c r="BI34" i="19"/>
  <c r="BH34" i="19"/>
  <c r="BG34" i="19"/>
  <c r="BF34" i="19"/>
  <c r="BE34" i="19"/>
  <c r="BC34" i="19"/>
  <c r="AT34" i="19"/>
  <c r="AQ34" i="19"/>
  <c r="AP34" i="19"/>
  <c r="AO34" i="19"/>
  <c r="AH34" i="19"/>
  <c r="AI34" i="19" s="1"/>
  <c r="Y34" i="19"/>
  <c r="Z34" i="19" s="1"/>
  <c r="P34" i="19"/>
  <c r="Q34" i="19" s="1"/>
  <c r="EC33" i="19"/>
  <c r="EB33" i="19"/>
  <c r="BU33" i="19"/>
  <c r="BT33" i="19"/>
  <c r="BS33" i="19"/>
  <c r="BR33" i="19"/>
  <c r="BQ33" i="19"/>
  <c r="BP33" i="19"/>
  <c r="BO33" i="19"/>
  <c r="BK33" i="19"/>
  <c r="BJ33" i="19"/>
  <c r="BI33" i="19"/>
  <c r="BH33" i="19"/>
  <c r="BG33" i="19"/>
  <c r="BF33" i="19"/>
  <c r="BE33" i="19"/>
  <c r="BC33" i="19"/>
  <c r="AT33" i="19"/>
  <c r="AQ33" i="19"/>
  <c r="AP33" i="19"/>
  <c r="AO33" i="19"/>
  <c r="AH33" i="19"/>
  <c r="AI33" i="19" s="1"/>
  <c r="Y33" i="19"/>
  <c r="Z33" i="19" s="1"/>
  <c r="P33" i="19"/>
  <c r="Q33" i="19" s="1"/>
  <c r="EC32" i="19"/>
  <c r="EB32" i="19"/>
  <c r="BU32" i="19"/>
  <c r="BT32" i="19"/>
  <c r="BS32" i="19"/>
  <c r="BR32" i="19"/>
  <c r="BQ32" i="19"/>
  <c r="BP32" i="19"/>
  <c r="BO32" i="19"/>
  <c r="BK32" i="19"/>
  <c r="BJ32" i="19"/>
  <c r="BI32" i="19"/>
  <c r="BH32" i="19"/>
  <c r="BG32" i="19"/>
  <c r="BF32" i="19"/>
  <c r="BE32" i="19"/>
  <c r="BC32" i="19"/>
  <c r="AT32" i="19"/>
  <c r="AQ32" i="19"/>
  <c r="AP32" i="19"/>
  <c r="AO32" i="19"/>
  <c r="AH32" i="19"/>
  <c r="AI32" i="19" s="1"/>
  <c r="Y32" i="19"/>
  <c r="Z32" i="19" s="1"/>
  <c r="P32" i="19"/>
  <c r="Q32" i="19" s="1"/>
  <c r="EC31" i="19"/>
  <c r="EB31" i="19"/>
  <c r="BU31" i="19"/>
  <c r="BT31" i="19"/>
  <c r="BS31" i="19"/>
  <c r="BR31" i="19"/>
  <c r="BQ31" i="19"/>
  <c r="BP31" i="19"/>
  <c r="BO31" i="19"/>
  <c r="BK31" i="19"/>
  <c r="BJ31" i="19"/>
  <c r="BI31" i="19"/>
  <c r="BH31" i="19"/>
  <c r="BG31" i="19"/>
  <c r="BF31" i="19"/>
  <c r="BE31" i="19"/>
  <c r="BC31" i="19"/>
  <c r="AT31" i="19"/>
  <c r="AQ31" i="19"/>
  <c r="AP31" i="19"/>
  <c r="AO31" i="19"/>
  <c r="AH31" i="19"/>
  <c r="AI31" i="19" s="1"/>
  <c r="Y31" i="19"/>
  <c r="Z31" i="19" s="1"/>
  <c r="P31" i="19"/>
  <c r="Q31" i="19" s="1"/>
  <c r="EC30" i="19"/>
  <c r="BC30" i="19"/>
  <c r="AT30" i="19"/>
  <c r="AQ30" i="19"/>
  <c r="AP30" i="19"/>
  <c r="AO30" i="19"/>
  <c r="P30" i="19"/>
  <c r="Q30" i="19" s="1"/>
  <c r="EB30" i="19" s="1"/>
  <c r="EC29" i="19"/>
  <c r="EB29" i="19"/>
  <c r="BU29" i="19"/>
  <c r="BT29" i="19"/>
  <c r="BS29" i="19"/>
  <c r="BR29" i="19"/>
  <c r="BQ29" i="19"/>
  <c r="BP29" i="19"/>
  <c r="BO29" i="19"/>
  <c r="BK29" i="19"/>
  <c r="BJ29" i="19"/>
  <c r="BI29" i="19"/>
  <c r="BH29" i="19"/>
  <c r="BG29" i="19"/>
  <c r="BF29" i="19"/>
  <c r="BE29" i="19"/>
  <c r="BC29" i="19"/>
  <c r="AT29" i="19"/>
  <c r="AQ29" i="19"/>
  <c r="AP29" i="19"/>
  <c r="AO29" i="19"/>
  <c r="AH29" i="19"/>
  <c r="AI29" i="19" s="1"/>
  <c r="Y29" i="19"/>
  <c r="Z29" i="19" s="1"/>
  <c r="P29" i="19"/>
  <c r="Q29" i="19" s="1"/>
  <c r="EC28" i="19"/>
  <c r="EB28" i="19"/>
  <c r="BU28" i="19"/>
  <c r="BT28" i="19"/>
  <c r="BS28" i="19"/>
  <c r="BR28" i="19"/>
  <c r="BQ28" i="19"/>
  <c r="BP28" i="19"/>
  <c r="BO28" i="19"/>
  <c r="BK28" i="19"/>
  <c r="BJ28" i="19"/>
  <c r="BI28" i="19"/>
  <c r="BH28" i="19"/>
  <c r="BG28" i="19"/>
  <c r="BF28" i="19"/>
  <c r="BE28" i="19"/>
  <c r="BC28" i="19"/>
  <c r="AT28" i="19"/>
  <c r="AQ28" i="19"/>
  <c r="AP28" i="19"/>
  <c r="AO28" i="19"/>
  <c r="AH28" i="19"/>
  <c r="AI28" i="19" s="1"/>
  <c r="Y28" i="19"/>
  <c r="Z28" i="19" s="1"/>
  <c r="P28" i="19"/>
  <c r="Q28" i="19" s="1"/>
  <c r="EC27" i="19"/>
  <c r="EB27" i="19"/>
  <c r="BU27" i="19"/>
  <c r="BT27" i="19"/>
  <c r="BS27" i="19"/>
  <c r="BR27" i="19"/>
  <c r="BQ27" i="19"/>
  <c r="BP27" i="19"/>
  <c r="BO27" i="19"/>
  <c r="BK27" i="19"/>
  <c r="BJ27" i="19"/>
  <c r="BI27" i="19"/>
  <c r="BH27" i="19"/>
  <c r="BG27" i="19"/>
  <c r="BF27" i="19"/>
  <c r="BE27" i="19"/>
  <c r="BC27" i="19"/>
  <c r="AT27" i="19"/>
  <c r="AQ27" i="19"/>
  <c r="AP27" i="19"/>
  <c r="AO27" i="19"/>
  <c r="AH27" i="19"/>
  <c r="AI27" i="19" s="1"/>
  <c r="Y27" i="19"/>
  <c r="Z27" i="19" s="1"/>
  <c r="P27" i="19"/>
  <c r="Q27" i="19" s="1"/>
  <c r="EC26" i="19"/>
  <c r="EB26" i="19"/>
  <c r="BU26" i="19"/>
  <c r="BT26" i="19"/>
  <c r="BS26" i="19"/>
  <c r="BR26" i="19"/>
  <c r="BQ26" i="19"/>
  <c r="BP26" i="19"/>
  <c r="BO26" i="19"/>
  <c r="BK26" i="19"/>
  <c r="BJ26" i="19"/>
  <c r="BI26" i="19"/>
  <c r="BH26" i="19"/>
  <c r="BG26" i="19"/>
  <c r="BF26" i="19"/>
  <c r="BE26" i="19"/>
  <c r="BC26" i="19"/>
  <c r="AT26" i="19"/>
  <c r="AQ26" i="19"/>
  <c r="AP26" i="19"/>
  <c r="AO26" i="19"/>
  <c r="AH26" i="19"/>
  <c r="AI26" i="19" s="1"/>
  <c r="Y26" i="19"/>
  <c r="Z26" i="19" s="1"/>
  <c r="P26" i="19"/>
  <c r="Q26" i="19" s="1"/>
  <c r="EC25" i="19"/>
  <c r="EB25" i="19"/>
  <c r="ED25" i="19" s="1"/>
  <c r="BU25" i="19"/>
  <c r="BT25" i="19"/>
  <c r="BS25" i="19"/>
  <c r="BR25" i="19"/>
  <c r="BQ25" i="19"/>
  <c r="BP25" i="19"/>
  <c r="BO25" i="19"/>
  <c r="BK25" i="19"/>
  <c r="BJ25" i="19"/>
  <c r="BI25" i="19"/>
  <c r="BH25" i="19"/>
  <c r="BG25" i="19"/>
  <c r="BF25" i="19"/>
  <c r="BE25" i="19"/>
  <c r="BC25" i="19"/>
  <c r="AT25" i="19"/>
  <c r="AQ25" i="19"/>
  <c r="AP25" i="19"/>
  <c r="AO25" i="19"/>
  <c r="AH25" i="19"/>
  <c r="AI25" i="19" s="1"/>
  <c r="Y25" i="19"/>
  <c r="Z25" i="19" s="1"/>
  <c r="P25" i="19"/>
  <c r="Q25" i="19" s="1"/>
  <c r="EC24" i="19"/>
  <c r="EB24" i="19"/>
  <c r="BU24" i="19"/>
  <c r="BT24" i="19"/>
  <c r="BS24" i="19"/>
  <c r="BR24" i="19"/>
  <c r="BQ24" i="19"/>
  <c r="BP24" i="19"/>
  <c r="BO24" i="19"/>
  <c r="BK24" i="19"/>
  <c r="BJ24" i="19"/>
  <c r="BI24" i="19"/>
  <c r="BH24" i="19"/>
  <c r="BG24" i="19"/>
  <c r="BF24" i="19"/>
  <c r="BE24" i="19"/>
  <c r="BC24" i="19"/>
  <c r="AT24" i="19"/>
  <c r="AQ24" i="19"/>
  <c r="AP24" i="19"/>
  <c r="AO24" i="19"/>
  <c r="AH24" i="19"/>
  <c r="AI24" i="19" s="1"/>
  <c r="Y24" i="19"/>
  <c r="Z24" i="19" s="1"/>
  <c r="P24" i="19"/>
  <c r="Q24" i="19" s="1"/>
  <c r="EC23" i="19"/>
  <c r="EB23" i="19"/>
  <c r="BU23" i="19"/>
  <c r="BT23" i="19"/>
  <c r="BS23" i="19"/>
  <c r="BR23" i="19"/>
  <c r="BQ23" i="19"/>
  <c r="BP23" i="19"/>
  <c r="BO23" i="19"/>
  <c r="BK23" i="19"/>
  <c r="BJ23" i="19"/>
  <c r="BI23" i="19"/>
  <c r="BH23" i="19"/>
  <c r="BG23" i="19"/>
  <c r="BF23" i="19"/>
  <c r="BE23" i="19"/>
  <c r="BC23" i="19"/>
  <c r="AT23" i="19"/>
  <c r="AQ23" i="19"/>
  <c r="AP23" i="19"/>
  <c r="AO23" i="19"/>
  <c r="AH23" i="19"/>
  <c r="AI23" i="19" s="1"/>
  <c r="Y23" i="19"/>
  <c r="Z23" i="19" s="1"/>
  <c r="P23" i="19"/>
  <c r="Q23" i="19" s="1"/>
  <c r="EC22" i="19"/>
  <c r="EB22" i="19"/>
  <c r="BU22" i="19"/>
  <c r="BT22" i="19"/>
  <c r="BS22" i="19"/>
  <c r="BR22" i="19"/>
  <c r="BQ22" i="19"/>
  <c r="BP22" i="19"/>
  <c r="BO22" i="19"/>
  <c r="BK22" i="19"/>
  <c r="BJ22" i="19"/>
  <c r="BI22" i="19"/>
  <c r="BH22" i="19"/>
  <c r="BG22" i="19"/>
  <c r="BF22" i="19"/>
  <c r="BE22" i="19"/>
  <c r="BC22" i="19"/>
  <c r="AT22" i="19"/>
  <c r="AQ22" i="19"/>
  <c r="AP22" i="19"/>
  <c r="AO22" i="19"/>
  <c r="AH22" i="19"/>
  <c r="AI22" i="19" s="1"/>
  <c r="Y22" i="19"/>
  <c r="Z22" i="19" s="1"/>
  <c r="P22" i="19"/>
  <c r="Q22" i="19" s="1"/>
  <c r="EC21" i="19"/>
  <c r="EB21" i="19"/>
  <c r="BU21" i="19"/>
  <c r="BT21" i="19"/>
  <c r="BS21" i="19"/>
  <c r="BR21" i="19"/>
  <c r="BQ21" i="19"/>
  <c r="BP21" i="19"/>
  <c r="BO21" i="19"/>
  <c r="BK21" i="19"/>
  <c r="BJ21" i="19"/>
  <c r="BI21" i="19"/>
  <c r="BH21" i="19"/>
  <c r="BG21" i="19"/>
  <c r="BF21" i="19"/>
  <c r="BE21" i="19"/>
  <c r="BC21" i="19"/>
  <c r="AT21" i="19"/>
  <c r="AQ21" i="19"/>
  <c r="AP21" i="19"/>
  <c r="AO21" i="19"/>
  <c r="AH21" i="19"/>
  <c r="AI21" i="19" s="1"/>
  <c r="Y21" i="19"/>
  <c r="Z21" i="19" s="1"/>
  <c r="P21" i="19"/>
  <c r="Q21" i="19" s="1"/>
  <c r="EC20" i="19"/>
  <c r="EB20" i="19"/>
  <c r="BU20" i="19"/>
  <c r="BT20" i="19"/>
  <c r="BS20" i="19"/>
  <c r="BR20" i="19"/>
  <c r="BQ20" i="19"/>
  <c r="BP20" i="19"/>
  <c r="BO20" i="19"/>
  <c r="BK20" i="19"/>
  <c r="BJ20" i="19"/>
  <c r="BI20" i="19"/>
  <c r="BH20" i="19"/>
  <c r="BG20" i="19"/>
  <c r="BF20" i="19"/>
  <c r="BE20" i="19"/>
  <c r="BC20" i="19"/>
  <c r="AT20" i="19"/>
  <c r="AQ20" i="19"/>
  <c r="AP20" i="19"/>
  <c r="AO20" i="19"/>
  <c r="AH20" i="19"/>
  <c r="AI20" i="19" s="1"/>
  <c r="Y20" i="19"/>
  <c r="Z20" i="19" s="1"/>
  <c r="P20" i="19"/>
  <c r="Q20" i="19" s="1"/>
  <c r="EC19" i="19"/>
  <c r="EB19" i="19"/>
  <c r="BU19" i="19"/>
  <c r="BT19" i="19"/>
  <c r="BS19" i="19"/>
  <c r="BR19" i="19"/>
  <c r="BQ19" i="19"/>
  <c r="BP19" i="19"/>
  <c r="BO19" i="19"/>
  <c r="BK19" i="19"/>
  <c r="BJ19" i="19"/>
  <c r="BI19" i="19"/>
  <c r="BH19" i="19"/>
  <c r="BG19" i="19"/>
  <c r="BF19" i="19"/>
  <c r="BE19" i="19"/>
  <c r="BC19" i="19"/>
  <c r="AT19" i="19"/>
  <c r="AQ19" i="19"/>
  <c r="AP19" i="19"/>
  <c r="AO19" i="19"/>
  <c r="AH19" i="19"/>
  <c r="AI19" i="19" s="1"/>
  <c r="Y19" i="19"/>
  <c r="Z19" i="19" s="1"/>
  <c r="P19" i="19"/>
  <c r="Q19" i="19" s="1"/>
  <c r="EC18" i="19"/>
  <c r="EB18" i="19"/>
  <c r="BU18" i="19"/>
  <c r="BT18" i="19"/>
  <c r="BS18" i="19"/>
  <c r="BR18" i="19"/>
  <c r="BQ18" i="19"/>
  <c r="BP18" i="19"/>
  <c r="BO18" i="19"/>
  <c r="BK18" i="19"/>
  <c r="BJ18" i="19"/>
  <c r="BI18" i="19"/>
  <c r="BH18" i="19"/>
  <c r="BG18" i="19"/>
  <c r="BF18" i="19"/>
  <c r="BE18" i="19"/>
  <c r="BC18" i="19"/>
  <c r="AT18" i="19"/>
  <c r="AQ18" i="19"/>
  <c r="AP18" i="19"/>
  <c r="AO18" i="19"/>
  <c r="AH18" i="19"/>
  <c r="AI18" i="19" s="1"/>
  <c r="Y18" i="19"/>
  <c r="Z18" i="19" s="1"/>
  <c r="P18" i="19"/>
  <c r="Q18" i="19" s="1"/>
  <c r="EC17" i="19"/>
  <c r="EB17" i="19"/>
  <c r="ED17" i="19" s="1"/>
  <c r="BU17" i="19"/>
  <c r="BT17" i="19"/>
  <c r="BS17" i="19"/>
  <c r="BR17" i="19"/>
  <c r="BQ17" i="19"/>
  <c r="BP17" i="19"/>
  <c r="BO17" i="19"/>
  <c r="BK17" i="19"/>
  <c r="BJ17" i="19"/>
  <c r="BI17" i="19"/>
  <c r="BH17" i="19"/>
  <c r="BG17" i="19"/>
  <c r="BF17" i="19"/>
  <c r="BE17" i="19"/>
  <c r="BC17" i="19"/>
  <c r="AT17" i="19"/>
  <c r="AQ17" i="19"/>
  <c r="AP17" i="19"/>
  <c r="AO17" i="19"/>
  <c r="AH17" i="19"/>
  <c r="AI17" i="19" s="1"/>
  <c r="Y17" i="19"/>
  <c r="Z17" i="19" s="1"/>
  <c r="P17" i="19"/>
  <c r="Q17" i="19" s="1"/>
  <c r="EC16" i="19"/>
  <c r="EB16" i="19"/>
  <c r="ED16" i="19" s="1"/>
  <c r="BU16" i="19"/>
  <c r="BT16" i="19"/>
  <c r="BS16" i="19"/>
  <c r="BR16" i="19"/>
  <c r="BQ16" i="19"/>
  <c r="BP16" i="19"/>
  <c r="BO16" i="19"/>
  <c r="BK16" i="19"/>
  <c r="BJ16" i="19"/>
  <c r="BI16" i="19"/>
  <c r="BH16" i="19"/>
  <c r="BG16" i="19"/>
  <c r="BF16" i="19"/>
  <c r="BE16" i="19"/>
  <c r="BC16" i="19"/>
  <c r="AT16" i="19"/>
  <c r="AQ16" i="19"/>
  <c r="AP16" i="19"/>
  <c r="AO16" i="19"/>
  <c r="AH16" i="19"/>
  <c r="AI16" i="19" s="1"/>
  <c r="Y16" i="19"/>
  <c r="Z16" i="19" s="1"/>
  <c r="P16" i="19"/>
  <c r="Q16" i="19" s="1"/>
  <c r="EC15" i="19"/>
  <c r="EB15" i="19"/>
  <c r="BU15" i="19"/>
  <c r="BT15" i="19"/>
  <c r="BS15" i="19"/>
  <c r="BR15" i="19"/>
  <c r="BQ15" i="19"/>
  <c r="BP15" i="19"/>
  <c r="BO15" i="19"/>
  <c r="BK15" i="19"/>
  <c r="BJ15" i="19"/>
  <c r="BI15" i="19"/>
  <c r="BH15" i="19"/>
  <c r="BG15" i="19"/>
  <c r="BF15" i="19"/>
  <c r="BE15" i="19"/>
  <c r="BC15" i="19"/>
  <c r="AT15" i="19"/>
  <c r="AQ15" i="19"/>
  <c r="AP15" i="19"/>
  <c r="AO15" i="19"/>
  <c r="AH15" i="19"/>
  <c r="AI15" i="19" s="1"/>
  <c r="Y15" i="19"/>
  <c r="Z15" i="19" s="1"/>
  <c r="P15" i="19"/>
  <c r="Q15" i="19" s="1"/>
  <c r="EC14" i="19"/>
  <c r="EB14" i="19"/>
  <c r="BU14" i="19"/>
  <c r="BT14" i="19"/>
  <c r="BS14" i="19"/>
  <c r="BR14" i="19"/>
  <c r="BQ14" i="19"/>
  <c r="BP14" i="19"/>
  <c r="BO14" i="19"/>
  <c r="BK14" i="19"/>
  <c r="BJ14" i="19"/>
  <c r="BI14" i="19"/>
  <c r="BH14" i="19"/>
  <c r="BG14" i="19"/>
  <c r="BF14" i="19"/>
  <c r="BE14" i="19"/>
  <c r="BC14" i="19"/>
  <c r="AT14" i="19"/>
  <c r="AQ14" i="19"/>
  <c r="AP14" i="19"/>
  <c r="AO14" i="19"/>
  <c r="AH14" i="19"/>
  <c r="AI14" i="19" s="1"/>
  <c r="Y14" i="19"/>
  <c r="Z14" i="19" s="1"/>
  <c r="P14" i="19"/>
  <c r="Q14" i="19" s="1"/>
  <c r="EC13" i="19"/>
  <c r="EB13" i="19"/>
  <c r="BU13" i="19"/>
  <c r="BT13" i="19"/>
  <c r="BS13" i="19"/>
  <c r="BR13" i="19"/>
  <c r="BQ13" i="19"/>
  <c r="BP13" i="19"/>
  <c r="BO13" i="19"/>
  <c r="BK13" i="19"/>
  <c r="BJ13" i="19"/>
  <c r="BI13" i="19"/>
  <c r="BH13" i="19"/>
  <c r="BG13" i="19"/>
  <c r="BF13" i="19"/>
  <c r="BE13" i="19"/>
  <c r="BC13" i="19"/>
  <c r="AT13" i="19"/>
  <c r="AQ13" i="19"/>
  <c r="AP13" i="19"/>
  <c r="AO13" i="19"/>
  <c r="AH13" i="19"/>
  <c r="AI13" i="19" s="1"/>
  <c r="Y13" i="19"/>
  <c r="Z13" i="19" s="1"/>
  <c r="P13" i="19"/>
  <c r="Q13" i="19" s="1"/>
  <c r="EC12" i="19"/>
  <c r="EB12" i="19"/>
  <c r="BU12" i="19"/>
  <c r="BT12" i="19"/>
  <c r="BS12" i="19"/>
  <c r="BR12" i="19"/>
  <c r="BQ12" i="19"/>
  <c r="BP12" i="19"/>
  <c r="BO12" i="19"/>
  <c r="BK12" i="19"/>
  <c r="BJ12" i="19"/>
  <c r="BI12" i="19"/>
  <c r="BH12" i="19"/>
  <c r="BG12" i="19"/>
  <c r="BF12" i="19"/>
  <c r="BE12" i="19"/>
  <c r="BC12" i="19"/>
  <c r="AT12" i="19"/>
  <c r="AQ12" i="19"/>
  <c r="AP12" i="19"/>
  <c r="AO12" i="19"/>
  <c r="AH12" i="19"/>
  <c r="AI12" i="19" s="1"/>
  <c r="Y12" i="19"/>
  <c r="Z12" i="19" s="1"/>
  <c r="P12" i="19"/>
  <c r="Q12" i="19" s="1"/>
  <c r="EC11" i="19"/>
  <c r="EB11" i="19"/>
  <c r="BU11" i="19"/>
  <c r="BT11" i="19"/>
  <c r="BS11" i="19"/>
  <c r="BR11" i="19"/>
  <c r="BQ11" i="19"/>
  <c r="BP11" i="19"/>
  <c r="BO11" i="19"/>
  <c r="BK11" i="19"/>
  <c r="BJ11" i="19"/>
  <c r="BI11" i="19"/>
  <c r="BH11" i="19"/>
  <c r="BG11" i="19"/>
  <c r="BF11" i="19"/>
  <c r="BE11" i="19"/>
  <c r="BC11" i="19"/>
  <c r="AT11" i="19"/>
  <c r="AQ11" i="19"/>
  <c r="AP11" i="19"/>
  <c r="AO11" i="19"/>
  <c r="AH11" i="19"/>
  <c r="AI11" i="19" s="1"/>
  <c r="Y11" i="19"/>
  <c r="Z11" i="19" s="1"/>
  <c r="P11" i="19"/>
  <c r="Q11" i="19" s="1"/>
  <c r="EC10" i="19"/>
  <c r="EB10" i="19"/>
  <c r="BU10" i="19"/>
  <c r="BT10" i="19"/>
  <c r="BS10" i="19"/>
  <c r="BR10" i="19"/>
  <c r="BQ10" i="19"/>
  <c r="BP10" i="19"/>
  <c r="BO10" i="19"/>
  <c r="BK10" i="19"/>
  <c r="BJ10" i="19"/>
  <c r="BI10" i="19"/>
  <c r="BH10" i="19"/>
  <c r="BG10" i="19"/>
  <c r="BF10" i="19"/>
  <c r="BE10" i="19"/>
  <c r="BC10" i="19"/>
  <c r="AT10" i="19"/>
  <c r="AQ10" i="19"/>
  <c r="AP10" i="19"/>
  <c r="AO10" i="19"/>
  <c r="AH10" i="19"/>
  <c r="AI10" i="19" s="1"/>
  <c r="Y10" i="19"/>
  <c r="Z10" i="19" s="1"/>
  <c r="P10" i="19"/>
  <c r="Q10" i="19" s="1"/>
  <c r="EC9" i="19"/>
  <c r="EB9" i="19"/>
  <c r="ED9" i="19" s="1"/>
  <c r="BU9" i="19"/>
  <c r="BT9" i="19"/>
  <c r="BS9" i="19"/>
  <c r="BR9" i="19"/>
  <c r="BQ9" i="19"/>
  <c r="BP9" i="19"/>
  <c r="BO9" i="19"/>
  <c r="BK9" i="19"/>
  <c r="BJ9" i="19"/>
  <c r="BI9" i="19"/>
  <c r="BH9" i="19"/>
  <c r="BG9" i="19"/>
  <c r="BF9" i="19"/>
  <c r="BE9" i="19"/>
  <c r="BC9" i="19"/>
  <c r="AT9" i="19"/>
  <c r="AQ9" i="19"/>
  <c r="AP9" i="19"/>
  <c r="AO9" i="19"/>
  <c r="AH9" i="19"/>
  <c r="AI9" i="19" s="1"/>
  <c r="Y9" i="19"/>
  <c r="Z9" i="19" s="1"/>
  <c r="P9" i="19"/>
  <c r="Q9" i="19" s="1"/>
  <c r="EC8" i="19"/>
  <c r="EB8" i="19"/>
  <c r="BU8" i="19"/>
  <c r="BT8" i="19"/>
  <c r="BS8" i="19"/>
  <c r="BR8" i="19"/>
  <c r="BQ8" i="19"/>
  <c r="BP8" i="19"/>
  <c r="BO8" i="19"/>
  <c r="BK8" i="19"/>
  <c r="BJ8" i="19"/>
  <c r="BI8" i="19"/>
  <c r="BH8" i="19"/>
  <c r="BG8" i="19"/>
  <c r="BF8" i="19"/>
  <c r="BE8" i="19"/>
  <c r="BC8" i="19"/>
  <c r="AT8" i="19"/>
  <c r="AQ8" i="19"/>
  <c r="AP8" i="19"/>
  <c r="AO8" i="19"/>
  <c r="AH8" i="19"/>
  <c r="AI8" i="19" s="1"/>
  <c r="Y8" i="19"/>
  <c r="Z8" i="19" s="1"/>
  <c r="BV161" i="19" l="1"/>
  <c r="BV162" i="19"/>
  <c r="BV170" i="19"/>
  <c r="BV169" i="19"/>
  <c r="G26" i="1"/>
  <c r="F26" i="1"/>
  <c r="E26" i="1"/>
  <c r="E42" i="1" s="1"/>
  <c r="BV49" i="19"/>
  <c r="BY49" i="19" s="1"/>
  <c r="BV23" i="19"/>
  <c r="BV199" i="19"/>
  <c r="BV33" i="19"/>
  <c r="BV41" i="19"/>
  <c r="BY41" i="19" s="1"/>
  <c r="DI41" i="19" s="1"/>
  <c r="BV57" i="19"/>
  <c r="BV89" i="19"/>
  <c r="BV97" i="19"/>
  <c r="BY97" i="19" s="1"/>
  <c r="BV73" i="19"/>
  <c r="BY73" i="19" s="1"/>
  <c r="DI73" i="19" s="1"/>
  <c r="BV81" i="19"/>
  <c r="BV15" i="19"/>
  <c r="BV197" i="19"/>
  <c r="BV195" i="19"/>
  <c r="BY195" i="19" s="1"/>
  <c r="BV196" i="19"/>
  <c r="BV146" i="19"/>
  <c r="BY146" i="19" s="1"/>
  <c r="DI146" i="19" s="1"/>
  <c r="BV147" i="19"/>
  <c r="BY147" i="19" s="1"/>
  <c r="DI147" i="19" s="1"/>
  <c r="BV154" i="19"/>
  <c r="BY154" i="19" s="1"/>
  <c r="BV155" i="19"/>
  <c r="BV177" i="19"/>
  <c r="BV178" i="19"/>
  <c r="BV185" i="19"/>
  <c r="BY185" i="19" s="1"/>
  <c r="DI185" i="19" s="1"/>
  <c r="BV186" i="19"/>
  <c r="BY186" i="19" s="1"/>
  <c r="BV65" i="19"/>
  <c r="BY65" i="19" s="1"/>
  <c r="DI65" i="19" s="1"/>
  <c r="BV105" i="19"/>
  <c r="BY105" i="19" s="1"/>
  <c r="DI105" i="19" s="1"/>
  <c r="BV113" i="19"/>
  <c r="BY113" i="19" s="1"/>
  <c r="BV121" i="19"/>
  <c r="BV129" i="19"/>
  <c r="BV137" i="19"/>
  <c r="BV9" i="19"/>
  <c r="BY9" i="19" s="1"/>
  <c r="DI9" i="19" s="1"/>
  <c r="BV17" i="19"/>
  <c r="BV25" i="19"/>
  <c r="BV34" i="19"/>
  <c r="BV42" i="19"/>
  <c r="BV50" i="19"/>
  <c r="BV58" i="19"/>
  <c r="BV66" i="19"/>
  <c r="BY66" i="19" s="1"/>
  <c r="DI66" i="19" s="1"/>
  <c r="BV74" i="19"/>
  <c r="BY74" i="19" s="1"/>
  <c r="BV82" i="19"/>
  <c r="BV90" i="19"/>
  <c r="BV98" i="19"/>
  <c r="BY98" i="19" s="1"/>
  <c r="DI98" i="19" s="1"/>
  <c r="BV106" i="19"/>
  <c r="BY106" i="19" s="1"/>
  <c r="BV114" i="19"/>
  <c r="BW114" i="19" s="1"/>
  <c r="BV122" i="19"/>
  <c r="BY122" i="19" s="1"/>
  <c r="BV130" i="19"/>
  <c r="BV138" i="19"/>
  <c r="BV148" i="19"/>
  <c r="BV163" i="19"/>
  <c r="BY163" i="19" s="1"/>
  <c r="BV171" i="19"/>
  <c r="BW171" i="19" s="1"/>
  <c r="BV179" i="19"/>
  <c r="BW179" i="19" s="1"/>
  <c r="BV187" i="19"/>
  <c r="BY187" i="19" s="1"/>
  <c r="BV201" i="19"/>
  <c r="BV10" i="19"/>
  <c r="BY10" i="19" s="1"/>
  <c r="DI10" i="19" s="1"/>
  <c r="BV18" i="19"/>
  <c r="BV26" i="19"/>
  <c r="BV35" i="19"/>
  <c r="BW35" i="19" s="1"/>
  <c r="BV43" i="19"/>
  <c r="BV51" i="19"/>
  <c r="BV59" i="19"/>
  <c r="BV67" i="19"/>
  <c r="BY67" i="19" s="1"/>
  <c r="BV75" i="19"/>
  <c r="BY75" i="19" s="1"/>
  <c r="BV83" i="19"/>
  <c r="BY83" i="19" s="1"/>
  <c r="DI83" i="19" s="1"/>
  <c r="BV99" i="19"/>
  <c r="BV107" i="19"/>
  <c r="BY107" i="19" s="1"/>
  <c r="DI107" i="19" s="1"/>
  <c r="BV115" i="19"/>
  <c r="BY115" i="19" s="1"/>
  <c r="DI115" i="19" s="1"/>
  <c r="BV123" i="19"/>
  <c r="BY123" i="19" s="1"/>
  <c r="DI123" i="19" s="1"/>
  <c r="BV131" i="19"/>
  <c r="BY131" i="19" s="1"/>
  <c r="BV139" i="19"/>
  <c r="BV149" i="19"/>
  <c r="BY149" i="19" s="1"/>
  <c r="DI149" i="19" s="1"/>
  <c r="BV156" i="19"/>
  <c r="BV164" i="19"/>
  <c r="BV172" i="19"/>
  <c r="BY172" i="19" s="1"/>
  <c r="DI172" i="19" s="1"/>
  <c r="BV180" i="19"/>
  <c r="BV188" i="19"/>
  <c r="BV190" i="19"/>
  <c r="BY190" i="19" s="1"/>
  <c r="BV202" i="19"/>
  <c r="BV204" i="19"/>
  <c r="BV19" i="19"/>
  <c r="BV24" i="19"/>
  <c r="BV27" i="19"/>
  <c r="BV32" i="19"/>
  <c r="BY32" i="19" s="1"/>
  <c r="BV36" i="19"/>
  <c r="BY36" i="19" s="1"/>
  <c r="DI36" i="19" s="1"/>
  <c r="BV40" i="19"/>
  <c r="BY40" i="19" s="1"/>
  <c r="BV44" i="19"/>
  <c r="BY44" i="19" s="1"/>
  <c r="BV48" i="19"/>
  <c r="BY48" i="19" s="1"/>
  <c r="DI48" i="19" s="1"/>
  <c r="BV52" i="19"/>
  <c r="BV56" i="19"/>
  <c r="BV60" i="19"/>
  <c r="BY60" i="19" s="1"/>
  <c r="BV64" i="19"/>
  <c r="BY64" i="19" s="1"/>
  <c r="BV68" i="19"/>
  <c r="BY68" i="19" s="1"/>
  <c r="BV72" i="19"/>
  <c r="BV76" i="19"/>
  <c r="BY76" i="19" s="1"/>
  <c r="BV80" i="19"/>
  <c r="BY80" i="19" s="1"/>
  <c r="BV84" i="19"/>
  <c r="BW84" i="19" s="1"/>
  <c r="BV88" i="19"/>
  <c r="BV92" i="19"/>
  <c r="BV96" i="19"/>
  <c r="BV100" i="19"/>
  <c r="BY100" i="19" s="1"/>
  <c r="DI100" i="19" s="1"/>
  <c r="BV104" i="19"/>
  <c r="BY104" i="19" s="1"/>
  <c r="DI104" i="19" s="1"/>
  <c r="BV108" i="19"/>
  <c r="BY108" i="19" s="1"/>
  <c r="BV112" i="19"/>
  <c r="BW112" i="19" s="1"/>
  <c r="BV116" i="19"/>
  <c r="BV120" i="19"/>
  <c r="BV124" i="19"/>
  <c r="BV128" i="19"/>
  <c r="BY128" i="19" s="1"/>
  <c r="BV132" i="19"/>
  <c r="BY132" i="19" s="1"/>
  <c r="DI132" i="19" s="1"/>
  <c r="BV136" i="19"/>
  <c r="BY136" i="19" s="1"/>
  <c r="DI136" i="19" s="1"/>
  <c r="BV140" i="19"/>
  <c r="BY140" i="19" s="1"/>
  <c r="DI140" i="19" s="1"/>
  <c r="BV144" i="19"/>
  <c r="BY144" i="19" s="1"/>
  <c r="DI144" i="19" s="1"/>
  <c r="BV150" i="19"/>
  <c r="BV157" i="19"/>
  <c r="BV165" i="19"/>
  <c r="BY165" i="19" s="1"/>
  <c r="DI165" i="19" s="1"/>
  <c r="BV173" i="19"/>
  <c r="BY173" i="19" s="1"/>
  <c r="DI173" i="19" s="1"/>
  <c r="BV181" i="19"/>
  <c r="BY181" i="19" s="1"/>
  <c r="DI181" i="19" s="1"/>
  <c r="BV189" i="19"/>
  <c r="BY189" i="19" s="1"/>
  <c r="BV191" i="19"/>
  <c r="BV200" i="19"/>
  <c r="BY200" i="19" s="1"/>
  <c r="DI200" i="19" s="1"/>
  <c r="BV203" i="19"/>
  <c r="BV205" i="19"/>
  <c r="BV11" i="19"/>
  <c r="BY11" i="19" s="1"/>
  <c r="BV16" i="19"/>
  <c r="BV12" i="19"/>
  <c r="BY12" i="19" s="1"/>
  <c r="DI12" i="19" s="1"/>
  <c r="BV20" i="19"/>
  <c r="BY20" i="19" s="1"/>
  <c r="DI20" i="19" s="1"/>
  <c r="BV28" i="19"/>
  <c r="BY28" i="19" s="1"/>
  <c r="DI28" i="19" s="1"/>
  <c r="BV37" i="19"/>
  <c r="BV45" i="19"/>
  <c r="BY45" i="19" s="1"/>
  <c r="DI45" i="19" s="1"/>
  <c r="BV53" i="19"/>
  <c r="BV61" i="19"/>
  <c r="BV69" i="19"/>
  <c r="BY69" i="19" s="1"/>
  <c r="BV77" i="19"/>
  <c r="BY77" i="19" s="1"/>
  <c r="DI77" i="19" s="1"/>
  <c r="BV85" i="19"/>
  <c r="BY85" i="19" s="1"/>
  <c r="BV93" i="19"/>
  <c r="BY93" i="19" s="1"/>
  <c r="DI93" i="19" s="1"/>
  <c r="BV101" i="19"/>
  <c r="BY101" i="19" s="1"/>
  <c r="BV109" i="19"/>
  <c r="BV117" i="19"/>
  <c r="BV125" i="19"/>
  <c r="BV133" i="19"/>
  <c r="BV141" i="19"/>
  <c r="BY141" i="19" s="1"/>
  <c r="BV151" i="19"/>
  <c r="BV158" i="19"/>
  <c r="BV166" i="19"/>
  <c r="BV174" i="19"/>
  <c r="BV182" i="19"/>
  <c r="BV206" i="19"/>
  <c r="BV13" i="19"/>
  <c r="BY13" i="19" s="1"/>
  <c r="BV21" i="19"/>
  <c r="BY21" i="19" s="1"/>
  <c r="DI21" i="19" s="1"/>
  <c r="BV29" i="19"/>
  <c r="BY29" i="19" s="1"/>
  <c r="BV38" i="19"/>
  <c r="BY38" i="19" s="1"/>
  <c r="BV46" i="19"/>
  <c r="BY46" i="19" s="1"/>
  <c r="BV54" i="19"/>
  <c r="BY54" i="19" s="1"/>
  <c r="BV62" i="19"/>
  <c r="BV70" i="19"/>
  <c r="BV78" i="19"/>
  <c r="BY78" i="19" s="1"/>
  <c r="BV86" i="19"/>
  <c r="BY86" i="19" s="1"/>
  <c r="DI86" i="19" s="1"/>
  <c r="BV94" i="19"/>
  <c r="BY94" i="19" s="1"/>
  <c r="DI94" i="19" s="1"/>
  <c r="BV102" i="19"/>
  <c r="BV110" i="19"/>
  <c r="BV118" i="19"/>
  <c r="BV126" i="19"/>
  <c r="BV134" i="19"/>
  <c r="BV142" i="19"/>
  <c r="BV152" i="19"/>
  <c r="BY152" i="19" s="1"/>
  <c r="BV159" i="19"/>
  <c r="BY159" i="19" s="1"/>
  <c r="BV167" i="19"/>
  <c r="BY167" i="19" s="1"/>
  <c r="BV175" i="19"/>
  <c r="BW175" i="19" s="1"/>
  <c r="BV183" i="19"/>
  <c r="BV192" i="19"/>
  <c r="BV193" i="19"/>
  <c r="BV207" i="19"/>
  <c r="BY207" i="19" s="1"/>
  <c r="DI207" i="19" s="1"/>
  <c r="BV14" i="19"/>
  <c r="BY14" i="19" s="1"/>
  <c r="BV22" i="19"/>
  <c r="BY22" i="19" s="1"/>
  <c r="BV31" i="19"/>
  <c r="BY31" i="19" s="1"/>
  <c r="DI31" i="19" s="1"/>
  <c r="ED32" i="19"/>
  <c r="BV39" i="19"/>
  <c r="BV47" i="19"/>
  <c r="BV55" i="19"/>
  <c r="BY55" i="19" s="1"/>
  <c r="DI55" i="19" s="1"/>
  <c r="BV63" i="19"/>
  <c r="BY63" i="19" s="1"/>
  <c r="BV71" i="19"/>
  <c r="BY71" i="19" s="1"/>
  <c r="DI71" i="19" s="1"/>
  <c r="BV79" i="19"/>
  <c r="BY79" i="19" s="1"/>
  <c r="BV87" i="19"/>
  <c r="BV95" i="19"/>
  <c r="BY95" i="19" s="1"/>
  <c r="DI95" i="19" s="1"/>
  <c r="BV103" i="19"/>
  <c r="BV111" i="19"/>
  <c r="BV119" i="19"/>
  <c r="BV127" i="19"/>
  <c r="BV135" i="19"/>
  <c r="BY135" i="19" s="1"/>
  <c r="DI135" i="19" s="1"/>
  <c r="BV143" i="19"/>
  <c r="BV145" i="19"/>
  <c r="BV153" i="19"/>
  <c r="BY153" i="19" s="1"/>
  <c r="DI153" i="19" s="1"/>
  <c r="BV160" i="19"/>
  <c r="BV168" i="19"/>
  <c r="BV176" i="19"/>
  <c r="BY176" i="19" s="1"/>
  <c r="BV184" i="19"/>
  <c r="BY184" i="19" s="1"/>
  <c r="DI184" i="19" s="1"/>
  <c r="BV194" i="19"/>
  <c r="BV198" i="19"/>
  <c r="D4" i="21"/>
  <c r="H48" i="21" s="1"/>
  <c r="E23" i="1"/>
  <c r="L23" i="1"/>
  <c r="E23" i="21" s="1"/>
  <c r="ED11" i="19"/>
  <c r="BY91" i="19"/>
  <c r="ED87" i="19"/>
  <c r="ED10" i="19"/>
  <c r="BY82" i="19"/>
  <c r="DI82" i="19" s="1"/>
  <c r="BY90" i="19"/>
  <c r="DI90" i="19" s="1"/>
  <c r="ED187" i="19"/>
  <c r="BY18" i="19"/>
  <c r="DI18" i="19" s="1"/>
  <c r="BY34" i="19"/>
  <c r="ED22" i="19"/>
  <c r="ED54" i="19"/>
  <c r="ED93" i="19"/>
  <c r="ED80" i="19"/>
  <c r="ED86" i="19"/>
  <c r="BY27" i="19"/>
  <c r="DI27" i="19" s="1"/>
  <c r="BY52" i="19"/>
  <c r="BY53" i="19"/>
  <c r="DI53" i="19" s="1"/>
  <c r="BY61" i="19"/>
  <c r="BY15" i="19"/>
  <c r="BY84" i="19"/>
  <c r="DI84" i="19" s="1"/>
  <c r="BY30" i="19"/>
  <c r="BY39" i="19"/>
  <c r="BY47" i="19"/>
  <c r="DI47" i="19" s="1"/>
  <c r="BY24" i="19"/>
  <c r="DI24" i="19" s="1"/>
  <c r="ED130" i="19"/>
  <c r="BY23" i="19"/>
  <c r="BV8" i="19"/>
  <c r="BY8" i="19" s="1"/>
  <c r="BY16" i="19"/>
  <c r="DI16" i="19" s="1"/>
  <c r="ED30" i="19"/>
  <c r="BY56" i="19"/>
  <c r="DI56" i="19" s="1"/>
  <c r="BY17" i="19"/>
  <c r="DI17" i="19" s="1"/>
  <c r="BY25" i="19"/>
  <c r="DI25" i="19" s="1"/>
  <c r="BY33" i="19"/>
  <c r="DI33" i="19" s="1"/>
  <c r="BY57" i="19"/>
  <c r="ED126" i="19"/>
  <c r="ED134" i="19"/>
  <c r="ED167" i="19"/>
  <c r="BY72" i="19"/>
  <c r="ED12" i="19"/>
  <c r="BY19" i="19"/>
  <c r="BY26" i="19"/>
  <c r="BY35" i="19"/>
  <c r="DI35" i="19" s="1"/>
  <c r="BY43" i="19"/>
  <c r="DI43" i="19" s="1"/>
  <c r="BY51" i="19"/>
  <c r="DI51" i="19" s="1"/>
  <c r="BY59" i="19"/>
  <c r="DI59" i="19" s="1"/>
  <c r="BY81" i="19"/>
  <c r="DI81" i="19" s="1"/>
  <c r="BY88" i="19"/>
  <c r="DI88" i="19" s="1"/>
  <c r="ED89" i="19"/>
  <c r="ED34" i="19"/>
  <c r="ED42" i="19"/>
  <c r="ED155" i="19"/>
  <c r="ED181" i="19"/>
  <c r="ED59" i="19"/>
  <c r="ED123" i="19"/>
  <c r="ED81" i="19"/>
  <c r="ED37" i="19"/>
  <c r="ED45" i="19"/>
  <c r="ED74" i="19"/>
  <c r="ED95" i="19"/>
  <c r="ED104" i="19"/>
  <c r="ED124" i="19"/>
  <c r="ED141" i="19"/>
  <c r="ED163" i="19"/>
  <c r="ED176" i="19"/>
  <c r="ED193" i="19"/>
  <c r="ED205" i="19"/>
  <c r="ED119" i="19"/>
  <c r="ED197" i="19"/>
  <c r="ED15" i="19"/>
  <c r="ED44" i="19"/>
  <c r="ED50" i="19"/>
  <c r="ED62" i="19"/>
  <c r="ED69" i="19"/>
  <c r="ED83" i="19"/>
  <c r="ED94" i="19"/>
  <c r="ED99" i="19"/>
  <c r="ED107" i="19"/>
  <c r="ED112" i="19"/>
  <c r="ED154" i="19"/>
  <c r="ED171" i="19"/>
  <c r="ED201" i="19"/>
  <c r="ED70" i="19"/>
  <c r="ED51" i="19"/>
  <c r="ED18" i="19"/>
  <c r="ED46" i="19"/>
  <c r="ED96" i="19"/>
  <c r="BL107" i="19"/>
  <c r="BM107" i="19" s="1"/>
  <c r="ED121" i="19"/>
  <c r="ED131" i="19"/>
  <c r="ED142" i="19"/>
  <c r="ED150" i="19"/>
  <c r="ED185" i="19"/>
  <c r="BL98" i="19"/>
  <c r="BM98" i="19" s="1"/>
  <c r="BL40" i="19"/>
  <c r="BM40" i="19" s="1"/>
  <c r="BL109" i="19"/>
  <c r="BM109" i="19" s="1"/>
  <c r="BL142" i="19"/>
  <c r="BM142" i="19" s="1"/>
  <c r="ED179" i="19"/>
  <c r="BL92" i="19"/>
  <c r="BM92" i="19" s="1"/>
  <c r="BL162" i="19"/>
  <c r="BM162" i="19" s="1"/>
  <c r="ED195" i="19"/>
  <c r="ED198" i="19"/>
  <c r="ED21" i="19"/>
  <c r="BL47" i="19"/>
  <c r="BM47" i="19" s="1"/>
  <c r="ED61" i="19"/>
  <c r="ED132" i="19"/>
  <c r="ED159" i="19"/>
  <c r="BY171" i="19"/>
  <c r="ED180" i="19"/>
  <c r="ED199" i="19"/>
  <c r="BL179" i="19"/>
  <c r="BM179" i="19" s="1"/>
  <c r="BL11" i="19"/>
  <c r="ED29" i="19"/>
  <c r="ED77" i="19"/>
  <c r="BL67" i="19"/>
  <c r="BM67" i="19" s="1"/>
  <c r="BL18" i="19"/>
  <c r="BM18" i="19" s="1"/>
  <c r="BL14" i="19"/>
  <c r="BM14" i="19" s="1"/>
  <c r="BL22" i="19"/>
  <c r="BM22" i="19" s="1"/>
  <c r="ED43" i="19"/>
  <c r="BL144" i="19"/>
  <c r="BM144" i="19" s="1"/>
  <c r="ED202" i="19"/>
  <c r="ED40" i="19"/>
  <c r="ED49" i="19"/>
  <c r="ED58" i="19"/>
  <c r="ED78" i="19"/>
  <c r="ED82" i="19"/>
  <c r="BL100" i="19"/>
  <c r="BM100" i="19" s="1"/>
  <c r="ED102" i="19"/>
  <c r="ED106" i="19"/>
  <c r="ED109" i="19"/>
  <c r="ED116" i="19"/>
  <c r="ED117" i="19"/>
  <c r="ED138" i="19"/>
  <c r="ED143" i="19"/>
  <c r="ED149" i="19"/>
  <c r="BY170" i="19"/>
  <c r="DI170" i="19" s="1"/>
  <c r="BL188" i="19"/>
  <c r="BM188" i="19" s="1"/>
  <c r="ED204" i="19"/>
  <c r="BY143" i="19"/>
  <c r="DI143" i="19" s="1"/>
  <c r="BL147" i="19"/>
  <c r="BM147" i="19" s="1"/>
  <c r="BL163" i="19"/>
  <c r="BM163" i="19" s="1"/>
  <c r="BY178" i="19"/>
  <c r="DI178" i="19" s="1"/>
  <c r="BL44" i="19"/>
  <c r="BM44" i="19" s="1"/>
  <c r="ED79" i="19"/>
  <c r="BL82" i="19"/>
  <c r="BM82" i="19" s="1"/>
  <c r="ED118" i="19"/>
  <c r="ED135" i="19"/>
  <c r="BY155" i="19"/>
  <c r="BL180" i="19"/>
  <c r="BM180" i="19" s="1"/>
  <c r="ED8" i="19"/>
  <c r="ED13" i="19"/>
  <c r="ED19" i="19"/>
  <c r="ED27" i="19"/>
  <c r="ED38" i="19"/>
  <c r="ED55" i="19"/>
  <c r="ED64" i="19"/>
  <c r="ED67" i="19"/>
  <c r="ED110" i="19"/>
  <c r="ED111" i="19"/>
  <c r="BL134" i="19"/>
  <c r="BM134" i="19" s="1"/>
  <c r="ED140" i="19"/>
  <c r="ED146" i="19"/>
  <c r="BL155" i="19"/>
  <c r="BM155" i="19" s="1"/>
  <c r="ED164" i="19"/>
  <c r="ED165" i="19"/>
  <c r="BL171" i="19"/>
  <c r="BM171" i="19" s="1"/>
  <c r="BY175" i="19"/>
  <c r="DI175" i="19" s="1"/>
  <c r="ED182" i="19"/>
  <c r="BL187" i="19"/>
  <c r="BM187" i="19" s="1"/>
  <c r="ED200" i="19"/>
  <c r="ED47" i="19"/>
  <c r="ED56" i="19"/>
  <c r="ED147" i="19"/>
  <c r="ED190" i="19"/>
  <c r="ED194" i="19"/>
  <c r="ED206" i="19"/>
  <c r="ED14" i="19"/>
  <c r="ED24" i="19"/>
  <c r="ED28" i="19"/>
  <c r="ED39" i="19"/>
  <c r="ED68" i="19"/>
  <c r="EB91" i="19"/>
  <c r="ED91" i="19" s="1"/>
  <c r="BL96" i="19"/>
  <c r="BM96" i="19" s="1"/>
  <c r="ED152" i="19"/>
  <c r="ED158" i="19"/>
  <c r="ED166" i="19"/>
  <c r="ED169" i="19"/>
  <c r="BL115" i="19"/>
  <c r="BM115" i="19" s="1"/>
  <c r="BL124" i="19"/>
  <c r="BM124" i="19" s="1"/>
  <c r="BL140" i="19"/>
  <c r="BM140" i="19" s="1"/>
  <c r="BY148" i="19"/>
  <c r="DI148" i="19" s="1"/>
  <c r="ED153" i="19"/>
  <c r="BL168" i="19"/>
  <c r="BM168" i="19" s="1"/>
  <c r="ED174" i="19"/>
  <c r="BL190" i="19"/>
  <c r="BM190" i="19" s="1"/>
  <c r="ED191" i="19"/>
  <c r="BL148" i="19"/>
  <c r="BM148" i="19" s="1"/>
  <c r="BL13" i="19"/>
  <c r="BM13" i="19" s="1"/>
  <c r="BL26" i="19"/>
  <c r="BM26" i="19" s="1"/>
  <c r="BY192" i="19"/>
  <c r="BL39" i="19"/>
  <c r="BM39" i="19" s="1"/>
  <c r="BY199" i="19"/>
  <c r="DI199" i="19" s="1"/>
  <c r="BL10" i="19"/>
  <c r="BM10" i="19" s="1"/>
  <c r="BL21" i="19"/>
  <c r="BM21" i="19" s="1"/>
  <c r="BG208" i="19"/>
  <c r="BW9" i="19"/>
  <c r="BL9" i="19"/>
  <c r="BM9" i="19" s="1"/>
  <c r="BL52" i="19"/>
  <c r="BM52" i="19" s="1"/>
  <c r="ED115" i="19"/>
  <c r="BL123" i="19"/>
  <c r="BM123" i="19" s="1"/>
  <c r="BL19" i="19"/>
  <c r="BM19" i="19" s="1"/>
  <c r="BL192" i="19"/>
  <c r="BM192" i="19" s="1"/>
  <c r="BL29" i="19"/>
  <c r="BM29" i="19" s="1"/>
  <c r="ED31" i="19"/>
  <c r="BL51" i="19"/>
  <c r="BM51" i="19" s="1"/>
  <c r="ED53" i="19"/>
  <c r="BL55" i="19"/>
  <c r="BM55" i="19" s="1"/>
  <c r="ED63" i="19"/>
  <c r="ED100" i="19"/>
  <c r="ED103" i="19"/>
  <c r="ED125" i="19"/>
  <c r="BL127" i="19"/>
  <c r="BM127" i="19" s="1"/>
  <c r="ED139" i="19"/>
  <c r="BY142" i="19"/>
  <c r="DI142" i="19" s="1"/>
  <c r="ED157" i="19"/>
  <c r="ED172" i="19"/>
  <c r="ED175" i="19"/>
  <c r="ED178" i="19"/>
  <c r="ED183" i="19"/>
  <c r="ED188" i="19"/>
  <c r="ED26" i="19"/>
  <c r="ED75" i="19"/>
  <c r="BY92" i="19"/>
  <c r="DI92" i="19" s="1"/>
  <c r="ED101" i="19"/>
  <c r="BL106" i="19"/>
  <c r="BM106" i="19" s="1"/>
  <c r="ED113" i="19"/>
  <c r="ED128" i="19"/>
  <c r="ED145" i="19"/>
  <c r="BY162" i="19"/>
  <c r="DI162" i="19" s="1"/>
  <c r="ED162" i="19"/>
  <c r="ED173" i="19"/>
  <c r="BL175" i="19"/>
  <c r="BM175" i="19" s="1"/>
  <c r="ED184" i="19"/>
  <c r="ED189" i="19"/>
  <c r="BL194" i="19"/>
  <c r="BM194" i="19" s="1"/>
  <c r="ED207" i="19"/>
  <c r="BW25" i="19"/>
  <c r="BL31" i="19"/>
  <c r="BM31" i="19" s="1"/>
  <c r="ED35" i="19"/>
  <c r="BL66" i="19"/>
  <c r="BM66" i="19" s="1"/>
  <c r="ED92" i="19"/>
  <c r="BL93" i="19"/>
  <c r="BM93" i="19" s="1"/>
  <c r="ED144" i="19"/>
  <c r="BL152" i="19"/>
  <c r="BM152" i="19" s="1"/>
  <c r="BY160" i="19"/>
  <c r="BL12" i="19"/>
  <c r="BM12" i="19" s="1"/>
  <c r="BL17" i="19"/>
  <c r="BM17" i="19" s="1"/>
  <c r="BL20" i="19"/>
  <c r="BM20" i="19" s="1"/>
  <c r="ED20" i="19"/>
  <c r="BL25" i="19"/>
  <c r="BM25" i="19" s="1"/>
  <c r="ED33" i="19"/>
  <c r="BL35" i="19"/>
  <c r="BM35" i="19" s="1"/>
  <c r="ED52" i="19"/>
  <c r="BL54" i="19"/>
  <c r="BM54" i="19" s="1"/>
  <c r="BL60" i="19"/>
  <c r="BM60" i="19" s="1"/>
  <c r="ED66" i="19"/>
  <c r="ED71" i="19"/>
  <c r="ED73" i="19"/>
  <c r="ED76" i="19"/>
  <c r="ED90" i="19"/>
  <c r="BY124" i="19"/>
  <c r="BY133" i="19"/>
  <c r="DI133" i="19" s="1"/>
  <c r="BL137" i="19"/>
  <c r="BM137" i="19" s="1"/>
  <c r="ED148" i="19"/>
  <c r="ED192" i="19"/>
  <c r="BL36" i="19"/>
  <c r="BM36" i="19" s="1"/>
  <c r="ED36" i="19"/>
  <c r="ED41" i="19"/>
  <c r="ED57" i="19"/>
  <c r="BL59" i="19"/>
  <c r="BM59" i="19" s="1"/>
  <c r="BL71" i="19"/>
  <c r="BM71" i="19" s="1"/>
  <c r="BL75" i="19"/>
  <c r="BM75" i="19" s="1"/>
  <c r="BL79" i="19"/>
  <c r="BM79" i="19" s="1"/>
  <c r="ED85" i="19"/>
  <c r="ED122" i="19"/>
  <c r="BL128" i="19"/>
  <c r="BM128" i="19" s="1"/>
  <c r="ED136" i="19"/>
  <c r="ED151" i="19"/>
  <c r="ED177" i="19"/>
  <c r="BL186" i="19"/>
  <c r="BM186" i="19" s="1"/>
  <c r="ED203" i="19"/>
  <c r="BL87" i="19"/>
  <c r="BM87" i="19" s="1"/>
  <c r="ED88" i="19"/>
  <c r="ED98" i="19"/>
  <c r="BL104" i="19"/>
  <c r="BM104" i="19" s="1"/>
  <c r="BL114" i="19"/>
  <c r="BM114" i="19" s="1"/>
  <c r="BL135" i="19"/>
  <c r="BM135" i="19" s="1"/>
  <c r="BL143" i="19"/>
  <c r="BM143" i="19" s="1"/>
  <c r="ED161" i="19"/>
  <c r="ED168" i="19"/>
  <c r="BL170" i="19"/>
  <c r="BM170" i="19" s="1"/>
  <c r="ED170" i="19"/>
  <c r="ED186" i="19"/>
  <c r="BL191" i="19"/>
  <c r="BM191" i="19" s="1"/>
  <c r="BL199" i="19"/>
  <c r="BM199" i="19" s="1"/>
  <c r="BL203" i="19"/>
  <c r="BM203" i="19" s="1"/>
  <c r="BL46" i="19"/>
  <c r="BM46" i="19" s="1"/>
  <c r="ED65" i="19"/>
  <c r="ED72" i="19"/>
  <c r="BL74" i="19"/>
  <c r="BM74" i="19" s="1"/>
  <c r="ED108" i="19"/>
  <c r="ED127" i="19"/>
  <c r="ED156" i="19"/>
  <c r="BY168" i="19"/>
  <c r="BL183" i="19"/>
  <c r="BM183" i="19" s="1"/>
  <c r="BL57" i="19"/>
  <c r="BM57" i="19" s="1"/>
  <c r="BL69" i="19"/>
  <c r="BM69" i="19" s="1"/>
  <c r="BL80" i="19"/>
  <c r="BM80" i="19" s="1"/>
  <c r="BL83" i="19"/>
  <c r="BM83" i="19" s="1"/>
  <c r="BL85" i="19"/>
  <c r="BM85" i="19" s="1"/>
  <c r="AI208" i="19"/>
  <c r="P208" i="19"/>
  <c r="AQ208" i="19"/>
  <c r="BJ208" i="19"/>
  <c r="BT208" i="19"/>
  <c r="BM11" i="19"/>
  <c r="BL24" i="19"/>
  <c r="BM24" i="19" s="1"/>
  <c r="BL34" i="19"/>
  <c r="BM34" i="19" s="1"/>
  <c r="BL38" i="19"/>
  <c r="BM38" i="19" s="1"/>
  <c r="BL41" i="19"/>
  <c r="BM41" i="19" s="1"/>
  <c r="BL58" i="19"/>
  <c r="BM58" i="19" s="1"/>
  <c r="BL61" i="19"/>
  <c r="BM61" i="19" s="1"/>
  <c r="BL86" i="19"/>
  <c r="BM86" i="19" s="1"/>
  <c r="BL88" i="19"/>
  <c r="BM88" i="19" s="1"/>
  <c r="BL103" i="19"/>
  <c r="BM103" i="19" s="1"/>
  <c r="ED133" i="19"/>
  <c r="AP208" i="19"/>
  <c r="BL108" i="19"/>
  <c r="BM108" i="19" s="1"/>
  <c r="AT208" i="19"/>
  <c r="BL8" i="19"/>
  <c r="BM8" i="19" s="1"/>
  <c r="BL28" i="19"/>
  <c r="BM28" i="19" s="1"/>
  <c r="BL68" i="19"/>
  <c r="BM68" i="19" s="1"/>
  <c r="BL70" i="19"/>
  <c r="BM70" i="19" s="1"/>
  <c r="BL72" i="19"/>
  <c r="BM72" i="19" s="1"/>
  <c r="BL77" i="19"/>
  <c r="BM77" i="19" s="1"/>
  <c r="BL97" i="19"/>
  <c r="BM97" i="19" s="1"/>
  <c r="BL102" i="19"/>
  <c r="BM102" i="19" s="1"/>
  <c r="Q198" i="19"/>
  <c r="BW198" i="19" s="1"/>
  <c r="BY201" i="19"/>
  <c r="BL201" i="19"/>
  <c r="BM201" i="19" s="1"/>
  <c r="BY204" i="19"/>
  <c r="BL204" i="19"/>
  <c r="BM204" i="19" s="1"/>
  <c r="BR208" i="19"/>
  <c r="BS208" i="19"/>
  <c r="BL42" i="19"/>
  <c r="BM42" i="19" s="1"/>
  <c r="BL45" i="19"/>
  <c r="BM45" i="19" s="1"/>
  <c r="Q50" i="19"/>
  <c r="BY50" i="19" s="1"/>
  <c r="Q70" i="19"/>
  <c r="BL89" i="19"/>
  <c r="BM89" i="19" s="1"/>
  <c r="BL99" i="19"/>
  <c r="BM99" i="19" s="1"/>
  <c r="Q102" i="19"/>
  <c r="BL131" i="19"/>
  <c r="BM131" i="19" s="1"/>
  <c r="BY193" i="19"/>
  <c r="DI193" i="19" s="1"/>
  <c r="BL193" i="19"/>
  <c r="BM193" i="19" s="1"/>
  <c r="BL33" i="19"/>
  <c r="BM33" i="19" s="1"/>
  <c r="BL76" i="19"/>
  <c r="BM76" i="19" s="1"/>
  <c r="BL49" i="19"/>
  <c r="BM49" i="19" s="1"/>
  <c r="BL43" i="19"/>
  <c r="BM43" i="19" s="1"/>
  <c r="BL50" i="19"/>
  <c r="BM50" i="19" s="1"/>
  <c r="BL53" i="19"/>
  <c r="BM53" i="19" s="1"/>
  <c r="Q58" i="19"/>
  <c r="BL63" i="19"/>
  <c r="BM63" i="19" s="1"/>
  <c r="BY116" i="19"/>
  <c r="BL116" i="19"/>
  <c r="BM116" i="19" s="1"/>
  <c r="Y208" i="19"/>
  <c r="BL32" i="19"/>
  <c r="BM32" i="19" s="1"/>
  <c r="Z208" i="19"/>
  <c r="BE208" i="19"/>
  <c r="BO208" i="19"/>
  <c r="Q37" i="19"/>
  <c r="BL37" i="19"/>
  <c r="BM37" i="19" s="1"/>
  <c r="Q42" i="19"/>
  <c r="BL56" i="19"/>
  <c r="BM56" i="19" s="1"/>
  <c r="BL62" i="19"/>
  <c r="BM62" i="19" s="1"/>
  <c r="BL64" i="19"/>
  <c r="BM64" i="19" s="1"/>
  <c r="Q89" i="19"/>
  <c r="BY117" i="19"/>
  <c r="DI117" i="19" s="1"/>
  <c r="BL117" i="19"/>
  <c r="BM117" i="19" s="1"/>
  <c r="BL119" i="19"/>
  <c r="BM119" i="19" s="1"/>
  <c r="BL156" i="19"/>
  <c r="BM156" i="19" s="1"/>
  <c r="AO208" i="19"/>
  <c r="BI208" i="19"/>
  <c r="BL101" i="19"/>
  <c r="BM101" i="19" s="1"/>
  <c r="BK208" i="19"/>
  <c r="BL16" i="19"/>
  <c r="BM16" i="19" s="1"/>
  <c r="AH208" i="19"/>
  <c r="BF208" i="19"/>
  <c r="BP208" i="19"/>
  <c r="BL15" i="19"/>
  <c r="BM15" i="19" s="1"/>
  <c r="BL23" i="19"/>
  <c r="BM23" i="19" s="1"/>
  <c r="ED23" i="19"/>
  <c r="BL27" i="19"/>
  <c r="BM27" i="19" s="1"/>
  <c r="BL48" i="19"/>
  <c r="BM48" i="19" s="1"/>
  <c r="ED48" i="19"/>
  <c r="ED60" i="19"/>
  <c r="Q62" i="19"/>
  <c r="BL78" i="19"/>
  <c r="BM78" i="19" s="1"/>
  <c r="Q87" i="19"/>
  <c r="BL111" i="19"/>
  <c r="BM111" i="19" s="1"/>
  <c r="BH208" i="19"/>
  <c r="BQ208" i="19"/>
  <c r="EC208" i="19"/>
  <c r="BL81" i="19"/>
  <c r="BM81" i="19" s="1"/>
  <c r="BL105" i="19"/>
  <c r="BM105" i="19" s="1"/>
  <c r="ED105" i="19"/>
  <c r="Q111" i="19"/>
  <c r="BL112" i="19"/>
  <c r="BM112" i="19" s="1"/>
  <c r="ED120" i="19"/>
  <c r="BY125" i="19"/>
  <c r="BL125" i="19"/>
  <c r="BM125" i="19" s="1"/>
  <c r="BL173" i="19"/>
  <c r="BM173" i="19" s="1"/>
  <c r="BL65" i="19"/>
  <c r="BM65" i="19" s="1"/>
  <c r="BL73" i="19"/>
  <c r="BM73" i="19" s="1"/>
  <c r="BL84" i="19"/>
  <c r="BM84" i="19" s="1"/>
  <c r="BL90" i="19"/>
  <c r="BM90" i="19" s="1"/>
  <c r="BY96" i="19"/>
  <c r="ED97" i="19"/>
  <c r="Q118" i="19"/>
  <c r="BY120" i="19"/>
  <c r="DI120" i="19" s="1"/>
  <c r="BL122" i="19"/>
  <c r="BM122" i="19" s="1"/>
  <c r="BL129" i="19"/>
  <c r="BM129" i="19" s="1"/>
  <c r="BL133" i="19"/>
  <c r="BM133" i="19" s="1"/>
  <c r="BY134" i="19"/>
  <c r="Q139" i="19"/>
  <c r="BL141" i="19"/>
  <c r="BM141" i="19" s="1"/>
  <c r="BL189" i="19"/>
  <c r="BM189" i="19" s="1"/>
  <c r="Q158" i="19"/>
  <c r="BW158" i="19" s="1"/>
  <c r="BC208" i="19"/>
  <c r="BU208" i="19"/>
  <c r="BL95" i="19"/>
  <c r="BM95" i="19" s="1"/>
  <c r="Q126" i="19"/>
  <c r="BW126" i="19" s="1"/>
  <c r="BL132" i="19"/>
  <c r="BM132" i="19" s="1"/>
  <c r="BW82" i="19"/>
  <c r="ED84" i="19"/>
  <c r="BL94" i="19"/>
  <c r="BM94" i="19" s="1"/>
  <c r="BY110" i="19"/>
  <c r="DI110" i="19" s="1"/>
  <c r="BL110" i="19"/>
  <c r="BM110" i="19" s="1"/>
  <c r="BL120" i="19"/>
  <c r="BM120" i="19" s="1"/>
  <c r="BY121" i="19"/>
  <c r="DI121" i="19" s="1"/>
  <c r="BL196" i="19"/>
  <c r="BM196" i="19" s="1"/>
  <c r="Q166" i="19"/>
  <c r="BL118" i="19"/>
  <c r="BM118" i="19" s="1"/>
  <c r="Q119" i="19"/>
  <c r="BL126" i="19"/>
  <c r="BM126" i="19" s="1"/>
  <c r="Q127" i="19"/>
  <c r="Q130" i="19"/>
  <c r="BL130" i="19"/>
  <c r="BM130" i="19" s="1"/>
  <c r="Q138" i="19"/>
  <c r="BL138" i="19"/>
  <c r="BM138" i="19" s="1"/>
  <c r="BL139" i="19"/>
  <c r="BM139" i="19" s="1"/>
  <c r="Q145" i="19"/>
  <c r="BY145" i="19" s="1"/>
  <c r="BL149" i="19"/>
  <c r="BM149" i="19" s="1"/>
  <c r="BL151" i="19"/>
  <c r="BM151" i="19" s="1"/>
  <c r="BW155" i="19"/>
  <c r="BL160" i="19"/>
  <c r="BM160" i="19" s="1"/>
  <c r="BY161" i="19"/>
  <c r="DI161" i="19" s="1"/>
  <c r="BY164" i="19"/>
  <c r="DI164" i="19" s="1"/>
  <c r="BL181" i="19"/>
  <c r="BM181" i="19" s="1"/>
  <c r="BL195" i="19"/>
  <c r="BM195" i="19" s="1"/>
  <c r="Q206" i="19"/>
  <c r="BY129" i="19"/>
  <c r="DI129" i="19" s="1"/>
  <c r="BY137" i="19"/>
  <c r="DI137" i="19" s="1"/>
  <c r="BL146" i="19"/>
  <c r="BM146" i="19" s="1"/>
  <c r="BY151" i="19"/>
  <c r="DI151" i="19" s="1"/>
  <c r="BL164" i="19"/>
  <c r="BM164" i="19" s="1"/>
  <c r="Q174" i="19"/>
  <c r="BL178" i="19"/>
  <c r="BM178" i="19" s="1"/>
  <c r="BY182" i="19"/>
  <c r="DI182" i="19" s="1"/>
  <c r="BL200" i="19"/>
  <c r="BM200" i="19" s="1"/>
  <c r="Q202" i="19"/>
  <c r="BL202" i="19"/>
  <c r="BM202" i="19" s="1"/>
  <c r="BY157" i="19"/>
  <c r="BL157" i="19"/>
  <c r="BM157" i="19" s="1"/>
  <c r="BL159" i="19"/>
  <c r="BM159" i="19" s="1"/>
  <c r="Q194" i="19"/>
  <c r="ED196" i="19"/>
  <c r="BY197" i="19"/>
  <c r="BL197" i="19"/>
  <c r="BM197" i="19" s="1"/>
  <c r="BL206" i="19"/>
  <c r="BM206" i="19" s="1"/>
  <c r="BL113" i="19"/>
  <c r="BM113" i="19" s="1"/>
  <c r="BL121" i="19"/>
  <c r="BM121" i="19" s="1"/>
  <c r="BL136" i="19"/>
  <c r="BM136" i="19" s="1"/>
  <c r="Q150" i="19"/>
  <c r="BL154" i="19"/>
  <c r="BM154" i="19" s="1"/>
  <c r="BL172" i="19"/>
  <c r="BM172" i="19" s="1"/>
  <c r="BL145" i="19"/>
  <c r="BM145" i="19" s="1"/>
  <c r="ED160" i="19"/>
  <c r="BL165" i="19"/>
  <c r="BM165" i="19" s="1"/>
  <c r="BL167" i="19"/>
  <c r="BM167" i="19" s="1"/>
  <c r="BL176" i="19"/>
  <c r="BM176" i="19" s="1"/>
  <c r="BY177" i="19"/>
  <c r="DI177" i="19" s="1"/>
  <c r="BL184" i="19"/>
  <c r="BM184" i="19" s="1"/>
  <c r="BL198" i="19"/>
  <c r="BM198" i="19" s="1"/>
  <c r="Q205" i="19"/>
  <c r="BL205" i="19"/>
  <c r="BM205" i="19" s="1"/>
  <c r="BL150" i="19"/>
  <c r="BM150" i="19" s="1"/>
  <c r="BL158" i="19"/>
  <c r="BM158" i="19" s="1"/>
  <c r="BL166" i="19"/>
  <c r="BM166" i="19" s="1"/>
  <c r="BL174" i="19"/>
  <c r="BM174" i="19" s="1"/>
  <c r="BL182" i="19"/>
  <c r="BM182" i="19" s="1"/>
  <c r="Q183" i="19"/>
  <c r="BL207" i="19"/>
  <c r="BM207" i="19" s="1"/>
  <c r="BL153" i="19"/>
  <c r="BM153" i="19" s="1"/>
  <c r="BL161" i="19"/>
  <c r="BM161" i="19" s="1"/>
  <c r="BL169" i="19"/>
  <c r="BM169" i="19" s="1"/>
  <c r="BL177" i="19"/>
  <c r="BM177" i="19" s="1"/>
  <c r="BL185" i="19"/>
  <c r="BM185" i="19" s="1"/>
  <c r="L39" i="21" l="1"/>
  <c r="O23" i="21"/>
  <c r="BY150" i="19"/>
  <c r="BY194" i="19"/>
  <c r="DI194" i="19" s="1"/>
  <c r="BY89" i="19"/>
  <c r="BY179" i="19"/>
  <c r="DI179" i="19" s="1"/>
  <c r="BW183" i="19"/>
  <c r="BW119" i="19"/>
  <c r="BY202" i="19"/>
  <c r="DI202" i="19" s="1"/>
  <c r="BY42" i="19"/>
  <c r="BW70" i="19"/>
  <c r="BW189" i="19"/>
  <c r="BW167" i="19"/>
  <c r="BY112" i="19"/>
  <c r="BW66" i="19"/>
  <c r="BW166" i="19"/>
  <c r="G42" i="1"/>
  <c r="U26" i="1" s="1"/>
  <c r="U42" i="1" s="1"/>
  <c r="S26" i="1"/>
  <c r="F42" i="1"/>
  <c r="T26" i="1" s="1"/>
  <c r="T42" i="1" s="1"/>
  <c r="S23" i="21"/>
  <c r="V23" i="21" s="1"/>
  <c r="H23" i="21"/>
  <c r="V48" i="21"/>
  <c r="O48" i="21"/>
  <c r="H26" i="1"/>
  <c r="BV208" i="19"/>
  <c r="BY203" i="19"/>
  <c r="BY205" i="19"/>
  <c r="DI205" i="19" s="1"/>
  <c r="BY138" i="19"/>
  <c r="DI138" i="19" s="1"/>
  <c r="BW52" i="19"/>
  <c r="BW34" i="19"/>
  <c r="BW43" i="19"/>
  <c r="BY206" i="19"/>
  <c r="BY109" i="19"/>
  <c r="BY156" i="19"/>
  <c r="BY180" i="19"/>
  <c r="BY169" i="19"/>
  <c r="BW186" i="19"/>
  <c r="BY103" i="19"/>
  <c r="BY191" i="19"/>
  <c r="BY188" i="19"/>
  <c r="BY174" i="19"/>
  <c r="BW64" i="19"/>
  <c r="BW73" i="19"/>
  <c r="BW51" i="19"/>
  <c r="BY114" i="19"/>
  <c r="BY99" i="19"/>
  <c r="BY196" i="19"/>
  <c r="BW62" i="19"/>
  <c r="BY58" i="19"/>
  <c r="DI58" i="19" s="1"/>
  <c r="BY158" i="19"/>
  <c r="DI158" i="19" s="1"/>
  <c r="BY183" i="19"/>
  <c r="DI183" i="19" s="1"/>
  <c r="BY198" i="19"/>
  <c r="BW163" i="19"/>
  <c r="BW142" i="19"/>
  <c r="BY111" i="19"/>
  <c r="DI111" i="19" s="1"/>
  <c r="BY127" i="19"/>
  <c r="DI127" i="19" s="1"/>
  <c r="BW95" i="19"/>
  <c r="BY102" i="19"/>
  <c r="BY87" i="19"/>
  <c r="DI87" i="19" s="1"/>
  <c r="BY37" i="19"/>
  <c r="BW187" i="19"/>
  <c r="BW14" i="19"/>
  <c r="BY130" i="19"/>
  <c r="DI130" i="19" s="1"/>
  <c r="BY139" i="19"/>
  <c r="BY62" i="19"/>
  <c r="DI62" i="19" s="1"/>
  <c r="BW191" i="19"/>
  <c r="BW92" i="19"/>
  <c r="BW172" i="19"/>
  <c r="BW93" i="19"/>
  <c r="EB208" i="19"/>
  <c r="BY166" i="19"/>
  <c r="DI166" i="19" s="1"/>
  <c r="BY119" i="19"/>
  <c r="DI119" i="19" s="1"/>
  <c r="BW143" i="19"/>
  <c r="BW63" i="19"/>
  <c r="BW168" i="19"/>
  <c r="BY118" i="19"/>
  <c r="DI118" i="19" s="1"/>
  <c r="BY126" i="19"/>
  <c r="BY70" i="19"/>
  <c r="DI70" i="19" s="1"/>
  <c r="BW148" i="19"/>
  <c r="BW150" i="19"/>
  <c r="BW165" i="19"/>
  <c r="BW59" i="19"/>
  <c r="BW184" i="19"/>
  <c r="BW8" i="19"/>
  <c r="BW54" i="19"/>
  <c r="BW26" i="19"/>
  <c r="BW174" i="19"/>
  <c r="BW133" i="19"/>
  <c r="BW123" i="19"/>
  <c r="BW88" i="19"/>
  <c r="BW17" i="19"/>
  <c r="BW103" i="19"/>
  <c r="BW105" i="19"/>
  <c r="BW125" i="19"/>
  <c r="BW87" i="19"/>
  <c r="BW169" i="19"/>
  <c r="BW164" i="19"/>
  <c r="BW104" i="19"/>
  <c r="BW69" i="19"/>
  <c r="BW98" i="19"/>
  <c r="BW153" i="19"/>
  <c r="BW47" i="19"/>
  <c r="BW115" i="19"/>
  <c r="BW10" i="19"/>
  <c r="BW185" i="19"/>
  <c r="BW161" i="19"/>
  <c r="BW83" i="19"/>
  <c r="BW141" i="19"/>
  <c r="BW96" i="19"/>
  <c r="BW173" i="19"/>
  <c r="BW109" i="19"/>
  <c r="BW101" i="19"/>
  <c r="BW15" i="19"/>
  <c r="BW77" i="19"/>
  <c r="BW65" i="19"/>
  <c r="BW147" i="19"/>
  <c r="BW39" i="19"/>
  <c r="BW46" i="19"/>
  <c r="BW176" i="19"/>
  <c r="BW40" i="19"/>
  <c r="BW48" i="19"/>
  <c r="BW28" i="19"/>
  <c r="BW44" i="19"/>
  <c r="BW207" i="19"/>
  <c r="BW106" i="19"/>
  <c r="BW131" i="19"/>
  <c r="BW107" i="19"/>
  <c r="BW151" i="19"/>
  <c r="BW195" i="19"/>
  <c r="BW72" i="19"/>
  <c r="BW135" i="19"/>
  <c r="BW128" i="19"/>
  <c r="BW134" i="19"/>
  <c r="BW120" i="19"/>
  <c r="BW55" i="19"/>
  <c r="BW18" i="19"/>
  <c r="BW80" i="19"/>
  <c r="BW57" i="19"/>
  <c r="BW122" i="19"/>
  <c r="BW136" i="19"/>
  <c r="BW140" i="19"/>
  <c r="BW192" i="19"/>
  <c r="BW190" i="19"/>
  <c r="BW204" i="19"/>
  <c r="BW108" i="19"/>
  <c r="BW29" i="19"/>
  <c r="BW74" i="19"/>
  <c r="BW199" i="19"/>
  <c r="BW38" i="19"/>
  <c r="BW124" i="19"/>
  <c r="BW129" i="19"/>
  <c r="BW23" i="19"/>
  <c r="BW200" i="19"/>
  <c r="BW180" i="19"/>
  <c r="BW203" i="19"/>
  <c r="BW157" i="19"/>
  <c r="BW156" i="19"/>
  <c r="BW100" i="19"/>
  <c r="BW22" i="19"/>
  <c r="BW36" i="19"/>
  <c r="BW60" i="19"/>
  <c r="BW116" i="19"/>
  <c r="BW76" i="19"/>
  <c r="BW196" i="19"/>
  <c r="BW159" i="19"/>
  <c r="BW182" i="19"/>
  <c r="BW137" i="19"/>
  <c r="BW181" i="19"/>
  <c r="BW149" i="19"/>
  <c r="BW127" i="19"/>
  <c r="BW152" i="19"/>
  <c r="BW132" i="19"/>
  <c r="BW113" i="19"/>
  <c r="BW81" i="19"/>
  <c r="BW78" i="19"/>
  <c r="BW20" i="19"/>
  <c r="BW117" i="19"/>
  <c r="BW75" i="19"/>
  <c r="BW97" i="19"/>
  <c r="BW11" i="19"/>
  <c r="BW41" i="19"/>
  <c r="BW12" i="19"/>
  <c r="BW188" i="19"/>
  <c r="BW154" i="19"/>
  <c r="BW170" i="19"/>
  <c r="BW160" i="19"/>
  <c r="BW71" i="19"/>
  <c r="BW16" i="19"/>
  <c r="BW32" i="19"/>
  <c r="BW53" i="19"/>
  <c r="BW49" i="19"/>
  <c r="BW24" i="19"/>
  <c r="BW21" i="19"/>
  <c r="BW177" i="19"/>
  <c r="BW144" i="19"/>
  <c r="BW197" i="19"/>
  <c r="BW110" i="19"/>
  <c r="BW146" i="19"/>
  <c r="BW139" i="19"/>
  <c r="BW19" i="19"/>
  <c r="BW61" i="19"/>
  <c r="BW90" i="19"/>
  <c r="BW121" i="19"/>
  <c r="BW94" i="19"/>
  <c r="BW193" i="19"/>
  <c r="BW67" i="19"/>
  <c r="BW89" i="19"/>
  <c r="BW56" i="19"/>
  <c r="BW27" i="19"/>
  <c r="BW31" i="19"/>
  <c r="BW33" i="19"/>
  <c r="BW45" i="19"/>
  <c r="BW201" i="19"/>
  <c r="BW79" i="19"/>
  <c r="BW68" i="19"/>
  <c r="BW86" i="19"/>
  <c r="BW85" i="19"/>
  <c r="BW178" i="19"/>
  <c r="BW99" i="19"/>
  <c r="BW162" i="19"/>
  <c r="BW13" i="19"/>
  <c r="ED208" i="19"/>
  <c r="BW37" i="19"/>
  <c r="BW138" i="19"/>
  <c r="BW194" i="19"/>
  <c r="BW111" i="19"/>
  <c r="BW50" i="19"/>
  <c r="BW102" i="19"/>
  <c r="BW202" i="19"/>
  <c r="BW130" i="19"/>
  <c r="BW118" i="19"/>
  <c r="BL208" i="19"/>
  <c r="BW206" i="19"/>
  <c r="BW205" i="19"/>
  <c r="BW145" i="19"/>
  <c r="BW42" i="19"/>
  <c r="BW58" i="19"/>
  <c r="Q208" i="19"/>
  <c r="BM208" i="19"/>
  <c r="O39" i="21" l="1"/>
  <c r="V26" i="1"/>
  <c r="BY208" i="19"/>
  <c r="BW208" i="19"/>
  <c r="CM193" i="17" l="1"/>
  <c r="CM194" i="17"/>
  <c r="CM195" i="17"/>
  <c r="CM196" i="17"/>
  <c r="CM197" i="17"/>
  <c r="CM198" i="17"/>
  <c r="CM199" i="17"/>
  <c r="CM200" i="17"/>
  <c r="CL193" i="17"/>
  <c r="CL194" i="17"/>
  <c r="CL195" i="17"/>
  <c r="CL196" i="17"/>
  <c r="CL197" i="17"/>
  <c r="CL198" i="17"/>
  <c r="CL199" i="17"/>
  <c r="CL200" i="17"/>
  <c r="CJ120" i="17"/>
  <c r="CJ193" i="17"/>
  <c r="CJ194" i="17"/>
  <c r="CJ195" i="17"/>
  <c r="CJ196" i="17"/>
  <c r="CJ197" i="17"/>
  <c r="CJ198" i="17"/>
  <c r="CJ199" i="17"/>
  <c r="CJ200" i="17"/>
  <c r="CI6" i="17"/>
  <c r="CI7" i="17"/>
  <c r="CI8" i="17"/>
  <c r="CI9" i="17"/>
  <c r="CI10" i="17"/>
  <c r="CI11" i="17"/>
  <c r="CI12" i="17"/>
  <c r="CI13" i="17"/>
  <c r="CI14" i="17"/>
  <c r="CI15" i="17"/>
  <c r="CI16" i="17"/>
  <c r="CI17" i="17"/>
  <c r="CI18" i="17"/>
  <c r="CI19" i="17"/>
  <c r="CI20" i="17"/>
  <c r="CI21" i="17"/>
  <c r="CI22" i="17"/>
  <c r="CI23" i="17"/>
  <c r="CI24" i="17"/>
  <c r="CI25" i="17"/>
  <c r="CI26" i="17"/>
  <c r="CI27" i="17"/>
  <c r="CI28" i="17"/>
  <c r="CI29" i="17"/>
  <c r="CI30" i="17"/>
  <c r="CI31" i="17"/>
  <c r="CI32" i="17"/>
  <c r="CI33" i="17"/>
  <c r="CI34" i="17"/>
  <c r="CI35" i="17"/>
  <c r="CI36" i="17"/>
  <c r="CI37" i="17"/>
  <c r="CI38" i="17"/>
  <c r="CI39" i="17"/>
  <c r="CI40" i="17"/>
  <c r="CI41" i="17"/>
  <c r="CI42" i="17"/>
  <c r="CI43" i="17"/>
  <c r="CI44" i="17"/>
  <c r="CI45" i="17"/>
  <c r="CI46" i="17"/>
  <c r="CI47" i="17"/>
  <c r="CI48" i="17"/>
  <c r="CI49" i="17"/>
  <c r="CI50" i="17"/>
  <c r="CI51" i="17"/>
  <c r="CI52" i="17"/>
  <c r="CI53" i="17"/>
  <c r="CI54" i="17"/>
  <c r="CI55" i="17"/>
  <c r="CI56" i="17"/>
  <c r="CI57" i="17"/>
  <c r="CI58" i="17"/>
  <c r="CI59" i="17"/>
  <c r="CI60" i="17"/>
  <c r="CI61" i="17"/>
  <c r="CI62" i="17"/>
  <c r="CI63" i="17"/>
  <c r="CI64" i="17"/>
  <c r="CI65" i="17"/>
  <c r="CI66" i="17"/>
  <c r="CI67" i="17"/>
  <c r="CI68" i="17"/>
  <c r="CI69" i="17"/>
  <c r="CI70" i="17"/>
  <c r="CI71" i="17"/>
  <c r="CI72" i="17"/>
  <c r="CI73" i="17"/>
  <c r="CI74" i="17"/>
  <c r="CI75" i="17"/>
  <c r="CI76" i="17"/>
  <c r="CI77" i="17"/>
  <c r="CI78" i="17"/>
  <c r="CI79" i="17"/>
  <c r="CI80" i="17"/>
  <c r="CI81" i="17"/>
  <c r="CI82" i="17"/>
  <c r="CI83" i="17"/>
  <c r="CI84" i="17"/>
  <c r="CI85" i="17"/>
  <c r="CI86" i="17"/>
  <c r="CI87" i="17"/>
  <c r="CI88" i="17"/>
  <c r="CI89" i="17"/>
  <c r="CI90" i="17"/>
  <c r="CI91" i="17"/>
  <c r="CI92" i="17"/>
  <c r="CI93" i="17"/>
  <c r="CI94" i="17"/>
  <c r="CI95" i="17"/>
  <c r="CI96" i="17"/>
  <c r="CI97" i="17"/>
  <c r="CI98" i="17"/>
  <c r="CI99" i="17"/>
  <c r="CI100" i="17"/>
  <c r="CI101" i="17"/>
  <c r="CI102" i="17"/>
  <c r="CI103" i="17"/>
  <c r="CI104" i="17"/>
  <c r="CI105" i="17"/>
  <c r="CI106" i="17"/>
  <c r="CI107" i="17"/>
  <c r="CI108" i="17"/>
  <c r="CI109" i="17"/>
  <c r="CI110" i="17"/>
  <c r="CI111" i="17"/>
  <c r="CI112" i="17"/>
  <c r="CI113" i="17"/>
  <c r="CI114" i="17"/>
  <c r="CI115" i="17"/>
  <c r="CI116" i="17"/>
  <c r="CI117" i="17"/>
  <c r="CI118" i="17"/>
  <c r="CI119" i="17"/>
  <c r="CI120" i="17"/>
  <c r="CI121" i="17"/>
  <c r="CI122" i="17"/>
  <c r="CI123" i="17"/>
  <c r="CI124" i="17"/>
  <c r="CI125" i="17"/>
  <c r="CI126" i="17"/>
  <c r="CI127" i="17"/>
  <c r="CI128" i="17"/>
  <c r="CI129" i="17"/>
  <c r="CI130" i="17"/>
  <c r="CI131" i="17"/>
  <c r="CI132" i="17"/>
  <c r="CI133" i="17"/>
  <c r="CI134" i="17"/>
  <c r="CI135" i="17"/>
  <c r="CI136" i="17"/>
  <c r="CI137" i="17"/>
  <c r="CI138" i="17"/>
  <c r="CI139" i="17"/>
  <c r="CI140" i="17"/>
  <c r="CI141" i="17"/>
  <c r="CI142" i="17"/>
  <c r="CI143" i="17"/>
  <c r="CI144" i="17"/>
  <c r="CI145" i="17"/>
  <c r="CI146" i="17"/>
  <c r="CI147" i="17"/>
  <c r="CI148" i="17"/>
  <c r="CI149" i="17"/>
  <c r="CI150" i="17"/>
  <c r="CI151" i="17"/>
  <c r="CI152" i="17"/>
  <c r="CI153" i="17"/>
  <c r="CI154" i="17"/>
  <c r="CI155" i="17"/>
  <c r="CI156" i="17"/>
  <c r="CI157" i="17"/>
  <c r="CI158" i="17"/>
  <c r="CI159" i="17"/>
  <c r="CI160" i="17"/>
  <c r="CI161" i="17"/>
  <c r="CI162" i="17"/>
  <c r="CI163" i="17"/>
  <c r="CI164" i="17"/>
  <c r="CI165" i="17"/>
  <c r="CI166" i="17"/>
  <c r="CI167" i="17"/>
  <c r="CI168" i="17"/>
  <c r="CI169" i="17"/>
  <c r="CI170" i="17"/>
  <c r="CI171" i="17"/>
  <c r="CI172" i="17"/>
  <c r="CI173" i="17"/>
  <c r="CI174" i="17"/>
  <c r="CI175" i="17"/>
  <c r="CI176" i="17"/>
  <c r="CI177" i="17"/>
  <c r="CI178" i="17"/>
  <c r="CI179" i="17"/>
  <c r="CI180" i="17"/>
  <c r="CI181" i="17"/>
  <c r="CI182" i="17"/>
  <c r="CI183" i="17"/>
  <c r="CI184" i="17"/>
  <c r="CI185" i="17"/>
  <c r="CI186" i="17"/>
  <c r="CI187" i="17"/>
  <c r="CI188" i="17"/>
  <c r="CI189" i="17"/>
  <c r="CI190" i="17"/>
  <c r="CI191" i="17"/>
  <c r="CI192" i="17"/>
  <c r="CI193" i="17"/>
  <c r="CI194" i="17"/>
  <c r="CI195" i="17"/>
  <c r="CI196" i="17"/>
  <c r="CI197" i="17"/>
  <c r="CI198" i="17"/>
  <c r="CI199" i="17"/>
  <c r="CI200" i="17"/>
  <c r="CH6" i="17"/>
  <c r="CH7" i="17"/>
  <c r="CH8" i="17"/>
  <c r="CH9" i="17"/>
  <c r="CH10" i="17"/>
  <c r="CH11" i="17"/>
  <c r="CH12" i="17"/>
  <c r="CH13" i="17"/>
  <c r="CH14" i="17"/>
  <c r="CH15" i="17"/>
  <c r="CH16" i="17"/>
  <c r="CH17" i="17"/>
  <c r="CH18" i="17"/>
  <c r="CH19" i="17"/>
  <c r="CH20" i="17"/>
  <c r="CH21" i="17"/>
  <c r="CH22" i="17"/>
  <c r="CH23" i="17"/>
  <c r="CH24" i="17"/>
  <c r="CH25" i="17"/>
  <c r="CH26" i="17"/>
  <c r="CH27" i="17"/>
  <c r="CH28" i="17"/>
  <c r="CH29" i="17"/>
  <c r="CH30" i="17"/>
  <c r="CH31" i="17"/>
  <c r="CH32" i="17"/>
  <c r="CH33" i="17"/>
  <c r="CH34" i="17"/>
  <c r="CH35" i="17"/>
  <c r="CH36" i="17"/>
  <c r="CH37" i="17"/>
  <c r="CH38" i="17"/>
  <c r="CH39" i="17"/>
  <c r="CH40" i="17"/>
  <c r="CH41" i="17"/>
  <c r="CH42" i="17"/>
  <c r="CH43" i="17"/>
  <c r="CH44" i="17"/>
  <c r="CH45" i="17"/>
  <c r="CH46" i="17"/>
  <c r="CH47" i="17"/>
  <c r="CH48" i="17"/>
  <c r="CH49" i="17"/>
  <c r="CH50" i="17"/>
  <c r="CH51" i="17"/>
  <c r="CH52" i="17"/>
  <c r="CH53" i="17"/>
  <c r="CH54" i="17"/>
  <c r="CH55" i="17"/>
  <c r="CH56" i="17"/>
  <c r="CH57" i="17"/>
  <c r="CH58" i="17"/>
  <c r="CH59" i="17"/>
  <c r="CH60" i="17"/>
  <c r="CH61" i="17"/>
  <c r="CH62" i="17"/>
  <c r="CH63" i="17"/>
  <c r="CH64" i="17"/>
  <c r="CH65" i="17"/>
  <c r="CH66" i="17"/>
  <c r="CH67" i="17"/>
  <c r="CH68" i="17"/>
  <c r="CH69" i="17"/>
  <c r="CH70" i="17"/>
  <c r="CH71" i="17"/>
  <c r="CH72" i="17"/>
  <c r="CH73" i="17"/>
  <c r="CH74" i="17"/>
  <c r="CH75" i="17"/>
  <c r="CH76" i="17"/>
  <c r="CH77" i="17"/>
  <c r="CH78" i="17"/>
  <c r="CH79" i="17"/>
  <c r="CH80" i="17"/>
  <c r="CH81" i="17"/>
  <c r="CH82" i="17"/>
  <c r="CH83" i="17"/>
  <c r="CH84" i="17"/>
  <c r="CH85" i="17"/>
  <c r="CH86" i="17"/>
  <c r="CH87" i="17"/>
  <c r="CH88" i="17"/>
  <c r="CH89" i="17"/>
  <c r="CH90" i="17"/>
  <c r="CH91" i="17"/>
  <c r="CH92" i="17"/>
  <c r="CH93" i="17"/>
  <c r="CH94" i="17"/>
  <c r="CH95" i="17"/>
  <c r="CH96" i="17"/>
  <c r="CH97" i="17"/>
  <c r="CH98" i="17"/>
  <c r="CH99" i="17"/>
  <c r="CH100" i="17"/>
  <c r="CH101" i="17"/>
  <c r="CH102" i="17"/>
  <c r="CH103" i="17"/>
  <c r="CH104" i="17"/>
  <c r="CH105" i="17"/>
  <c r="CH106" i="17"/>
  <c r="CH107" i="17"/>
  <c r="CH108" i="17"/>
  <c r="CH109" i="17"/>
  <c r="CH110" i="17"/>
  <c r="CH111" i="17"/>
  <c r="CH112" i="17"/>
  <c r="CH113" i="17"/>
  <c r="CH114" i="17"/>
  <c r="CH115" i="17"/>
  <c r="CH116" i="17"/>
  <c r="CH117" i="17"/>
  <c r="CH118" i="17"/>
  <c r="CH119" i="17"/>
  <c r="CH120" i="17"/>
  <c r="CH121" i="17"/>
  <c r="CH122" i="17"/>
  <c r="CH123" i="17"/>
  <c r="CH124" i="17"/>
  <c r="CH125" i="17"/>
  <c r="CH126" i="17"/>
  <c r="CH127" i="17"/>
  <c r="CH128" i="17"/>
  <c r="CH129" i="17"/>
  <c r="CH130" i="17"/>
  <c r="CH131" i="17"/>
  <c r="CH132" i="17"/>
  <c r="CH133" i="17"/>
  <c r="CH134" i="17"/>
  <c r="CH135" i="17"/>
  <c r="CH136" i="17"/>
  <c r="CH137" i="17"/>
  <c r="CH138" i="17"/>
  <c r="CH139" i="17"/>
  <c r="CH140" i="17"/>
  <c r="CH141" i="17"/>
  <c r="CH142" i="17"/>
  <c r="CH143" i="17"/>
  <c r="CH144" i="17"/>
  <c r="CH145" i="17"/>
  <c r="CH146" i="17"/>
  <c r="CH147" i="17"/>
  <c r="CH148" i="17"/>
  <c r="CH149" i="17"/>
  <c r="CH150" i="17"/>
  <c r="CH151" i="17"/>
  <c r="CH152" i="17"/>
  <c r="CH153" i="17"/>
  <c r="CH154" i="17"/>
  <c r="CH155" i="17"/>
  <c r="CH156" i="17"/>
  <c r="CH157" i="17"/>
  <c r="CH158" i="17"/>
  <c r="CH159" i="17"/>
  <c r="CH160" i="17"/>
  <c r="CH161" i="17"/>
  <c r="CH162" i="17"/>
  <c r="CH163" i="17"/>
  <c r="CH164" i="17"/>
  <c r="CH165" i="17"/>
  <c r="CH166" i="17"/>
  <c r="CH167" i="17"/>
  <c r="CH168" i="17"/>
  <c r="CH169" i="17"/>
  <c r="CH170" i="17"/>
  <c r="CH171" i="17"/>
  <c r="CH172" i="17"/>
  <c r="CH173" i="17"/>
  <c r="CH174" i="17"/>
  <c r="CH175" i="17"/>
  <c r="CH176" i="17"/>
  <c r="CH177" i="17"/>
  <c r="CH178" i="17"/>
  <c r="CH179" i="17"/>
  <c r="CH180" i="17"/>
  <c r="CH181" i="17"/>
  <c r="CH182" i="17"/>
  <c r="CH183" i="17"/>
  <c r="CH184" i="17"/>
  <c r="CH185" i="17"/>
  <c r="CH186" i="17"/>
  <c r="CH187" i="17"/>
  <c r="CH188" i="17"/>
  <c r="CH189" i="17"/>
  <c r="CH190" i="17"/>
  <c r="CH191" i="17"/>
  <c r="CH192" i="17"/>
  <c r="CH193" i="17"/>
  <c r="CH194" i="17"/>
  <c r="CH195" i="17"/>
  <c r="CH196" i="17"/>
  <c r="CH197" i="17"/>
  <c r="CH198" i="17"/>
  <c r="CH199" i="17"/>
  <c r="CH200" i="17"/>
  <c r="CI5" i="17"/>
  <c r="CH5" i="17"/>
  <c r="CG5" i="17"/>
  <c r="CG6" i="17"/>
  <c r="CG7" i="17"/>
  <c r="CG8" i="17"/>
  <c r="CG9" i="17"/>
  <c r="CG10" i="17"/>
  <c r="CG11" i="17"/>
  <c r="CG12" i="17"/>
  <c r="CG13" i="17"/>
  <c r="CG14" i="17"/>
  <c r="CG15" i="17"/>
  <c r="CG16" i="17"/>
  <c r="CG17" i="17"/>
  <c r="CG18" i="17"/>
  <c r="CG19" i="17"/>
  <c r="CG20" i="17"/>
  <c r="CG21" i="17"/>
  <c r="CG22" i="17"/>
  <c r="CG23" i="17"/>
  <c r="CG24" i="17"/>
  <c r="CG25" i="17"/>
  <c r="CG26" i="17"/>
  <c r="CG27" i="17"/>
  <c r="CG28" i="17"/>
  <c r="CG29" i="17"/>
  <c r="CG30" i="17"/>
  <c r="CG31" i="17"/>
  <c r="CG32" i="17"/>
  <c r="CG33" i="17"/>
  <c r="CG34" i="17"/>
  <c r="CG35" i="17"/>
  <c r="CG36" i="17"/>
  <c r="CG37" i="17"/>
  <c r="CG38" i="17"/>
  <c r="CG39" i="17"/>
  <c r="CG40" i="17"/>
  <c r="CG41" i="17"/>
  <c r="CG42" i="17"/>
  <c r="CG43" i="17"/>
  <c r="CG44" i="17"/>
  <c r="CG45" i="17"/>
  <c r="CG46" i="17"/>
  <c r="CG47" i="17"/>
  <c r="CG48" i="17"/>
  <c r="CG49" i="17"/>
  <c r="CG50" i="17"/>
  <c r="CG51" i="17"/>
  <c r="CG52" i="17"/>
  <c r="CG53" i="17"/>
  <c r="CG54" i="17"/>
  <c r="CG55" i="17"/>
  <c r="CG56" i="17"/>
  <c r="CG57" i="17"/>
  <c r="CG58" i="17"/>
  <c r="CG59" i="17"/>
  <c r="CG60" i="17"/>
  <c r="CG61" i="17"/>
  <c r="CG62" i="17"/>
  <c r="CG63" i="17"/>
  <c r="CG64" i="17"/>
  <c r="CG65" i="17"/>
  <c r="CG66" i="17"/>
  <c r="CG67" i="17"/>
  <c r="CG68" i="17"/>
  <c r="CG69" i="17"/>
  <c r="CG70" i="17"/>
  <c r="CG71" i="17"/>
  <c r="CG72" i="17"/>
  <c r="CG73" i="17"/>
  <c r="CG74" i="17"/>
  <c r="CG75" i="17"/>
  <c r="CG76" i="17"/>
  <c r="CG77" i="17"/>
  <c r="CG78" i="17"/>
  <c r="CG79" i="17"/>
  <c r="CG80" i="17"/>
  <c r="CG81" i="17"/>
  <c r="CG82" i="17"/>
  <c r="CG83" i="17"/>
  <c r="CG84" i="17"/>
  <c r="CG85" i="17"/>
  <c r="CG86" i="17"/>
  <c r="CG87" i="17"/>
  <c r="CG88" i="17"/>
  <c r="CG89" i="17"/>
  <c r="CG90" i="17"/>
  <c r="CG91" i="17"/>
  <c r="CG92" i="17"/>
  <c r="CG93" i="17"/>
  <c r="CG94" i="17"/>
  <c r="CG95" i="17"/>
  <c r="CG96" i="17"/>
  <c r="CG97" i="17"/>
  <c r="CG98" i="17"/>
  <c r="CG99" i="17"/>
  <c r="CG100" i="17"/>
  <c r="CG101" i="17"/>
  <c r="CG102" i="17"/>
  <c r="CG103" i="17"/>
  <c r="CG104" i="17"/>
  <c r="CG105" i="17"/>
  <c r="CG106" i="17"/>
  <c r="CG107" i="17"/>
  <c r="CG108" i="17"/>
  <c r="CG109" i="17"/>
  <c r="CG110" i="17"/>
  <c r="CG111" i="17"/>
  <c r="CG112" i="17"/>
  <c r="CG113" i="17"/>
  <c r="CG114" i="17"/>
  <c r="CG115" i="17"/>
  <c r="CG116" i="17"/>
  <c r="CG117" i="17"/>
  <c r="CG118" i="17"/>
  <c r="CG119" i="17"/>
  <c r="CG120" i="17"/>
  <c r="CG121" i="17"/>
  <c r="CG122" i="17"/>
  <c r="CG123" i="17"/>
  <c r="CG124" i="17"/>
  <c r="CG125" i="17"/>
  <c r="CG126" i="17"/>
  <c r="CG127" i="17"/>
  <c r="CG128" i="17"/>
  <c r="CG129" i="17"/>
  <c r="CG130" i="17"/>
  <c r="CG131" i="17"/>
  <c r="CG132" i="17"/>
  <c r="CG133" i="17"/>
  <c r="CG134" i="17"/>
  <c r="CG135" i="17"/>
  <c r="CG136" i="17"/>
  <c r="CG137" i="17"/>
  <c r="CG138" i="17"/>
  <c r="CG139" i="17"/>
  <c r="CG140" i="17"/>
  <c r="CG141" i="17"/>
  <c r="CG142" i="17"/>
  <c r="CG143" i="17"/>
  <c r="CG144" i="17"/>
  <c r="CG145" i="17"/>
  <c r="CG146" i="17"/>
  <c r="CG147" i="17"/>
  <c r="CG148" i="17"/>
  <c r="CG149" i="17"/>
  <c r="CG150" i="17"/>
  <c r="CG151" i="17"/>
  <c r="CG152" i="17"/>
  <c r="CG153" i="17"/>
  <c r="CG154" i="17"/>
  <c r="CG155" i="17"/>
  <c r="CG156" i="17"/>
  <c r="CG157" i="17"/>
  <c r="CG158" i="17"/>
  <c r="CG159" i="17"/>
  <c r="CG160" i="17"/>
  <c r="CG161" i="17"/>
  <c r="CG162" i="17"/>
  <c r="CG163" i="17"/>
  <c r="CG164" i="17"/>
  <c r="CG165" i="17"/>
  <c r="CG166" i="17"/>
  <c r="CG167" i="17"/>
  <c r="CG168" i="17"/>
  <c r="CG169" i="17"/>
  <c r="CG170" i="17"/>
  <c r="CG171" i="17"/>
  <c r="CG172" i="17"/>
  <c r="CG173" i="17"/>
  <c r="CG174" i="17"/>
  <c r="CG175" i="17"/>
  <c r="CG176" i="17"/>
  <c r="CG177" i="17"/>
  <c r="CG178" i="17"/>
  <c r="CG179" i="17"/>
  <c r="CG180" i="17"/>
  <c r="CG181" i="17"/>
  <c r="CG182" i="17"/>
  <c r="CG183" i="17"/>
  <c r="CG184" i="17"/>
  <c r="CG185" i="17"/>
  <c r="CG186" i="17"/>
  <c r="CG187" i="17"/>
  <c r="CG188" i="17"/>
  <c r="CG189" i="17"/>
  <c r="CG190" i="17"/>
  <c r="CG191" i="17"/>
  <c r="CG192" i="17"/>
  <c r="CG193" i="17"/>
  <c r="CG194" i="17"/>
  <c r="CG195" i="17"/>
  <c r="CG196" i="17"/>
  <c r="CG197" i="17"/>
  <c r="CG198" i="17"/>
  <c r="CG199" i="17"/>
  <c r="CG200" i="17"/>
  <c r="CE26" i="17"/>
  <c r="CC193" i="17"/>
  <c r="CD193" i="17"/>
  <c r="CE193" i="17"/>
  <c r="CF193" i="17"/>
  <c r="CC194" i="17"/>
  <c r="CD194" i="17"/>
  <c r="CE194" i="17"/>
  <c r="CF194" i="17"/>
  <c r="CC195" i="17"/>
  <c r="CD195" i="17"/>
  <c r="CE195" i="17"/>
  <c r="CF195" i="17"/>
  <c r="CC196" i="17"/>
  <c r="CD196" i="17"/>
  <c r="CE196" i="17"/>
  <c r="CF196" i="17"/>
  <c r="CC197" i="17"/>
  <c r="CD197" i="17"/>
  <c r="CE197" i="17"/>
  <c r="CF197" i="17"/>
  <c r="CC198" i="17"/>
  <c r="CD198" i="17"/>
  <c r="CE198" i="17"/>
  <c r="CF198" i="17"/>
  <c r="CC199" i="17"/>
  <c r="CD199" i="17"/>
  <c r="CE199" i="17"/>
  <c r="CF199" i="17"/>
  <c r="CC200" i="17"/>
  <c r="CD200" i="17"/>
  <c r="CE200" i="17"/>
  <c r="CF200" i="17"/>
  <c r="CB193" i="17"/>
  <c r="CB194" i="17"/>
  <c r="CB195" i="17"/>
  <c r="CB196" i="17"/>
  <c r="CB197" i="17"/>
  <c r="CB198" i="17"/>
  <c r="CB199" i="17"/>
  <c r="CB200" i="17"/>
  <c r="BL203" i="17" l="1"/>
  <c r="BK203" i="17"/>
  <c r="BJ203" i="17"/>
  <c r="BI203" i="17"/>
  <c r="BH203" i="17"/>
  <c r="BG203" i="17"/>
  <c r="BF203" i="17"/>
  <c r="BE203" i="17"/>
  <c r="T203" i="17"/>
  <c r="BX200" i="17"/>
  <c r="DA200" i="17" s="1"/>
  <c r="CX200" i="17"/>
  <c r="BT200" i="17"/>
  <c r="CW200" i="17" s="1"/>
  <c r="BS200" i="17"/>
  <c r="CV200" i="17" s="1"/>
  <c r="BR200" i="17"/>
  <c r="CU200" i="17" s="1"/>
  <c r="BQ200" i="17"/>
  <c r="CT200" i="17" s="1"/>
  <c r="BP200" i="17"/>
  <c r="CS200" i="17" s="1"/>
  <c r="CQ200" i="17"/>
  <c r="BM200" i="17"/>
  <c r="CP200" i="17" s="1"/>
  <c r="BB200" i="17"/>
  <c r="AQ200" i="17"/>
  <c r="BX199" i="17"/>
  <c r="DA199" i="17" s="1"/>
  <c r="CX199" i="17"/>
  <c r="BT199" i="17"/>
  <c r="CW199" i="17" s="1"/>
  <c r="BS199" i="17"/>
  <c r="CV199" i="17" s="1"/>
  <c r="BR199" i="17"/>
  <c r="CU199" i="17" s="1"/>
  <c r="BQ199" i="17"/>
  <c r="CT199" i="17" s="1"/>
  <c r="BP199" i="17"/>
  <c r="CS199" i="17" s="1"/>
  <c r="CQ199" i="17"/>
  <c r="BM199" i="17"/>
  <c r="CP199" i="17" s="1"/>
  <c r="BB199" i="17"/>
  <c r="AQ199" i="17"/>
  <c r="BX198" i="17"/>
  <c r="DA198" i="17" s="1"/>
  <c r="CX198" i="17"/>
  <c r="BT198" i="17"/>
  <c r="CW198" i="17" s="1"/>
  <c r="BS198" i="17"/>
  <c r="CV198" i="17" s="1"/>
  <c r="BR198" i="17"/>
  <c r="CU198" i="17" s="1"/>
  <c r="BQ198" i="17"/>
  <c r="CT198" i="17" s="1"/>
  <c r="BP198" i="17"/>
  <c r="CS198" i="17" s="1"/>
  <c r="CQ198" i="17"/>
  <c r="BM198" i="17"/>
  <c r="CP198" i="17" s="1"/>
  <c r="DB198" i="17" s="1"/>
  <c r="BB198" i="17"/>
  <c r="AQ198" i="17"/>
  <c r="BX197" i="17"/>
  <c r="DA197" i="17" s="1"/>
  <c r="CX197" i="17"/>
  <c r="BT197" i="17"/>
  <c r="CW197" i="17" s="1"/>
  <c r="BS197" i="17"/>
  <c r="CV197" i="17" s="1"/>
  <c r="BR197" i="17"/>
  <c r="CU197" i="17" s="1"/>
  <c r="BQ197" i="17"/>
  <c r="CT197" i="17" s="1"/>
  <c r="BP197" i="17"/>
  <c r="CS197" i="17" s="1"/>
  <c r="CQ197" i="17"/>
  <c r="BM197" i="17"/>
  <c r="CP197" i="17" s="1"/>
  <c r="BB197" i="17"/>
  <c r="AQ197" i="17"/>
  <c r="BX196" i="17"/>
  <c r="DA196" i="17" s="1"/>
  <c r="CX196" i="17"/>
  <c r="BT196" i="17"/>
  <c r="CW196" i="17" s="1"/>
  <c r="BS196" i="17"/>
  <c r="CV196" i="17" s="1"/>
  <c r="BR196" i="17"/>
  <c r="CU196" i="17" s="1"/>
  <c r="BQ196" i="17"/>
  <c r="CT196" i="17" s="1"/>
  <c r="BP196" i="17"/>
  <c r="CS196" i="17" s="1"/>
  <c r="CQ196" i="17"/>
  <c r="BM196" i="17"/>
  <c r="CP196" i="17" s="1"/>
  <c r="BB196" i="17"/>
  <c r="AQ196" i="17"/>
  <c r="BX195" i="17"/>
  <c r="DA195" i="17" s="1"/>
  <c r="CX195" i="17"/>
  <c r="BT195" i="17"/>
  <c r="CW195" i="17" s="1"/>
  <c r="BS195" i="17"/>
  <c r="CV195" i="17" s="1"/>
  <c r="BR195" i="17"/>
  <c r="CU195" i="17" s="1"/>
  <c r="BQ195" i="17"/>
  <c r="CT195" i="17" s="1"/>
  <c r="BP195" i="17"/>
  <c r="CS195" i="17" s="1"/>
  <c r="CQ195" i="17"/>
  <c r="BM195" i="17"/>
  <c r="CP195" i="17" s="1"/>
  <c r="BB195" i="17"/>
  <c r="AQ195" i="17"/>
  <c r="BX194" i="17"/>
  <c r="DA194" i="17" s="1"/>
  <c r="CX194" i="17"/>
  <c r="BT194" i="17"/>
  <c r="CW194" i="17" s="1"/>
  <c r="BS194" i="17"/>
  <c r="CV194" i="17" s="1"/>
  <c r="BR194" i="17"/>
  <c r="CU194" i="17" s="1"/>
  <c r="BQ194" i="17"/>
  <c r="CT194" i="17" s="1"/>
  <c r="BP194" i="17"/>
  <c r="CS194" i="17" s="1"/>
  <c r="CQ194" i="17"/>
  <c r="BM194" i="17"/>
  <c r="CP194" i="17" s="1"/>
  <c r="BB194" i="17"/>
  <c r="AQ194" i="17"/>
  <c r="BX193" i="17"/>
  <c r="DA193" i="17" s="1"/>
  <c r="CX193" i="17"/>
  <c r="BT193" i="17"/>
  <c r="CW193" i="17" s="1"/>
  <c r="BS193" i="17"/>
  <c r="CV193" i="17" s="1"/>
  <c r="BR193" i="17"/>
  <c r="CU193" i="17" s="1"/>
  <c r="BQ193" i="17"/>
  <c r="CT193" i="17" s="1"/>
  <c r="BP193" i="17"/>
  <c r="CS193" i="17" s="1"/>
  <c r="CQ193" i="17"/>
  <c r="BM193" i="17"/>
  <c r="CP193" i="17" s="1"/>
  <c r="BB193" i="17"/>
  <c r="AQ193" i="17"/>
  <c r="BX192" i="17"/>
  <c r="DA192" i="17" s="1"/>
  <c r="CX192" i="17"/>
  <c r="BT192" i="17"/>
  <c r="CW192" i="17" s="1"/>
  <c r="BS192" i="17"/>
  <c r="CV192" i="17" s="1"/>
  <c r="BR192" i="17"/>
  <c r="CU192" i="17" s="1"/>
  <c r="BQ192" i="17"/>
  <c r="CT192" i="17" s="1"/>
  <c r="BP192" i="17"/>
  <c r="CS192" i="17" s="1"/>
  <c r="CQ192" i="17"/>
  <c r="BM192" i="17"/>
  <c r="CP192" i="17" s="1"/>
  <c r="BB192" i="17"/>
  <c r="AQ192" i="17"/>
  <c r="BX191" i="17"/>
  <c r="DA191" i="17" s="1"/>
  <c r="CX191" i="17"/>
  <c r="BT191" i="17"/>
  <c r="CW191" i="17" s="1"/>
  <c r="BS191" i="17"/>
  <c r="CV191" i="17" s="1"/>
  <c r="BR191" i="17"/>
  <c r="CU191" i="17" s="1"/>
  <c r="BQ191" i="17"/>
  <c r="CT191" i="17" s="1"/>
  <c r="BP191" i="17"/>
  <c r="CS191" i="17" s="1"/>
  <c r="CQ191" i="17"/>
  <c r="BM191" i="17"/>
  <c r="CP191" i="17" s="1"/>
  <c r="BB191" i="17"/>
  <c r="AQ191" i="17"/>
  <c r="BX190" i="17"/>
  <c r="DA190" i="17" s="1"/>
  <c r="CX190" i="17"/>
  <c r="BT190" i="17"/>
  <c r="CW190" i="17" s="1"/>
  <c r="BS190" i="17"/>
  <c r="CV190" i="17" s="1"/>
  <c r="BR190" i="17"/>
  <c r="CU190" i="17" s="1"/>
  <c r="BQ190" i="17"/>
  <c r="CT190" i="17" s="1"/>
  <c r="BP190" i="17"/>
  <c r="CS190" i="17" s="1"/>
  <c r="CQ190" i="17"/>
  <c r="BM190" i="17"/>
  <c r="CP190" i="17" s="1"/>
  <c r="BB190" i="17"/>
  <c r="AQ190" i="17"/>
  <c r="BX189" i="17"/>
  <c r="DA189" i="17" s="1"/>
  <c r="CX189" i="17"/>
  <c r="BT189" i="17"/>
  <c r="CW189" i="17" s="1"/>
  <c r="BS189" i="17"/>
  <c r="CV189" i="17" s="1"/>
  <c r="BR189" i="17"/>
  <c r="CU189" i="17" s="1"/>
  <c r="BQ189" i="17"/>
  <c r="CT189" i="17" s="1"/>
  <c r="BP189" i="17"/>
  <c r="CS189" i="17" s="1"/>
  <c r="CQ189" i="17"/>
  <c r="BM189" i="17"/>
  <c r="CP189" i="17" s="1"/>
  <c r="BB189" i="17"/>
  <c r="AQ189" i="17"/>
  <c r="BX188" i="17"/>
  <c r="DA188" i="17" s="1"/>
  <c r="CX188" i="17"/>
  <c r="BT188" i="17"/>
  <c r="CW188" i="17" s="1"/>
  <c r="BS188" i="17"/>
  <c r="CV188" i="17" s="1"/>
  <c r="BR188" i="17"/>
  <c r="CU188" i="17" s="1"/>
  <c r="BQ188" i="17"/>
  <c r="CT188" i="17" s="1"/>
  <c r="BP188" i="17"/>
  <c r="CS188" i="17" s="1"/>
  <c r="CQ188" i="17"/>
  <c r="BM188" i="17"/>
  <c r="CP188" i="17" s="1"/>
  <c r="BB188" i="17"/>
  <c r="AQ188" i="17"/>
  <c r="BX187" i="17"/>
  <c r="DA187" i="17" s="1"/>
  <c r="CX187" i="17"/>
  <c r="BT187" i="17"/>
  <c r="CW187" i="17" s="1"/>
  <c r="BS187" i="17"/>
  <c r="CV187" i="17" s="1"/>
  <c r="BR187" i="17"/>
  <c r="CU187" i="17" s="1"/>
  <c r="BQ187" i="17"/>
  <c r="CT187" i="17" s="1"/>
  <c r="BP187" i="17"/>
  <c r="CS187" i="17" s="1"/>
  <c r="CQ187" i="17"/>
  <c r="BM187" i="17"/>
  <c r="CP187" i="17" s="1"/>
  <c r="BB187" i="17"/>
  <c r="AQ187" i="17"/>
  <c r="BX186" i="17"/>
  <c r="DA186" i="17" s="1"/>
  <c r="CX186" i="17"/>
  <c r="BT186" i="17"/>
  <c r="CW186" i="17" s="1"/>
  <c r="BS186" i="17"/>
  <c r="CV186" i="17" s="1"/>
  <c r="BR186" i="17"/>
  <c r="CU186" i="17" s="1"/>
  <c r="BQ186" i="17"/>
  <c r="CT186" i="17" s="1"/>
  <c r="BP186" i="17"/>
  <c r="CS186" i="17" s="1"/>
  <c r="CQ186" i="17"/>
  <c r="BM186" i="17"/>
  <c r="CP186" i="17" s="1"/>
  <c r="BB186" i="17"/>
  <c r="AQ186" i="17"/>
  <c r="BX185" i="17"/>
  <c r="DA185" i="17" s="1"/>
  <c r="CX185" i="17"/>
  <c r="BT185" i="17"/>
  <c r="CW185" i="17" s="1"/>
  <c r="BS185" i="17"/>
  <c r="CV185" i="17" s="1"/>
  <c r="BR185" i="17"/>
  <c r="CU185" i="17" s="1"/>
  <c r="BQ185" i="17"/>
  <c r="CT185" i="17" s="1"/>
  <c r="BP185" i="17"/>
  <c r="CS185" i="17" s="1"/>
  <c r="CQ185" i="17"/>
  <c r="BM185" i="17"/>
  <c r="CP185" i="17" s="1"/>
  <c r="BB185" i="17"/>
  <c r="AQ185" i="17"/>
  <c r="BX184" i="17"/>
  <c r="DA184" i="17" s="1"/>
  <c r="CX184" i="17"/>
  <c r="BT184" i="17"/>
  <c r="CW184" i="17" s="1"/>
  <c r="BS184" i="17"/>
  <c r="CV184" i="17" s="1"/>
  <c r="BR184" i="17"/>
  <c r="CU184" i="17" s="1"/>
  <c r="BQ184" i="17"/>
  <c r="CT184" i="17" s="1"/>
  <c r="BP184" i="17"/>
  <c r="CS184" i="17" s="1"/>
  <c r="CQ184" i="17"/>
  <c r="BM184" i="17"/>
  <c r="CP184" i="17" s="1"/>
  <c r="BB184" i="17"/>
  <c r="AQ184" i="17"/>
  <c r="BX183" i="17"/>
  <c r="DA183" i="17" s="1"/>
  <c r="CX183" i="17"/>
  <c r="BT183" i="17"/>
  <c r="CW183" i="17" s="1"/>
  <c r="BS183" i="17"/>
  <c r="CV183" i="17" s="1"/>
  <c r="BR183" i="17"/>
  <c r="CU183" i="17" s="1"/>
  <c r="BQ183" i="17"/>
  <c r="CT183" i="17" s="1"/>
  <c r="BP183" i="17"/>
  <c r="CS183" i="17" s="1"/>
  <c r="CQ183" i="17"/>
  <c r="BM183" i="17"/>
  <c r="CP183" i="17" s="1"/>
  <c r="BB183" i="17"/>
  <c r="AQ183" i="17"/>
  <c r="BX182" i="17"/>
  <c r="DA182" i="17" s="1"/>
  <c r="CX182" i="17"/>
  <c r="BT182" i="17"/>
  <c r="CW182" i="17" s="1"/>
  <c r="BS182" i="17"/>
  <c r="CV182" i="17" s="1"/>
  <c r="BR182" i="17"/>
  <c r="CU182" i="17" s="1"/>
  <c r="BQ182" i="17"/>
  <c r="CT182" i="17" s="1"/>
  <c r="BP182" i="17"/>
  <c r="CS182" i="17" s="1"/>
  <c r="CQ182" i="17"/>
  <c r="BM182" i="17"/>
  <c r="CP182" i="17" s="1"/>
  <c r="BB182" i="17"/>
  <c r="AQ182" i="17"/>
  <c r="BX181" i="17"/>
  <c r="DA181" i="17" s="1"/>
  <c r="CX181" i="17"/>
  <c r="BT181" i="17"/>
  <c r="CW181" i="17" s="1"/>
  <c r="BS181" i="17"/>
  <c r="CV181" i="17" s="1"/>
  <c r="BR181" i="17"/>
  <c r="CU181" i="17" s="1"/>
  <c r="BQ181" i="17"/>
  <c r="CT181" i="17" s="1"/>
  <c r="BP181" i="17"/>
  <c r="CS181" i="17" s="1"/>
  <c r="CQ181" i="17"/>
  <c r="BM181" i="17"/>
  <c r="CP181" i="17" s="1"/>
  <c r="BB181" i="17"/>
  <c r="AQ181" i="17"/>
  <c r="BX180" i="17"/>
  <c r="DA180" i="17" s="1"/>
  <c r="CX180" i="17"/>
  <c r="BT180" i="17"/>
  <c r="CW180" i="17" s="1"/>
  <c r="BS180" i="17"/>
  <c r="CV180" i="17" s="1"/>
  <c r="BR180" i="17"/>
  <c r="CU180" i="17" s="1"/>
  <c r="BQ180" i="17"/>
  <c r="CT180" i="17" s="1"/>
  <c r="BP180" i="17"/>
  <c r="CS180" i="17" s="1"/>
  <c r="CQ180" i="17"/>
  <c r="BM180" i="17"/>
  <c r="CP180" i="17" s="1"/>
  <c r="BB180" i="17"/>
  <c r="AQ180" i="17"/>
  <c r="BX179" i="17"/>
  <c r="DA179" i="17" s="1"/>
  <c r="CX179" i="17"/>
  <c r="BT179" i="17"/>
  <c r="CW179" i="17" s="1"/>
  <c r="BS179" i="17"/>
  <c r="CV179" i="17" s="1"/>
  <c r="BR179" i="17"/>
  <c r="CU179" i="17" s="1"/>
  <c r="BQ179" i="17"/>
  <c r="CT179" i="17" s="1"/>
  <c r="BP179" i="17"/>
  <c r="CS179" i="17" s="1"/>
  <c r="CQ179" i="17"/>
  <c r="BM179" i="17"/>
  <c r="CP179" i="17" s="1"/>
  <c r="BB179" i="17"/>
  <c r="AQ179" i="17"/>
  <c r="BX178" i="17"/>
  <c r="DA178" i="17" s="1"/>
  <c r="CX178" i="17"/>
  <c r="BT178" i="17"/>
  <c r="CW178" i="17" s="1"/>
  <c r="BS178" i="17"/>
  <c r="CV178" i="17" s="1"/>
  <c r="BR178" i="17"/>
  <c r="CU178" i="17" s="1"/>
  <c r="BQ178" i="17"/>
  <c r="CT178" i="17" s="1"/>
  <c r="BP178" i="17"/>
  <c r="CS178" i="17" s="1"/>
  <c r="CQ178" i="17"/>
  <c r="BM178" i="17"/>
  <c r="CP178" i="17" s="1"/>
  <c r="BB178" i="17"/>
  <c r="AQ178" i="17"/>
  <c r="BX177" i="17"/>
  <c r="DA177" i="17" s="1"/>
  <c r="CX177" i="17"/>
  <c r="BT177" i="17"/>
  <c r="CW177" i="17" s="1"/>
  <c r="BS177" i="17"/>
  <c r="CV177" i="17" s="1"/>
  <c r="BR177" i="17"/>
  <c r="CU177" i="17" s="1"/>
  <c r="BQ177" i="17"/>
  <c r="CT177" i="17" s="1"/>
  <c r="BP177" i="17"/>
  <c r="CS177" i="17" s="1"/>
  <c r="CQ177" i="17"/>
  <c r="BM177" i="17"/>
  <c r="CP177" i="17" s="1"/>
  <c r="BB177" i="17"/>
  <c r="AQ177" i="17"/>
  <c r="BX176" i="17"/>
  <c r="DA176" i="17" s="1"/>
  <c r="CX176" i="17"/>
  <c r="BT176" i="17"/>
  <c r="CW176" i="17" s="1"/>
  <c r="BS176" i="17"/>
  <c r="CV176" i="17" s="1"/>
  <c r="BR176" i="17"/>
  <c r="CU176" i="17" s="1"/>
  <c r="BQ176" i="17"/>
  <c r="CT176" i="17" s="1"/>
  <c r="BP176" i="17"/>
  <c r="CS176" i="17" s="1"/>
  <c r="CQ176" i="17"/>
  <c r="BM176" i="17"/>
  <c r="CP176" i="17" s="1"/>
  <c r="BB176" i="17"/>
  <c r="AQ176" i="17"/>
  <c r="BX175" i="17"/>
  <c r="DA175" i="17" s="1"/>
  <c r="CX175" i="17"/>
  <c r="BT175" i="17"/>
  <c r="CW175" i="17" s="1"/>
  <c r="BS175" i="17"/>
  <c r="CV175" i="17" s="1"/>
  <c r="BR175" i="17"/>
  <c r="CU175" i="17" s="1"/>
  <c r="BQ175" i="17"/>
  <c r="CT175" i="17" s="1"/>
  <c r="BP175" i="17"/>
  <c r="CS175" i="17" s="1"/>
  <c r="CQ175" i="17"/>
  <c r="BM175" i="17"/>
  <c r="CP175" i="17" s="1"/>
  <c r="BB175" i="17"/>
  <c r="AQ175" i="17"/>
  <c r="BX174" i="17"/>
  <c r="DA174" i="17" s="1"/>
  <c r="CX174" i="17"/>
  <c r="BT174" i="17"/>
  <c r="CW174" i="17" s="1"/>
  <c r="BS174" i="17"/>
  <c r="CV174" i="17" s="1"/>
  <c r="BR174" i="17"/>
  <c r="CU174" i="17" s="1"/>
  <c r="BQ174" i="17"/>
  <c r="CT174" i="17" s="1"/>
  <c r="BP174" i="17"/>
  <c r="CS174" i="17" s="1"/>
  <c r="CQ174" i="17"/>
  <c r="BM174" i="17"/>
  <c r="CP174" i="17" s="1"/>
  <c r="BB174" i="17"/>
  <c r="AQ174" i="17"/>
  <c r="BX173" i="17"/>
  <c r="DA173" i="17" s="1"/>
  <c r="CX173" i="17"/>
  <c r="BT173" i="17"/>
  <c r="CW173" i="17" s="1"/>
  <c r="BS173" i="17"/>
  <c r="CV173" i="17" s="1"/>
  <c r="BR173" i="17"/>
  <c r="CU173" i="17" s="1"/>
  <c r="BQ173" i="17"/>
  <c r="CT173" i="17" s="1"/>
  <c r="BP173" i="17"/>
  <c r="CS173" i="17" s="1"/>
  <c r="CQ173" i="17"/>
  <c r="BM173" i="17"/>
  <c r="CP173" i="17" s="1"/>
  <c r="BB173" i="17"/>
  <c r="AQ173" i="17"/>
  <c r="BX172" i="17"/>
  <c r="DA172" i="17" s="1"/>
  <c r="CX172" i="17"/>
  <c r="BT172" i="17"/>
  <c r="CW172" i="17" s="1"/>
  <c r="BS172" i="17"/>
  <c r="CV172" i="17" s="1"/>
  <c r="BR172" i="17"/>
  <c r="CU172" i="17" s="1"/>
  <c r="BQ172" i="17"/>
  <c r="CT172" i="17" s="1"/>
  <c r="BP172" i="17"/>
  <c r="CS172" i="17" s="1"/>
  <c r="CQ172" i="17"/>
  <c r="BM172" i="17"/>
  <c r="CP172" i="17" s="1"/>
  <c r="BB172" i="17"/>
  <c r="AQ172" i="17"/>
  <c r="BX171" i="17"/>
  <c r="DA171" i="17" s="1"/>
  <c r="CX171" i="17"/>
  <c r="BT171" i="17"/>
  <c r="CW171" i="17" s="1"/>
  <c r="BS171" i="17"/>
  <c r="CV171" i="17" s="1"/>
  <c r="BR171" i="17"/>
  <c r="CU171" i="17" s="1"/>
  <c r="BQ171" i="17"/>
  <c r="CT171" i="17" s="1"/>
  <c r="BP171" i="17"/>
  <c r="CS171" i="17" s="1"/>
  <c r="CQ171" i="17"/>
  <c r="BM171" i="17"/>
  <c r="CP171" i="17" s="1"/>
  <c r="BB171" i="17"/>
  <c r="AQ171" i="17"/>
  <c r="BX170" i="17"/>
  <c r="DA170" i="17" s="1"/>
  <c r="CX170" i="17"/>
  <c r="BT170" i="17"/>
  <c r="CW170" i="17" s="1"/>
  <c r="BS170" i="17"/>
  <c r="CV170" i="17" s="1"/>
  <c r="BR170" i="17"/>
  <c r="CU170" i="17" s="1"/>
  <c r="BQ170" i="17"/>
  <c r="CT170" i="17" s="1"/>
  <c r="BP170" i="17"/>
  <c r="CS170" i="17" s="1"/>
  <c r="CQ170" i="17"/>
  <c r="BM170" i="17"/>
  <c r="CP170" i="17" s="1"/>
  <c r="BB170" i="17"/>
  <c r="AQ170" i="17"/>
  <c r="BX169" i="17"/>
  <c r="DA169" i="17" s="1"/>
  <c r="CX169" i="17"/>
  <c r="BT169" i="17"/>
  <c r="CW169" i="17" s="1"/>
  <c r="BS169" i="17"/>
  <c r="CV169" i="17" s="1"/>
  <c r="BR169" i="17"/>
  <c r="CU169" i="17" s="1"/>
  <c r="BQ169" i="17"/>
  <c r="CT169" i="17" s="1"/>
  <c r="BP169" i="17"/>
  <c r="CS169" i="17" s="1"/>
  <c r="CQ169" i="17"/>
  <c r="BM169" i="17"/>
  <c r="CP169" i="17" s="1"/>
  <c r="BB169" i="17"/>
  <c r="AQ169" i="17"/>
  <c r="BX168" i="17"/>
  <c r="DA168" i="17" s="1"/>
  <c r="CX168" i="17"/>
  <c r="BT168" i="17"/>
  <c r="CW168" i="17" s="1"/>
  <c r="BS168" i="17"/>
  <c r="CV168" i="17" s="1"/>
  <c r="BR168" i="17"/>
  <c r="CU168" i="17" s="1"/>
  <c r="BQ168" i="17"/>
  <c r="CT168" i="17" s="1"/>
  <c r="BP168" i="17"/>
  <c r="CS168" i="17" s="1"/>
  <c r="CQ168" i="17"/>
  <c r="BM168" i="17"/>
  <c r="CP168" i="17" s="1"/>
  <c r="BB168" i="17"/>
  <c r="AQ168" i="17"/>
  <c r="BX167" i="17"/>
  <c r="DA167" i="17" s="1"/>
  <c r="CX167" i="17"/>
  <c r="BT167" i="17"/>
  <c r="CW167" i="17" s="1"/>
  <c r="BS167" i="17"/>
  <c r="CV167" i="17" s="1"/>
  <c r="BR167" i="17"/>
  <c r="CU167" i="17" s="1"/>
  <c r="BQ167" i="17"/>
  <c r="CT167" i="17" s="1"/>
  <c r="BP167" i="17"/>
  <c r="CS167" i="17" s="1"/>
  <c r="CQ167" i="17"/>
  <c r="BM167" i="17"/>
  <c r="CP167" i="17" s="1"/>
  <c r="BB167" i="17"/>
  <c r="AQ167" i="17"/>
  <c r="BX166" i="17"/>
  <c r="DA166" i="17" s="1"/>
  <c r="CX166" i="17"/>
  <c r="BT166" i="17"/>
  <c r="CW166" i="17" s="1"/>
  <c r="BS166" i="17"/>
  <c r="CV166" i="17" s="1"/>
  <c r="BR166" i="17"/>
  <c r="CU166" i="17" s="1"/>
  <c r="BQ166" i="17"/>
  <c r="CT166" i="17" s="1"/>
  <c r="BP166" i="17"/>
  <c r="CS166" i="17" s="1"/>
  <c r="CQ166" i="17"/>
  <c r="BM166" i="17"/>
  <c r="CP166" i="17" s="1"/>
  <c r="BB166" i="17"/>
  <c r="AQ166" i="17"/>
  <c r="BX165" i="17"/>
  <c r="DA165" i="17" s="1"/>
  <c r="CX165" i="17"/>
  <c r="BT165" i="17"/>
  <c r="CW165" i="17" s="1"/>
  <c r="BS165" i="17"/>
  <c r="CV165" i="17" s="1"/>
  <c r="BR165" i="17"/>
  <c r="CU165" i="17" s="1"/>
  <c r="BQ165" i="17"/>
  <c r="CT165" i="17" s="1"/>
  <c r="BP165" i="17"/>
  <c r="CS165" i="17" s="1"/>
  <c r="CQ165" i="17"/>
  <c r="BM165" i="17"/>
  <c r="CP165" i="17" s="1"/>
  <c r="BB165" i="17"/>
  <c r="AQ165" i="17"/>
  <c r="BX164" i="17"/>
  <c r="DA164" i="17" s="1"/>
  <c r="CX164" i="17"/>
  <c r="BT164" i="17"/>
  <c r="CW164" i="17" s="1"/>
  <c r="BS164" i="17"/>
  <c r="CV164" i="17" s="1"/>
  <c r="BR164" i="17"/>
  <c r="CU164" i="17" s="1"/>
  <c r="BQ164" i="17"/>
  <c r="CT164" i="17" s="1"/>
  <c r="BP164" i="17"/>
  <c r="CS164" i="17" s="1"/>
  <c r="CQ164" i="17"/>
  <c r="BM164" i="17"/>
  <c r="CP164" i="17" s="1"/>
  <c r="BB164" i="17"/>
  <c r="AQ164" i="17"/>
  <c r="BX163" i="17"/>
  <c r="DA163" i="17" s="1"/>
  <c r="CX163" i="17"/>
  <c r="BT163" i="17"/>
  <c r="CW163" i="17" s="1"/>
  <c r="BS163" i="17"/>
  <c r="CV163" i="17" s="1"/>
  <c r="BR163" i="17"/>
  <c r="CU163" i="17" s="1"/>
  <c r="BQ163" i="17"/>
  <c r="CT163" i="17" s="1"/>
  <c r="BP163" i="17"/>
  <c r="CS163" i="17" s="1"/>
  <c r="CQ163" i="17"/>
  <c r="BM163" i="17"/>
  <c r="CP163" i="17" s="1"/>
  <c r="BB163" i="17"/>
  <c r="AQ163" i="17"/>
  <c r="BX162" i="17"/>
  <c r="DA162" i="17" s="1"/>
  <c r="CX162" i="17"/>
  <c r="BT162" i="17"/>
  <c r="CW162" i="17" s="1"/>
  <c r="BS162" i="17"/>
  <c r="CV162" i="17" s="1"/>
  <c r="BR162" i="17"/>
  <c r="CU162" i="17" s="1"/>
  <c r="BQ162" i="17"/>
  <c r="CT162" i="17" s="1"/>
  <c r="BP162" i="17"/>
  <c r="CS162" i="17" s="1"/>
  <c r="CQ162" i="17"/>
  <c r="BM162" i="17"/>
  <c r="CP162" i="17" s="1"/>
  <c r="BB162" i="17"/>
  <c r="AQ162" i="17"/>
  <c r="BX161" i="17"/>
  <c r="DA161" i="17" s="1"/>
  <c r="CX161" i="17"/>
  <c r="BT161" i="17"/>
  <c r="CW161" i="17" s="1"/>
  <c r="BS161" i="17"/>
  <c r="CV161" i="17" s="1"/>
  <c r="BR161" i="17"/>
  <c r="CU161" i="17" s="1"/>
  <c r="BQ161" i="17"/>
  <c r="CT161" i="17" s="1"/>
  <c r="BP161" i="17"/>
  <c r="CS161" i="17" s="1"/>
  <c r="CQ161" i="17"/>
  <c r="BM161" i="17"/>
  <c r="CP161" i="17" s="1"/>
  <c r="BB161" i="17"/>
  <c r="AQ161" i="17"/>
  <c r="BX160" i="17"/>
  <c r="DA160" i="17" s="1"/>
  <c r="CX160" i="17"/>
  <c r="BT160" i="17"/>
  <c r="CW160" i="17" s="1"/>
  <c r="BS160" i="17"/>
  <c r="CV160" i="17" s="1"/>
  <c r="BR160" i="17"/>
  <c r="CU160" i="17" s="1"/>
  <c r="BQ160" i="17"/>
  <c r="CT160" i="17" s="1"/>
  <c r="BP160" i="17"/>
  <c r="CS160" i="17" s="1"/>
  <c r="CQ160" i="17"/>
  <c r="BM160" i="17"/>
  <c r="CP160" i="17" s="1"/>
  <c r="BB160" i="17"/>
  <c r="AQ160" i="17"/>
  <c r="BX159" i="17"/>
  <c r="DA159" i="17" s="1"/>
  <c r="CX159" i="17"/>
  <c r="BT159" i="17"/>
  <c r="CW159" i="17" s="1"/>
  <c r="BS159" i="17"/>
  <c r="CV159" i="17" s="1"/>
  <c r="BR159" i="17"/>
  <c r="CU159" i="17" s="1"/>
  <c r="BQ159" i="17"/>
  <c r="CT159" i="17" s="1"/>
  <c r="BP159" i="17"/>
  <c r="CS159" i="17" s="1"/>
  <c r="CQ159" i="17"/>
  <c r="BM159" i="17"/>
  <c r="CP159" i="17" s="1"/>
  <c r="BB159" i="17"/>
  <c r="AQ159" i="17"/>
  <c r="BX158" i="17"/>
  <c r="DA158" i="17" s="1"/>
  <c r="CX158" i="17"/>
  <c r="BT158" i="17"/>
  <c r="CW158" i="17" s="1"/>
  <c r="BS158" i="17"/>
  <c r="CV158" i="17" s="1"/>
  <c r="BR158" i="17"/>
  <c r="CU158" i="17" s="1"/>
  <c r="BQ158" i="17"/>
  <c r="CT158" i="17" s="1"/>
  <c r="BP158" i="17"/>
  <c r="CS158" i="17" s="1"/>
  <c r="CQ158" i="17"/>
  <c r="BM158" i="17"/>
  <c r="CP158" i="17" s="1"/>
  <c r="BB158" i="17"/>
  <c r="AQ158" i="17"/>
  <c r="BX157" i="17"/>
  <c r="DA157" i="17" s="1"/>
  <c r="CX157" i="17"/>
  <c r="BT157" i="17"/>
  <c r="CW157" i="17" s="1"/>
  <c r="BS157" i="17"/>
  <c r="CV157" i="17" s="1"/>
  <c r="BR157" i="17"/>
  <c r="CU157" i="17" s="1"/>
  <c r="BQ157" i="17"/>
  <c r="CT157" i="17" s="1"/>
  <c r="BP157" i="17"/>
  <c r="CS157" i="17" s="1"/>
  <c r="CQ157" i="17"/>
  <c r="BM157" i="17"/>
  <c r="CP157" i="17" s="1"/>
  <c r="BB157" i="17"/>
  <c r="AQ157" i="17"/>
  <c r="BX156" i="17"/>
  <c r="DA156" i="17" s="1"/>
  <c r="CX156" i="17"/>
  <c r="BT156" i="17"/>
  <c r="CW156" i="17" s="1"/>
  <c r="BS156" i="17"/>
  <c r="CV156" i="17" s="1"/>
  <c r="BR156" i="17"/>
  <c r="CU156" i="17" s="1"/>
  <c r="BQ156" i="17"/>
  <c r="CT156" i="17" s="1"/>
  <c r="BP156" i="17"/>
  <c r="CS156" i="17" s="1"/>
  <c r="CQ156" i="17"/>
  <c r="BM156" i="17"/>
  <c r="CP156" i="17" s="1"/>
  <c r="BB156" i="17"/>
  <c r="AQ156" i="17"/>
  <c r="BX155" i="17"/>
  <c r="DA155" i="17" s="1"/>
  <c r="CX155" i="17"/>
  <c r="BT155" i="17"/>
  <c r="CW155" i="17" s="1"/>
  <c r="BS155" i="17"/>
  <c r="CV155" i="17" s="1"/>
  <c r="BR155" i="17"/>
  <c r="CU155" i="17" s="1"/>
  <c r="BQ155" i="17"/>
  <c r="CT155" i="17" s="1"/>
  <c r="BP155" i="17"/>
  <c r="CS155" i="17" s="1"/>
  <c r="CQ155" i="17"/>
  <c r="BM155" i="17"/>
  <c r="CP155" i="17" s="1"/>
  <c r="BB155" i="17"/>
  <c r="AQ155" i="17"/>
  <c r="BX154" i="17"/>
  <c r="DA154" i="17" s="1"/>
  <c r="CX154" i="17"/>
  <c r="BT154" i="17"/>
  <c r="CW154" i="17" s="1"/>
  <c r="BS154" i="17"/>
  <c r="CV154" i="17" s="1"/>
  <c r="BR154" i="17"/>
  <c r="CU154" i="17" s="1"/>
  <c r="BQ154" i="17"/>
  <c r="CT154" i="17" s="1"/>
  <c r="BP154" i="17"/>
  <c r="CS154" i="17" s="1"/>
  <c r="CQ154" i="17"/>
  <c r="BM154" i="17"/>
  <c r="CP154" i="17" s="1"/>
  <c r="BB154" i="17"/>
  <c r="AQ154" i="17"/>
  <c r="BX153" i="17"/>
  <c r="DA153" i="17" s="1"/>
  <c r="CX153" i="17"/>
  <c r="BT153" i="17"/>
  <c r="CW153" i="17" s="1"/>
  <c r="BS153" i="17"/>
  <c r="CV153" i="17" s="1"/>
  <c r="BR153" i="17"/>
  <c r="CU153" i="17" s="1"/>
  <c r="BQ153" i="17"/>
  <c r="CT153" i="17" s="1"/>
  <c r="BP153" i="17"/>
  <c r="CS153" i="17" s="1"/>
  <c r="CQ153" i="17"/>
  <c r="BM153" i="17"/>
  <c r="CP153" i="17" s="1"/>
  <c r="BB153" i="17"/>
  <c r="AQ153" i="17"/>
  <c r="BX152" i="17"/>
  <c r="DA152" i="17" s="1"/>
  <c r="CX152" i="17"/>
  <c r="BT152" i="17"/>
  <c r="CW152" i="17" s="1"/>
  <c r="BS152" i="17"/>
  <c r="CV152" i="17" s="1"/>
  <c r="BR152" i="17"/>
  <c r="CU152" i="17" s="1"/>
  <c r="BQ152" i="17"/>
  <c r="CT152" i="17" s="1"/>
  <c r="BP152" i="17"/>
  <c r="CS152" i="17" s="1"/>
  <c r="CQ152" i="17"/>
  <c r="BM152" i="17"/>
  <c r="CP152" i="17" s="1"/>
  <c r="BB152" i="17"/>
  <c r="AQ152" i="17"/>
  <c r="BX151" i="17"/>
  <c r="DA151" i="17" s="1"/>
  <c r="CX151" i="17"/>
  <c r="BT151" i="17"/>
  <c r="CW151" i="17" s="1"/>
  <c r="BS151" i="17"/>
  <c r="CV151" i="17" s="1"/>
  <c r="BR151" i="17"/>
  <c r="CU151" i="17" s="1"/>
  <c r="BQ151" i="17"/>
  <c r="CT151" i="17" s="1"/>
  <c r="BP151" i="17"/>
  <c r="CS151" i="17" s="1"/>
  <c r="CQ151" i="17"/>
  <c r="BM151" i="17"/>
  <c r="CP151" i="17" s="1"/>
  <c r="BB151" i="17"/>
  <c r="AQ151" i="17"/>
  <c r="BX150" i="17"/>
  <c r="DA150" i="17" s="1"/>
  <c r="CX150" i="17"/>
  <c r="BT150" i="17"/>
  <c r="CW150" i="17" s="1"/>
  <c r="BS150" i="17"/>
  <c r="CV150" i="17" s="1"/>
  <c r="BR150" i="17"/>
  <c r="CU150" i="17" s="1"/>
  <c r="BQ150" i="17"/>
  <c r="CT150" i="17" s="1"/>
  <c r="BP150" i="17"/>
  <c r="CS150" i="17" s="1"/>
  <c r="CQ150" i="17"/>
  <c r="BM150" i="17"/>
  <c r="CP150" i="17" s="1"/>
  <c r="BB150" i="17"/>
  <c r="AQ150" i="17"/>
  <c r="BX149" i="17"/>
  <c r="DA149" i="17" s="1"/>
  <c r="CX149" i="17"/>
  <c r="BT149" i="17"/>
  <c r="CW149" i="17" s="1"/>
  <c r="BS149" i="17"/>
  <c r="CV149" i="17" s="1"/>
  <c r="BR149" i="17"/>
  <c r="CU149" i="17" s="1"/>
  <c r="BQ149" i="17"/>
  <c r="CT149" i="17" s="1"/>
  <c r="BP149" i="17"/>
  <c r="CS149" i="17" s="1"/>
  <c r="CQ149" i="17"/>
  <c r="BM149" i="17"/>
  <c r="CP149" i="17" s="1"/>
  <c r="BB149" i="17"/>
  <c r="AQ149" i="17"/>
  <c r="BX148" i="17"/>
  <c r="DA148" i="17" s="1"/>
  <c r="CX148" i="17"/>
  <c r="BT148" i="17"/>
  <c r="CW148" i="17" s="1"/>
  <c r="BS148" i="17"/>
  <c r="CV148" i="17" s="1"/>
  <c r="BR148" i="17"/>
  <c r="CU148" i="17" s="1"/>
  <c r="BQ148" i="17"/>
  <c r="CT148" i="17" s="1"/>
  <c r="BP148" i="17"/>
  <c r="CS148" i="17" s="1"/>
  <c r="CQ148" i="17"/>
  <c r="BM148" i="17"/>
  <c r="CP148" i="17" s="1"/>
  <c r="BB148" i="17"/>
  <c r="AQ148" i="17"/>
  <c r="BX147" i="17"/>
  <c r="DA147" i="17" s="1"/>
  <c r="CX147" i="17"/>
  <c r="BT147" i="17"/>
  <c r="CW147" i="17" s="1"/>
  <c r="BS147" i="17"/>
  <c r="CV147" i="17" s="1"/>
  <c r="BR147" i="17"/>
  <c r="CU147" i="17" s="1"/>
  <c r="BQ147" i="17"/>
  <c r="CT147" i="17" s="1"/>
  <c r="BP147" i="17"/>
  <c r="CS147" i="17" s="1"/>
  <c r="CQ147" i="17"/>
  <c r="BM147" i="17"/>
  <c r="CP147" i="17" s="1"/>
  <c r="BB147" i="17"/>
  <c r="AQ147" i="17"/>
  <c r="BX146" i="17"/>
  <c r="DA146" i="17" s="1"/>
  <c r="CX146" i="17"/>
  <c r="BT146" i="17"/>
  <c r="CW146" i="17" s="1"/>
  <c r="BS146" i="17"/>
  <c r="CV146" i="17" s="1"/>
  <c r="BR146" i="17"/>
  <c r="CU146" i="17" s="1"/>
  <c r="BQ146" i="17"/>
  <c r="CT146" i="17" s="1"/>
  <c r="BP146" i="17"/>
  <c r="CS146" i="17" s="1"/>
  <c r="CQ146" i="17"/>
  <c r="BM146" i="17"/>
  <c r="CP146" i="17" s="1"/>
  <c r="BB146" i="17"/>
  <c r="AQ146" i="17"/>
  <c r="BX145" i="17"/>
  <c r="DA145" i="17" s="1"/>
  <c r="CX145" i="17"/>
  <c r="BT145" i="17"/>
  <c r="CW145" i="17" s="1"/>
  <c r="BS145" i="17"/>
  <c r="CV145" i="17" s="1"/>
  <c r="BR145" i="17"/>
  <c r="CU145" i="17" s="1"/>
  <c r="BQ145" i="17"/>
  <c r="CT145" i="17" s="1"/>
  <c r="BP145" i="17"/>
  <c r="CS145" i="17" s="1"/>
  <c r="CQ145" i="17"/>
  <c r="BM145" i="17"/>
  <c r="CP145" i="17" s="1"/>
  <c r="BB145" i="17"/>
  <c r="AQ145" i="17"/>
  <c r="BX144" i="17"/>
  <c r="DA144" i="17" s="1"/>
  <c r="CX144" i="17"/>
  <c r="BT144" i="17"/>
  <c r="CW144" i="17" s="1"/>
  <c r="BS144" i="17"/>
  <c r="CV144" i="17" s="1"/>
  <c r="BR144" i="17"/>
  <c r="CU144" i="17" s="1"/>
  <c r="BQ144" i="17"/>
  <c r="CT144" i="17" s="1"/>
  <c r="BP144" i="17"/>
  <c r="CS144" i="17" s="1"/>
  <c r="CQ144" i="17"/>
  <c r="BM144" i="17"/>
  <c r="CP144" i="17" s="1"/>
  <c r="BB144" i="17"/>
  <c r="AQ144" i="17"/>
  <c r="BX143" i="17"/>
  <c r="DA143" i="17" s="1"/>
  <c r="CX143" i="17"/>
  <c r="BT143" i="17"/>
  <c r="CW143" i="17" s="1"/>
  <c r="BS143" i="17"/>
  <c r="CV143" i="17" s="1"/>
  <c r="BR143" i="17"/>
  <c r="CU143" i="17" s="1"/>
  <c r="BQ143" i="17"/>
  <c r="CT143" i="17" s="1"/>
  <c r="BP143" i="17"/>
  <c r="CS143" i="17" s="1"/>
  <c r="CQ143" i="17"/>
  <c r="BM143" i="17"/>
  <c r="CP143" i="17" s="1"/>
  <c r="BB143" i="17"/>
  <c r="AQ143" i="17"/>
  <c r="BX142" i="17"/>
  <c r="DA142" i="17" s="1"/>
  <c r="CX142" i="17"/>
  <c r="BT142" i="17"/>
  <c r="CW142" i="17" s="1"/>
  <c r="BS142" i="17"/>
  <c r="CV142" i="17" s="1"/>
  <c r="BR142" i="17"/>
  <c r="CU142" i="17" s="1"/>
  <c r="BQ142" i="17"/>
  <c r="CT142" i="17" s="1"/>
  <c r="BP142" i="17"/>
  <c r="CS142" i="17" s="1"/>
  <c r="CQ142" i="17"/>
  <c r="BM142" i="17"/>
  <c r="CP142" i="17" s="1"/>
  <c r="BB142" i="17"/>
  <c r="AQ142" i="17"/>
  <c r="BX141" i="17"/>
  <c r="DA141" i="17" s="1"/>
  <c r="CX141" i="17"/>
  <c r="BT141" i="17"/>
  <c r="CW141" i="17" s="1"/>
  <c r="BS141" i="17"/>
  <c r="CV141" i="17" s="1"/>
  <c r="BR141" i="17"/>
  <c r="CU141" i="17" s="1"/>
  <c r="BQ141" i="17"/>
  <c r="CT141" i="17" s="1"/>
  <c r="BP141" i="17"/>
  <c r="CS141" i="17" s="1"/>
  <c r="CQ141" i="17"/>
  <c r="BM141" i="17"/>
  <c r="CP141" i="17" s="1"/>
  <c r="BB141" i="17"/>
  <c r="AQ141" i="17"/>
  <c r="BX140" i="17"/>
  <c r="DA140" i="17" s="1"/>
  <c r="CX140" i="17"/>
  <c r="BT140" i="17"/>
  <c r="CW140" i="17" s="1"/>
  <c r="BS140" i="17"/>
  <c r="CV140" i="17" s="1"/>
  <c r="BR140" i="17"/>
  <c r="CU140" i="17" s="1"/>
  <c r="BQ140" i="17"/>
  <c r="CT140" i="17" s="1"/>
  <c r="BP140" i="17"/>
  <c r="CS140" i="17" s="1"/>
  <c r="CQ140" i="17"/>
  <c r="BM140" i="17"/>
  <c r="CP140" i="17" s="1"/>
  <c r="BB140" i="17"/>
  <c r="AQ140" i="17"/>
  <c r="BX139" i="17"/>
  <c r="DA139" i="17" s="1"/>
  <c r="CX139" i="17"/>
  <c r="BT139" i="17"/>
  <c r="CW139" i="17" s="1"/>
  <c r="BS139" i="17"/>
  <c r="CV139" i="17" s="1"/>
  <c r="BR139" i="17"/>
  <c r="CU139" i="17" s="1"/>
  <c r="BQ139" i="17"/>
  <c r="CT139" i="17" s="1"/>
  <c r="BP139" i="17"/>
  <c r="CS139" i="17" s="1"/>
  <c r="CQ139" i="17"/>
  <c r="BM139" i="17"/>
  <c r="CP139" i="17" s="1"/>
  <c r="BB139" i="17"/>
  <c r="AQ139" i="17"/>
  <c r="BX138" i="17"/>
  <c r="DA138" i="17" s="1"/>
  <c r="CX138" i="17"/>
  <c r="BT138" i="17"/>
  <c r="CW138" i="17" s="1"/>
  <c r="BS138" i="17"/>
  <c r="CV138" i="17" s="1"/>
  <c r="BR138" i="17"/>
  <c r="CU138" i="17" s="1"/>
  <c r="BQ138" i="17"/>
  <c r="CT138" i="17" s="1"/>
  <c r="BP138" i="17"/>
  <c r="CS138" i="17" s="1"/>
  <c r="CQ138" i="17"/>
  <c r="BM138" i="17"/>
  <c r="CP138" i="17" s="1"/>
  <c r="BB138" i="17"/>
  <c r="AQ138" i="17"/>
  <c r="BX137" i="17"/>
  <c r="DA137" i="17" s="1"/>
  <c r="CX137" i="17"/>
  <c r="BT137" i="17"/>
  <c r="CW137" i="17" s="1"/>
  <c r="BS137" i="17"/>
  <c r="CV137" i="17" s="1"/>
  <c r="BR137" i="17"/>
  <c r="CU137" i="17" s="1"/>
  <c r="BQ137" i="17"/>
  <c r="CT137" i="17" s="1"/>
  <c r="BP137" i="17"/>
  <c r="CS137" i="17" s="1"/>
  <c r="CQ137" i="17"/>
  <c r="BM137" i="17"/>
  <c r="CP137" i="17" s="1"/>
  <c r="BB137" i="17"/>
  <c r="AQ137" i="17"/>
  <c r="BX136" i="17"/>
  <c r="DA136" i="17" s="1"/>
  <c r="CX136" i="17"/>
  <c r="BT136" i="17"/>
  <c r="CW136" i="17" s="1"/>
  <c r="BS136" i="17"/>
  <c r="CV136" i="17" s="1"/>
  <c r="BR136" i="17"/>
  <c r="CU136" i="17" s="1"/>
  <c r="BQ136" i="17"/>
  <c r="CT136" i="17" s="1"/>
  <c r="BP136" i="17"/>
  <c r="CS136" i="17" s="1"/>
  <c r="CQ136" i="17"/>
  <c r="BM136" i="17"/>
  <c r="CP136" i="17" s="1"/>
  <c r="BB136" i="17"/>
  <c r="AQ136" i="17"/>
  <c r="BX135" i="17"/>
  <c r="DA135" i="17" s="1"/>
  <c r="CX135" i="17"/>
  <c r="BT135" i="17"/>
  <c r="CW135" i="17" s="1"/>
  <c r="BS135" i="17"/>
  <c r="CV135" i="17" s="1"/>
  <c r="BR135" i="17"/>
  <c r="CU135" i="17" s="1"/>
  <c r="BQ135" i="17"/>
  <c r="CT135" i="17" s="1"/>
  <c r="BP135" i="17"/>
  <c r="CS135" i="17" s="1"/>
  <c r="CQ135" i="17"/>
  <c r="BM135" i="17"/>
  <c r="CP135" i="17" s="1"/>
  <c r="BB135" i="17"/>
  <c r="AQ135" i="17"/>
  <c r="BX134" i="17"/>
  <c r="DA134" i="17" s="1"/>
  <c r="CX134" i="17"/>
  <c r="BT134" i="17"/>
  <c r="CW134" i="17" s="1"/>
  <c r="BS134" i="17"/>
  <c r="CV134" i="17" s="1"/>
  <c r="BR134" i="17"/>
  <c r="CU134" i="17" s="1"/>
  <c r="BQ134" i="17"/>
  <c r="CT134" i="17" s="1"/>
  <c r="BP134" i="17"/>
  <c r="CS134" i="17" s="1"/>
  <c r="CQ134" i="17"/>
  <c r="BM134" i="17"/>
  <c r="CP134" i="17" s="1"/>
  <c r="BB134" i="17"/>
  <c r="AQ134" i="17"/>
  <c r="BX133" i="17"/>
  <c r="DA133" i="17" s="1"/>
  <c r="CX133" i="17"/>
  <c r="BT133" i="17"/>
  <c r="CW133" i="17" s="1"/>
  <c r="BS133" i="17"/>
  <c r="CV133" i="17" s="1"/>
  <c r="BR133" i="17"/>
  <c r="CU133" i="17" s="1"/>
  <c r="BQ133" i="17"/>
  <c r="CT133" i="17" s="1"/>
  <c r="BP133" i="17"/>
  <c r="CS133" i="17" s="1"/>
  <c r="CQ133" i="17"/>
  <c r="BM133" i="17"/>
  <c r="CP133" i="17" s="1"/>
  <c r="BB133" i="17"/>
  <c r="AQ133" i="17"/>
  <c r="BX132" i="17"/>
  <c r="DA132" i="17" s="1"/>
  <c r="CX132" i="17"/>
  <c r="BT132" i="17"/>
  <c r="CW132" i="17" s="1"/>
  <c r="BS132" i="17"/>
  <c r="CV132" i="17" s="1"/>
  <c r="BR132" i="17"/>
  <c r="CU132" i="17" s="1"/>
  <c r="BQ132" i="17"/>
  <c r="CT132" i="17" s="1"/>
  <c r="BP132" i="17"/>
  <c r="CS132" i="17" s="1"/>
  <c r="CQ132" i="17"/>
  <c r="BM132" i="17"/>
  <c r="CP132" i="17" s="1"/>
  <c r="BB132" i="17"/>
  <c r="AQ132" i="17"/>
  <c r="BX131" i="17"/>
  <c r="DA131" i="17" s="1"/>
  <c r="CX131" i="17"/>
  <c r="BT131" i="17"/>
  <c r="CW131" i="17" s="1"/>
  <c r="BS131" i="17"/>
  <c r="CV131" i="17" s="1"/>
  <c r="BR131" i="17"/>
  <c r="CU131" i="17" s="1"/>
  <c r="BQ131" i="17"/>
  <c r="CT131" i="17" s="1"/>
  <c r="BP131" i="17"/>
  <c r="CS131" i="17" s="1"/>
  <c r="CQ131" i="17"/>
  <c r="BM131" i="17"/>
  <c r="CP131" i="17" s="1"/>
  <c r="BB131" i="17"/>
  <c r="AQ131" i="17"/>
  <c r="BX130" i="17"/>
  <c r="DA130" i="17" s="1"/>
  <c r="CX130" i="17"/>
  <c r="BT130" i="17"/>
  <c r="CW130" i="17" s="1"/>
  <c r="BS130" i="17"/>
  <c r="CV130" i="17" s="1"/>
  <c r="BR130" i="17"/>
  <c r="CU130" i="17" s="1"/>
  <c r="BQ130" i="17"/>
  <c r="CT130" i="17" s="1"/>
  <c r="BP130" i="17"/>
  <c r="CS130" i="17" s="1"/>
  <c r="CQ130" i="17"/>
  <c r="BM130" i="17"/>
  <c r="CP130" i="17" s="1"/>
  <c r="BB130" i="17"/>
  <c r="AQ130" i="17"/>
  <c r="BX129" i="17"/>
  <c r="DA129" i="17" s="1"/>
  <c r="CX129" i="17"/>
  <c r="BT129" i="17"/>
  <c r="CW129" i="17" s="1"/>
  <c r="BS129" i="17"/>
  <c r="CV129" i="17" s="1"/>
  <c r="BR129" i="17"/>
  <c r="CU129" i="17" s="1"/>
  <c r="BQ129" i="17"/>
  <c r="CT129" i="17" s="1"/>
  <c r="BP129" i="17"/>
  <c r="CS129" i="17" s="1"/>
  <c r="CQ129" i="17"/>
  <c r="BM129" i="17"/>
  <c r="CP129" i="17" s="1"/>
  <c r="BB129" i="17"/>
  <c r="AQ129" i="17"/>
  <c r="BX128" i="17"/>
  <c r="DA128" i="17" s="1"/>
  <c r="CX128" i="17"/>
  <c r="BT128" i="17"/>
  <c r="CW128" i="17" s="1"/>
  <c r="BS128" i="17"/>
  <c r="CV128" i="17" s="1"/>
  <c r="BR128" i="17"/>
  <c r="CU128" i="17" s="1"/>
  <c r="BQ128" i="17"/>
  <c r="CT128" i="17" s="1"/>
  <c r="BP128" i="17"/>
  <c r="CS128" i="17" s="1"/>
  <c r="CQ128" i="17"/>
  <c r="BM128" i="17"/>
  <c r="CP128" i="17" s="1"/>
  <c r="BB128" i="17"/>
  <c r="AQ128" i="17"/>
  <c r="BX127" i="17"/>
  <c r="DA127" i="17" s="1"/>
  <c r="CX127" i="17"/>
  <c r="BT127" i="17"/>
  <c r="CW127" i="17" s="1"/>
  <c r="BS127" i="17"/>
  <c r="CV127" i="17" s="1"/>
  <c r="BR127" i="17"/>
  <c r="CU127" i="17" s="1"/>
  <c r="BQ127" i="17"/>
  <c r="CT127" i="17" s="1"/>
  <c r="BP127" i="17"/>
  <c r="CS127" i="17" s="1"/>
  <c r="CQ127" i="17"/>
  <c r="BM127" i="17"/>
  <c r="CP127" i="17" s="1"/>
  <c r="BB127" i="17"/>
  <c r="AQ127" i="17"/>
  <c r="BX126" i="17"/>
  <c r="DA126" i="17" s="1"/>
  <c r="CX126" i="17"/>
  <c r="BT126" i="17"/>
  <c r="CW126" i="17" s="1"/>
  <c r="BS126" i="17"/>
  <c r="CV126" i="17" s="1"/>
  <c r="BR126" i="17"/>
  <c r="CU126" i="17" s="1"/>
  <c r="BQ126" i="17"/>
  <c r="CT126" i="17" s="1"/>
  <c r="BP126" i="17"/>
  <c r="CS126" i="17" s="1"/>
  <c r="CQ126" i="17"/>
  <c r="BM126" i="17"/>
  <c r="CP126" i="17" s="1"/>
  <c r="BB126" i="17"/>
  <c r="AQ126" i="17"/>
  <c r="BX125" i="17"/>
  <c r="DA125" i="17" s="1"/>
  <c r="CX125" i="17"/>
  <c r="BT125" i="17"/>
  <c r="CW125" i="17" s="1"/>
  <c r="BS125" i="17"/>
  <c r="CV125" i="17" s="1"/>
  <c r="BR125" i="17"/>
  <c r="CU125" i="17" s="1"/>
  <c r="BQ125" i="17"/>
  <c r="CT125" i="17" s="1"/>
  <c r="BP125" i="17"/>
  <c r="CS125" i="17" s="1"/>
  <c r="CQ125" i="17"/>
  <c r="BM125" i="17"/>
  <c r="CP125" i="17" s="1"/>
  <c r="BB125" i="17"/>
  <c r="AQ125" i="17"/>
  <c r="BX124" i="17"/>
  <c r="DA124" i="17" s="1"/>
  <c r="CX124" i="17"/>
  <c r="BT124" i="17"/>
  <c r="CW124" i="17" s="1"/>
  <c r="BS124" i="17"/>
  <c r="CV124" i="17" s="1"/>
  <c r="BR124" i="17"/>
  <c r="CU124" i="17" s="1"/>
  <c r="BQ124" i="17"/>
  <c r="CT124" i="17" s="1"/>
  <c r="BP124" i="17"/>
  <c r="CS124" i="17" s="1"/>
  <c r="CQ124" i="17"/>
  <c r="BM124" i="17"/>
  <c r="CP124" i="17" s="1"/>
  <c r="BB124" i="17"/>
  <c r="AQ124" i="17"/>
  <c r="BX123" i="17"/>
  <c r="DA123" i="17" s="1"/>
  <c r="CX123" i="17"/>
  <c r="BT123" i="17"/>
  <c r="CW123" i="17" s="1"/>
  <c r="BS123" i="17"/>
  <c r="CV123" i="17" s="1"/>
  <c r="BR123" i="17"/>
  <c r="CU123" i="17" s="1"/>
  <c r="BQ123" i="17"/>
  <c r="CT123" i="17" s="1"/>
  <c r="BP123" i="17"/>
  <c r="CS123" i="17" s="1"/>
  <c r="CQ123" i="17"/>
  <c r="BM123" i="17"/>
  <c r="CP123" i="17" s="1"/>
  <c r="BB123" i="17"/>
  <c r="AQ123" i="17"/>
  <c r="BX122" i="17"/>
  <c r="DA122" i="17" s="1"/>
  <c r="CX122" i="17"/>
  <c r="BT122" i="17"/>
  <c r="CW122" i="17" s="1"/>
  <c r="BS122" i="17"/>
  <c r="CV122" i="17" s="1"/>
  <c r="BR122" i="17"/>
  <c r="CU122" i="17" s="1"/>
  <c r="BQ122" i="17"/>
  <c r="CT122" i="17" s="1"/>
  <c r="BP122" i="17"/>
  <c r="CS122" i="17" s="1"/>
  <c r="CQ122" i="17"/>
  <c r="BM122" i="17"/>
  <c r="CP122" i="17" s="1"/>
  <c r="BB122" i="17"/>
  <c r="AQ122" i="17"/>
  <c r="BX121" i="17"/>
  <c r="DA121" i="17" s="1"/>
  <c r="CX121" i="17"/>
  <c r="BT121" i="17"/>
  <c r="CW121" i="17" s="1"/>
  <c r="BS121" i="17"/>
  <c r="CV121" i="17" s="1"/>
  <c r="BR121" i="17"/>
  <c r="CU121" i="17" s="1"/>
  <c r="BQ121" i="17"/>
  <c r="CT121" i="17" s="1"/>
  <c r="BP121" i="17"/>
  <c r="CS121" i="17" s="1"/>
  <c r="CQ121" i="17"/>
  <c r="BM121" i="17"/>
  <c r="CP121" i="17" s="1"/>
  <c r="BB121" i="17"/>
  <c r="AQ121" i="17"/>
  <c r="BX120" i="17"/>
  <c r="DA120" i="17" s="1"/>
  <c r="CX120" i="17"/>
  <c r="BT120" i="17"/>
  <c r="CW120" i="17" s="1"/>
  <c r="BS120" i="17"/>
  <c r="CV120" i="17" s="1"/>
  <c r="BR120" i="17"/>
  <c r="CU120" i="17" s="1"/>
  <c r="BQ120" i="17"/>
  <c r="CT120" i="17" s="1"/>
  <c r="BP120" i="17"/>
  <c r="CS120" i="17" s="1"/>
  <c r="CQ120" i="17"/>
  <c r="BM120" i="17"/>
  <c r="CP120" i="17" s="1"/>
  <c r="BB120" i="17"/>
  <c r="AQ120" i="17"/>
  <c r="BX119" i="17"/>
  <c r="DA119" i="17" s="1"/>
  <c r="CX119" i="17"/>
  <c r="BT119" i="17"/>
  <c r="CW119" i="17" s="1"/>
  <c r="BS119" i="17"/>
  <c r="CV119" i="17" s="1"/>
  <c r="BR119" i="17"/>
  <c r="CU119" i="17" s="1"/>
  <c r="BQ119" i="17"/>
  <c r="CT119" i="17" s="1"/>
  <c r="BP119" i="17"/>
  <c r="CS119" i="17" s="1"/>
  <c r="CQ119" i="17"/>
  <c r="BM119" i="17"/>
  <c r="CP119" i="17" s="1"/>
  <c r="BB119" i="17"/>
  <c r="AQ119" i="17"/>
  <c r="BX118" i="17"/>
  <c r="DA118" i="17" s="1"/>
  <c r="CX118" i="17"/>
  <c r="BT118" i="17"/>
  <c r="CW118" i="17" s="1"/>
  <c r="BS118" i="17"/>
  <c r="CV118" i="17" s="1"/>
  <c r="BR118" i="17"/>
  <c r="CU118" i="17" s="1"/>
  <c r="BQ118" i="17"/>
  <c r="CT118" i="17" s="1"/>
  <c r="BP118" i="17"/>
  <c r="CS118" i="17" s="1"/>
  <c r="CQ118" i="17"/>
  <c r="BM118" i="17"/>
  <c r="CP118" i="17" s="1"/>
  <c r="BB118" i="17"/>
  <c r="AQ118" i="17"/>
  <c r="BX117" i="17"/>
  <c r="DA117" i="17" s="1"/>
  <c r="CX117" i="17"/>
  <c r="BT117" i="17"/>
  <c r="CW117" i="17" s="1"/>
  <c r="BS117" i="17"/>
  <c r="CV117" i="17" s="1"/>
  <c r="BR117" i="17"/>
  <c r="CU117" i="17" s="1"/>
  <c r="BQ117" i="17"/>
  <c r="CT117" i="17" s="1"/>
  <c r="BP117" i="17"/>
  <c r="CS117" i="17" s="1"/>
  <c r="CQ117" i="17"/>
  <c r="BM117" i="17"/>
  <c r="CP117" i="17" s="1"/>
  <c r="BB117" i="17"/>
  <c r="AQ117" i="17"/>
  <c r="BX116" i="17"/>
  <c r="DA116" i="17" s="1"/>
  <c r="CX116" i="17"/>
  <c r="BT116" i="17"/>
  <c r="CW116" i="17" s="1"/>
  <c r="BS116" i="17"/>
  <c r="CV116" i="17" s="1"/>
  <c r="BR116" i="17"/>
  <c r="CU116" i="17" s="1"/>
  <c r="BQ116" i="17"/>
  <c r="CT116" i="17" s="1"/>
  <c r="BP116" i="17"/>
  <c r="CS116" i="17" s="1"/>
  <c r="CQ116" i="17"/>
  <c r="BM116" i="17"/>
  <c r="CP116" i="17" s="1"/>
  <c r="BB116" i="17"/>
  <c r="AQ116" i="17"/>
  <c r="BX115" i="17"/>
  <c r="DA115" i="17" s="1"/>
  <c r="CX115" i="17"/>
  <c r="BT115" i="17"/>
  <c r="CW115" i="17" s="1"/>
  <c r="BS115" i="17"/>
  <c r="CV115" i="17" s="1"/>
  <c r="BR115" i="17"/>
  <c r="CU115" i="17" s="1"/>
  <c r="BQ115" i="17"/>
  <c r="CT115" i="17" s="1"/>
  <c r="BP115" i="17"/>
  <c r="CS115" i="17" s="1"/>
  <c r="CQ115" i="17"/>
  <c r="BM115" i="17"/>
  <c r="CP115" i="17" s="1"/>
  <c r="BB115" i="17"/>
  <c r="AQ115" i="17"/>
  <c r="BX114" i="17"/>
  <c r="DA114" i="17" s="1"/>
  <c r="CX114" i="17"/>
  <c r="BT114" i="17"/>
  <c r="CW114" i="17" s="1"/>
  <c r="BS114" i="17"/>
  <c r="CV114" i="17" s="1"/>
  <c r="BR114" i="17"/>
  <c r="CU114" i="17" s="1"/>
  <c r="BQ114" i="17"/>
  <c r="CT114" i="17" s="1"/>
  <c r="BP114" i="17"/>
  <c r="CS114" i="17" s="1"/>
  <c r="CQ114" i="17"/>
  <c r="BM114" i="17"/>
  <c r="CP114" i="17" s="1"/>
  <c r="BB114" i="17"/>
  <c r="AQ114" i="17"/>
  <c r="BX113" i="17"/>
  <c r="DA113" i="17" s="1"/>
  <c r="CX113" i="17"/>
  <c r="BT113" i="17"/>
  <c r="CW113" i="17" s="1"/>
  <c r="BS113" i="17"/>
  <c r="CV113" i="17" s="1"/>
  <c r="BR113" i="17"/>
  <c r="CU113" i="17" s="1"/>
  <c r="BQ113" i="17"/>
  <c r="CT113" i="17" s="1"/>
  <c r="BP113" i="17"/>
  <c r="CS113" i="17" s="1"/>
  <c r="CQ113" i="17"/>
  <c r="BM113" i="17"/>
  <c r="CP113" i="17" s="1"/>
  <c r="BB113" i="17"/>
  <c r="AQ113" i="17"/>
  <c r="BX112" i="17"/>
  <c r="DA112" i="17" s="1"/>
  <c r="CX112" i="17"/>
  <c r="BT112" i="17"/>
  <c r="CW112" i="17" s="1"/>
  <c r="BS112" i="17"/>
  <c r="CV112" i="17" s="1"/>
  <c r="BR112" i="17"/>
  <c r="CU112" i="17" s="1"/>
  <c r="BQ112" i="17"/>
  <c r="CT112" i="17" s="1"/>
  <c r="BP112" i="17"/>
  <c r="CS112" i="17" s="1"/>
  <c r="CQ112" i="17"/>
  <c r="BM112" i="17"/>
  <c r="CP112" i="17" s="1"/>
  <c r="BB112" i="17"/>
  <c r="AQ112" i="17"/>
  <c r="BX111" i="17"/>
  <c r="DA111" i="17" s="1"/>
  <c r="CX111" i="17"/>
  <c r="BT111" i="17"/>
  <c r="CW111" i="17" s="1"/>
  <c r="BS111" i="17"/>
  <c r="CV111" i="17" s="1"/>
  <c r="BR111" i="17"/>
  <c r="CU111" i="17" s="1"/>
  <c r="BQ111" i="17"/>
  <c r="CT111" i="17" s="1"/>
  <c r="BP111" i="17"/>
  <c r="CS111" i="17" s="1"/>
  <c r="CQ111" i="17"/>
  <c r="BM111" i="17"/>
  <c r="CP111" i="17" s="1"/>
  <c r="BB111" i="17"/>
  <c r="AQ111" i="17"/>
  <c r="BX110" i="17"/>
  <c r="DA110" i="17" s="1"/>
  <c r="CX110" i="17"/>
  <c r="BT110" i="17"/>
  <c r="CW110" i="17" s="1"/>
  <c r="BS110" i="17"/>
  <c r="CV110" i="17" s="1"/>
  <c r="BR110" i="17"/>
  <c r="CU110" i="17" s="1"/>
  <c r="BQ110" i="17"/>
  <c r="CT110" i="17" s="1"/>
  <c r="BP110" i="17"/>
  <c r="CS110" i="17" s="1"/>
  <c r="CQ110" i="17"/>
  <c r="BM110" i="17"/>
  <c r="CP110" i="17" s="1"/>
  <c r="BB110" i="17"/>
  <c r="AQ110" i="17"/>
  <c r="BX109" i="17"/>
  <c r="DA109" i="17" s="1"/>
  <c r="CX109" i="17"/>
  <c r="BT109" i="17"/>
  <c r="CW109" i="17" s="1"/>
  <c r="BS109" i="17"/>
  <c r="CV109" i="17" s="1"/>
  <c r="BR109" i="17"/>
  <c r="CU109" i="17" s="1"/>
  <c r="BQ109" i="17"/>
  <c r="CT109" i="17" s="1"/>
  <c r="BP109" i="17"/>
  <c r="CS109" i="17" s="1"/>
  <c r="CQ109" i="17"/>
  <c r="BM109" i="17"/>
  <c r="CP109" i="17" s="1"/>
  <c r="BB109" i="17"/>
  <c r="AQ109" i="17"/>
  <c r="BX108" i="17"/>
  <c r="DA108" i="17" s="1"/>
  <c r="CX108" i="17"/>
  <c r="BT108" i="17"/>
  <c r="CW108" i="17" s="1"/>
  <c r="BS108" i="17"/>
  <c r="CV108" i="17" s="1"/>
  <c r="BR108" i="17"/>
  <c r="CU108" i="17" s="1"/>
  <c r="BQ108" i="17"/>
  <c r="CT108" i="17" s="1"/>
  <c r="BP108" i="17"/>
  <c r="CS108" i="17" s="1"/>
  <c r="CQ108" i="17"/>
  <c r="BM108" i="17"/>
  <c r="CP108" i="17" s="1"/>
  <c r="BB108" i="17"/>
  <c r="AQ108" i="17"/>
  <c r="BX107" i="17"/>
  <c r="DA107" i="17" s="1"/>
  <c r="CX107" i="17"/>
  <c r="BT107" i="17"/>
  <c r="CW107" i="17" s="1"/>
  <c r="BS107" i="17"/>
  <c r="CV107" i="17" s="1"/>
  <c r="BR107" i="17"/>
  <c r="CU107" i="17" s="1"/>
  <c r="BQ107" i="17"/>
  <c r="CT107" i="17" s="1"/>
  <c r="BP107" i="17"/>
  <c r="CS107" i="17" s="1"/>
  <c r="CQ107" i="17"/>
  <c r="BM107" i="17"/>
  <c r="CP107" i="17" s="1"/>
  <c r="BB107" i="17"/>
  <c r="AQ107" i="17"/>
  <c r="BX106" i="17"/>
  <c r="DA106" i="17" s="1"/>
  <c r="CX106" i="17"/>
  <c r="BT106" i="17"/>
  <c r="CW106" i="17" s="1"/>
  <c r="BS106" i="17"/>
  <c r="CV106" i="17" s="1"/>
  <c r="BR106" i="17"/>
  <c r="CU106" i="17" s="1"/>
  <c r="BQ106" i="17"/>
  <c r="CT106" i="17" s="1"/>
  <c r="BP106" i="17"/>
  <c r="CS106" i="17" s="1"/>
  <c r="CQ106" i="17"/>
  <c r="BM106" i="17"/>
  <c r="CP106" i="17" s="1"/>
  <c r="BB106" i="17"/>
  <c r="AQ106" i="17"/>
  <c r="BX105" i="17"/>
  <c r="DA105" i="17" s="1"/>
  <c r="CX105" i="17"/>
  <c r="BT105" i="17"/>
  <c r="CW105" i="17" s="1"/>
  <c r="BS105" i="17"/>
  <c r="CV105" i="17" s="1"/>
  <c r="BR105" i="17"/>
  <c r="CU105" i="17" s="1"/>
  <c r="BQ105" i="17"/>
  <c r="CT105" i="17" s="1"/>
  <c r="BP105" i="17"/>
  <c r="CS105" i="17" s="1"/>
  <c r="CQ105" i="17"/>
  <c r="BM105" i="17"/>
  <c r="CP105" i="17" s="1"/>
  <c r="BB105" i="17"/>
  <c r="AQ105" i="17"/>
  <c r="BX104" i="17"/>
  <c r="DA104" i="17" s="1"/>
  <c r="CX104" i="17"/>
  <c r="BT104" i="17"/>
  <c r="CW104" i="17" s="1"/>
  <c r="BS104" i="17"/>
  <c r="CV104" i="17" s="1"/>
  <c r="BR104" i="17"/>
  <c r="CU104" i="17" s="1"/>
  <c r="BQ104" i="17"/>
  <c r="CT104" i="17" s="1"/>
  <c r="BP104" i="17"/>
  <c r="CS104" i="17" s="1"/>
  <c r="CQ104" i="17"/>
  <c r="BM104" i="17"/>
  <c r="CP104" i="17" s="1"/>
  <c r="BB104" i="17"/>
  <c r="AQ104" i="17"/>
  <c r="BX103" i="17"/>
  <c r="DA103" i="17" s="1"/>
  <c r="CX103" i="17"/>
  <c r="BT103" i="17"/>
  <c r="CW103" i="17" s="1"/>
  <c r="BS103" i="17"/>
  <c r="CV103" i="17" s="1"/>
  <c r="BR103" i="17"/>
  <c r="CU103" i="17" s="1"/>
  <c r="BQ103" i="17"/>
  <c r="CT103" i="17" s="1"/>
  <c r="BP103" i="17"/>
  <c r="CS103" i="17" s="1"/>
  <c r="CQ103" i="17"/>
  <c r="BM103" i="17"/>
  <c r="CP103" i="17" s="1"/>
  <c r="BB103" i="17"/>
  <c r="AQ103" i="17"/>
  <c r="BX102" i="17"/>
  <c r="DA102" i="17" s="1"/>
  <c r="CX102" i="17"/>
  <c r="BT102" i="17"/>
  <c r="CW102" i="17" s="1"/>
  <c r="BS102" i="17"/>
  <c r="CV102" i="17" s="1"/>
  <c r="BR102" i="17"/>
  <c r="CU102" i="17" s="1"/>
  <c r="BQ102" i="17"/>
  <c r="CT102" i="17" s="1"/>
  <c r="BP102" i="17"/>
  <c r="CS102" i="17" s="1"/>
  <c r="CQ102" i="17"/>
  <c r="BM102" i="17"/>
  <c r="CP102" i="17" s="1"/>
  <c r="BB102" i="17"/>
  <c r="AQ102" i="17"/>
  <c r="BX101" i="17"/>
  <c r="DA101" i="17" s="1"/>
  <c r="CX101" i="17"/>
  <c r="BT101" i="17"/>
  <c r="CW101" i="17" s="1"/>
  <c r="BS101" i="17"/>
  <c r="CV101" i="17" s="1"/>
  <c r="BR101" i="17"/>
  <c r="CU101" i="17" s="1"/>
  <c r="BQ101" i="17"/>
  <c r="CT101" i="17" s="1"/>
  <c r="BP101" i="17"/>
  <c r="CS101" i="17" s="1"/>
  <c r="CQ101" i="17"/>
  <c r="BM101" i="17"/>
  <c r="CP101" i="17" s="1"/>
  <c r="BB101" i="17"/>
  <c r="AQ101" i="17"/>
  <c r="BX100" i="17"/>
  <c r="DA100" i="17" s="1"/>
  <c r="CX100" i="17"/>
  <c r="BT100" i="17"/>
  <c r="CW100" i="17" s="1"/>
  <c r="BS100" i="17"/>
  <c r="CV100" i="17" s="1"/>
  <c r="BR100" i="17"/>
  <c r="CU100" i="17" s="1"/>
  <c r="BQ100" i="17"/>
  <c r="CT100" i="17" s="1"/>
  <c r="BP100" i="17"/>
  <c r="CS100" i="17" s="1"/>
  <c r="CQ100" i="17"/>
  <c r="BM100" i="17"/>
  <c r="CP100" i="17" s="1"/>
  <c r="BB100" i="17"/>
  <c r="AQ100" i="17"/>
  <c r="BX99" i="17"/>
  <c r="DA99" i="17" s="1"/>
  <c r="CX99" i="17"/>
  <c r="BT99" i="17"/>
  <c r="CW99" i="17" s="1"/>
  <c r="BS99" i="17"/>
  <c r="CV99" i="17" s="1"/>
  <c r="BR99" i="17"/>
  <c r="CU99" i="17" s="1"/>
  <c r="BQ99" i="17"/>
  <c r="CT99" i="17" s="1"/>
  <c r="BP99" i="17"/>
  <c r="CS99" i="17" s="1"/>
  <c r="CQ99" i="17"/>
  <c r="BM99" i="17"/>
  <c r="CP99" i="17" s="1"/>
  <c r="BB99" i="17"/>
  <c r="AQ99" i="17"/>
  <c r="BX98" i="17"/>
  <c r="DA98" i="17" s="1"/>
  <c r="CX98" i="17"/>
  <c r="BT98" i="17"/>
  <c r="CW98" i="17" s="1"/>
  <c r="BS98" i="17"/>
  <c r="CV98" i="17" s="1"/>
  <c r="BR98" i="17"/>
  <c r="CU98" i="17" s="1"/>
  <c r="BQ98" i="17"/>
  <c r="CT98" i="17" s="1"/>
  <c r="BP98" i="17"/>
  <c r="CS98" i="17" s="1"/>
  <c r="CQ98" i="17"/>
  <c r="BM98" i="17"/>
  <c r="CP98" i="17" s="1"/>
  <c r="BB98" i="17"/>
  <c r="AQ98" i="17"/>
  <c r="BX97" i="17"/>
  <c r="DA97" i="17" s="1"/>
  <c r="CX97" i="17"/>
  <c r="BT97" i="17"/>
  <c r="CW97" i="17" s="1"/>
  <c r="BS97" i="17"/>
  <c r="CV97" i="17" s="1"/>
  <c r="BR97" i="17"/>
  <c r="CU97" i="17" s="1"/>
  <c r="BQ97" i="17"/>
  <c r="CT97" i="17" s="1"/>
  <c r="BP97" i="17"/>
  <c r="CS97" i="17" s="1"/>
  <c r="CQ97" i="17"/>
  <c r="BM97" i="17"/>
  <c r="CP97" i="17" s="1"/>
  <c r="BB97" i="17"/>
  <c r="AQ97" i="17"/>
  <c r="BX96" i="17"/>
  <c r="DA96" i="17" s="1"/>
  <c r="CX96" i="17"/>
  <c r="BT96" i="17"/>
  <c r="CW96" i="17" s="1"/>
  <c r="BS96" i="17"/>
  <c r="CV96" i="17" s="1"/>
  <c r="BR96" i="17"/>
  <c r="CU96" i="17" s="1"/>
  <c r="BQ96" i="17"/>
  <c r="CT96" i="17" s="1"/>
  <c r="BP96" i="17"/>
  <c r="CS96" i="17" s="1"/>
  <c r="CQ96" i="17"/>
  <c r="BM96" i="17"/>
  <c r="CP96" i="17" s="1"/>
  <c r="BB96" i="17"/>
  <c r="AQ96" i="17"/>
  <c r="BX95" i="17"/>
  <c r="DA95" i="17" s="1"/>
  <c r="CX95" i="17"/>
  <c r="BT95" i="17"/>
  <c r="CW95" i="17" s="1"/>
  <c r="BS95" i="17"/>
  <c r="CV95" i="17" s="1"/>
  <c r="BR95" i="17"/>
  <c r="CU95" i="17" s="1"/>
  <c r="BQ95" i="17"/>
  <c r="CT95" i="17" s="1"/>
  <c r="BP95" i="17"/>
  <c r="CS95" i="17" s="1"/>
  <c r="CQ95" i="17"/>
  <c r="BM95" i="17"/>
  <c r="CP95" i="17" s="1"/>
  <c r="BB95" i="17"/>
  <c r="AQ95" i="17"/>
  <c r="BX94" i="17"/>
  <c r="DA94" i="17" s="1"/>
  <c r="CX94" i="17"/>
  <c r="BT94" i="17"/>
  <c r="CW94" i="17" s="1"/>
  <c r="BS94" i="17"/>
  <c r="CV94" i="17" s="1"/>
  <c r="BR94" i="17"/>
  <c r="CU94" i="17" s="1"/>
  <c r="BQ94" i="17"/>
  <c r="CT94" i="17" s="1"/>
  <c r="BP94" i="17"/>
  <c r="CS94" i="17" s="1"/>
  <c r="CQ94" i="17"/>
  <c r="BM94" i="17"/>
  <c r="CP94" i="17" s="1"/>
  <c r="BB94" i="17"/>
  <c r="AQ94" i="17"/>
  <c r="BX93" i="17"/>
  <c r="DA93" i="17" s="1"/>
  <c r="CX93" i="17"/>
  <c r="BT93" i="17"/>
  <c r="CW93" i="17" s="1"/>
  <c r="BS93" i="17"/>
  <c r="CV93" i="17" s="1"/>
  <c r="BR93" i="17"/>
  <c r="CU93" i="17" s="1"/>
  <c r="BQ93" i="17"/>
  <c r="CT93" i="17" s="1"/>
  <c r="BP93" i="17"/>
  <c r="CS93" i="17" s="1"/>
  <c r="CQ93" i="17"/>
  <c r="BM93" i="17"/>
  <c r="CP93" i="17" s="1"/>
  <c r="BB93" i="17"/>
  <c r="AQ93" i="17"/>
  <c r="BX92" i="17"/>
  <c r="DA92" i="17" s="1"/>
  <c r="CX92" i="17"/>
  <c r="BT92" i="17"/>
  <c r="CW92" i="17" s="1"/>
  <c r="BS92" i="17"/>
  <c r="CV92" i="17" s="1"/>
  <c r="BR92" i="17"/>
  <c r="CU92" i="17" s="1"/>
  <c r="BQ92" i="17"/>
  <c r="CT92" i="17" s="1"/>
  <c r="BP92" i="17"/>
  <c r="CS92" i="17" s="1"/>
  <c r="CQ92" i="17"/>
  <c r="BM92" i="17"/>
  <c r="CP92" i="17" s="1"/>
  <c r="BB92" i="17"/>
  <c r="AQ92" i="17"/>
  <c r="BX91" i="17"/>
  <c r="DA91" i="17" s="1"/>
  <c r="CX91" i="17"/>
  <c r="BT91" i="17"/>
  <c r="CW91" i="17" s="1"/>
  <c r="BS91" i="17"/>
  <c r="CV91" i="17" s="1"/>
  <c r="BR91" i="17"/>
  <c r="CU91" i="17" s="1"/>
  <c r="BQ91" i="17"/>
  <c r="CT91" i="17" s="1"/>
  <c r="BP91" i="17"/>
  <c r="CS91" i="17" s="1"/>
  <c r="CQ91" i="17"/>
  <c r="BM91" i="17"/>
  <c r="CP91" i="17" s="1"/>
  <c r="BB91" i="17"/>
  <c r="AQ91" i="17"/>
  <c r="BX90" i="17"/>
  <c r="DA90" i="17" s="1"/>
  <c r="CX90" i="17"/>
  <c r="BT90" i="17"/>
  <c r="CW90" i="17" s="1"/>
  <c r="BS90" i="17"/>
  <c r="CV90" i="17" s="1"/>
  <c r="BR90" i="17"/>
  <c r="CU90" i="17" s="1"/>
  <c r="BQ90" i="17"/>
  <c r="CT90" i="17" s="1"/>
  <c r="BP90" i="17"/>
  <c r="CS90" i="17" s="1"/>
  <c r="CQ90" i="17"/>
  <c r="BM90" i="17"/>
  <c r="CP90" i="17" s="1"/>
  <c r="BB90" i="17"/>
  <c r="AQ90" i="17"/>
  <c r="BX89" i="17"/>
  <c r="DA89" i="17" s="1"/>
  <c r="CX89" i="17"/>
  <c r="BT89" i="17"/>
  <c r="CW89" i="17" s="1"/>
  <c r="BS89" i="17"/>
  <c r="CV89" i="17" s="1"/>
  <c r="BR89" i="17"/>
  <c r="CU89" i="17" s="1"/>
  <c r="BQ89" i="17"/>
  <c r="CT89" i="17" s="1"/>
  <c r="BP89" i="17"/>
  <c r="CS89" i="17" s="1"/>
  <c r="CQ89" i="17"/>
  <c r="BM89" i="17"/>
  <c r="CP89" i="17" s="1"/>
  <c r="BB89" i="17"/>
  <c r="AQ89" i="17"/>
  <c r="BX88" i="17"/>
  <c r="DA88" i="17" s="1"/>
  <c r="CX88" i="17"/>
  <c r="BT88" i="17"/>
  <c r="CW88" i="17" s="1"/>
  <c r="BS88" i="17"/>
  <c r="CV88" i="17" s="1"/>
  <c r="BR88" i="17"/>
  <c r="CU88" i="17" s="1"/>
  <c r="BQ88" i="17"/>
  <c r="CT88" i="17" s="1"/>
  <c r="BP88" i="17"/>
  <c r="CS88" i="17" s="1"/>
  <c r="CQ88" i="17"/>
  <c r="BM88" i="17"/>
  <c r="CP88" i="17" s="1"/>
  <c r="BB88" i="17"/>
  <c r="AQ88" i="17"/>
  <c r="BX87" i="17"/>
  <c r="DA87" i="17" s="1"/>
  <c r="CX87" i="17"/>
  <c r="BT87" i="17"/>
  <c r="CW87" i="17" s="1"/>
  <c r="BS87" i="17"/>
  <c r="CV87" i="17" s="1"/>
  <c r="BR87" i="17"/>
  <c r="CU87" i="17" s="1"/>
  <c r="BQ87" i="17"/>
  <c r="CT87" i="17" s="1"/>
  <c r="BP87" i="17"/>
  <c r="CS87" i="17" s="1"/>
  <c r="CQ87" i="17"/>
  <c r="BM87" i="17"/>
  <c r="CP87" i="17" s="1"/>
  <c r="BB87" i="17"/>
  <c r="AQ87" i="17"/>
  <c r="BX86" i="17"/>
  <c r="DA86" i="17" s="1"/>
  <c r="CX86" i="17"/>
  <c r="BT86" i="17"/>
  <c r="CW86" i="17" s="1"/>
  <c r="BS86" i="17"/>
  <c r="CV86" i="17" s="1"/>
  <c r="BR86" i="17"/>
  <c r="CU86" i="17" s="1"/>
  <c r="BQ86" i="17"/>
  <c r="CT86" i="17" s="1"/>
  <c r="BP86" i="17"/>
  <c r="CS86" i="17" s="1"/>
  <c r="CQ86" i="17"/>
  <c r="BM86" i="17"/>
  <c r="CP86" i="17" s="1"/>
  <c r="BB86" i="17"/>
  <c r="AQ86" i="17"/>
  <c r="BX85" i="17"/>
  <c r="DA85" i="17" s="1"/>
  <c r="CX85" i="17"/>
  <c r="BT85" i="17"/>
  <c r="CW85" i="17" s="1"/>
  <c r="BS85" i="17"/>
  <c r="CV85" i="17" s="1"/>
  <c r="BR85" i="17"/>
  <c r="CU85" i="17" s="1"/>
  <c r="BQ85" i="17"/>
  <c r="CT85" i="17" s="1"/>
  <c r="BP85" i="17"/>
  <c r="CS85" i="17" s="1"/>
  <c r="CQ85" i="17"/>
  <c r="BM85" i="17"/>
  <c r="CP85" i="17" s="1"/>
  <c r="BB85" i="17"/>
  <c r="AQ85" i="17"/>
  <c r="BX84" i="17"/>
  <c r="DA84" i="17" s="1"/>
  <c r="CX84" i="17"/>
  <c r="BT84" i="17"/>
  <c r="CW84" i="17" s="1"/>
  <c r="BS84" i="17"/>
  <c r="CV84" i="17" s="1"/>
  <c r="BR84" i="17"/>
  <c r="CU84" i="17" s="1"/>
  <c r="BQ84" i="17"/>
  <c r="CT84" i="17" s="1"/>
  <c r="BP84" i="17"/>
  <c r="CS84" i="17" s="1"/>
  <c r="CQ84" i="17"/>
  <c r="BM84" i="17"/>
  <c r="CP84" i="17" s="1"/>
  <c r="BB84" i="17"/>
  <c r="AQ84" i="17"/>
  <c r="BX83" i="17"/>
  <c r="DA83" i="17" s="1"/>
  <c r="CX83" i="17"/>
  <c r="BT83" i="17"/>
  <c r="CW83" i="17" s="1"/>
  <c r="BS83" i="17"/>
  <c r="CV83" i="17" s="1"/>
  <c r="BR83" i="17"/>
  <c r="CU83" i="17" s="1"/>
  <c r="BQ83" i="17"/>
  <c r="CT83" i="17" s="1"/>
  <c r="BP83" i="17"/>
  <c r="CS83" i="17" s="1"/>
  <c r="CQ83" i="17"/>
  <c r="BM83" i="17"/>
  <c r="CP83" i="17" s="1"/>
  <c r="BB83" i="17"/>
  <c r="AQ83" i="17"/>
  <c r="BX82" i="17"/>
  <c r="DA82" i="17" s="1"/>
  <c r="CX82" i="17"/>
  <c r="BT82" i="17"/>
  <c r="CW82" i="17" s="1"/>
  <c r="BS82" i="17"/>
  <c r="CV82" i="17" s="1"/>
  <c r="BR82" i="17"/>
  <c r="CU82" i="17" s="1"/>
  <c r="BQ82" i="17"/>
  <c r="CT82" i="17" s="1"/>
  <c r="BP82" i="17"/>
  <c r="CS82" i="17" s="1"/>
  <c r="CQ82" i="17"/>
  <c r="BM82" i="17"/>
  <c r="CP82" i="17" s="1"/>
  <c r="BB82" i="17"/>
  <c r="AQ82" i="17"/>
  <c r="BX81" i="17"/>
  <c r="DA81" i="17" s="1"/>
  <c r="CX81" i="17"/>
  <c r="BT81" i="17"/>
  <c r="CW81" i="17" s="1"/>
  <c r="BS81" i="17"/>
  <c r="CV81" i="17" s="1"/>
  <c r="BR81" i="17"/>
  <c r="CU81" i="17" s="1"/>
  <c r="BQ81" i="17"/>
  <c r="CT81" i="17" s="1"/>
  <c r="BP81" i="17"/>
  <c r="CS81" i="17" s="1"/>
  <c r="CQ81" i="17"/>
  <c r="BM81" i="17"/>
  <c r="CP81" i="17" s="1"/>
  <c r="BB81" i="17"/>
  <c r="AQ81" i="17"/>
  <c r="BX80" i="17"/>
  <c r="DA80" i="17" s="1"/>
  <c r="CX80" i="17"/>
  <c r="BT80" i="17"/>
  <c r="CW80" i="17" s="1"/>
  <c r="BS80" i="17"/>
  <c r="CV80" i="17" s="1"/>
  <c r="BR80" i="17"/>
  <c r="CU80" i="17" s="1"/>
  <c r="BQ80" i="17"/>
  <c r="CT80" i="17" s="1"/>
  <c r="BP80" i="17"/>
  <c r="CS80" i="17" s="1"/>
  <c r="CQ80" i="17"/>
  <c r="BM80" i="17"/>
  <c r="CP80" i="17" s="1"/>
  <c r="BB80" i="17"/>
  <c r="AQ80" i="17"/>
  <c r="BX79" i="17"/>
  <c r="DA79" i="17" s="1"/>
  <c r="CX79" i="17"/>
  <c r="BT79" i="17"/>
  <c r="CW79" i="17" s="1"/>
  <c r="BS79" i="17"/>
  <c r="CV79" i="17" s="1"/>
  <c r="BR79" i="17"/>
  <c r="CU79" i="17" s="1"/>
  <c r="BQ79" i="17"/>
  <c r="CT79" i="17" s="1"/>
  <c r="BP79" i="17"/>
  <c r="CS79" i="17" s="1"/>
  <c r="CQ79" i="17"/>
  <c r="BM79" i="17"/>
  <c r="CP79" i="17" s="1"/>
  <c r="BB79" i="17"/>
  <c r="AQ79" i="17"/>
  <c r="BX78" i="17"/>
  <c r="DA78" i="17" s="1"/>
  <c r="CX78" i="17"/>
  <c r="BT78" i="17"/>
  <c r="CW78" i="17" s="1"/>
  <c r="BS78" i="17"/>
  <c r="CV78" i="17" s="1"/>
  <c r="BR78" i="17"/>
  <c r="CU78" i="17" s="1"/>
  <c r="BQ78" i="17"/>
  <c r="CT78" i="17" s="1"/>
  <c r="BP78" i="17"/>
  <c r="CS78" i="17" s="1"/>
  <c r="CQ78" i="17"/>
  <c r="BM78" i="17"/>
  <c r="CP78" i="17" s="1"/>
  <c r="BB78" i="17"/>
  <c r="AQ78" i="17"/>
  <c r="BX77" i="17"/>
  <c r="DA77" i="17" s="1"/>
  <c r="CX77" i="17"/>
  <c r="BT77" i="17"/>
  <c r="CW77" i="17" s="1"/>
  <c r="BS77" i="17"/>
  <c r="CV77" i="17" s="1"/>
  <c r="BR77" i="17"/>
  <c r="CU77" i="17" s="1"/>
  <c r="BQ77" i="17"/>
  <c r="CT77" i="17" s="1"/>
  <c r="BP77" i="17"/>
  <c r="CS77" i="17" s="1"/>
  <c r="CQ77" i="17"/>
  <c r="BM77" i="17"/>
  <c r="CP77" i="17" s="1"/>
  <c r="BB77" i="17"/>
  <c r="AQ77" i="17"/>
  <c r="BX76" i="17"/>
  <c r="DA76" i="17" s="1"/>
  <c r="CX76" i="17"/>
  <c r="BT76" i="17"/>
  <c r="CW76" i="17" s="1"/>
  <c r="BS76" i="17"/>
  <c r="CV76" i="17" s="1"/>
  <c r="BR76" i="17"/>
  <c r="CU76" i="17" s="1"/>
  <c r="BQ76" i="17"/>
  <c r="CT76" i="17" s="1"/>
  <c r="BP76" i="17"/>
  <c r="CS76" i="17" s="1"/>
  <c r="CQ76" i="17"/>
  <c r="BM76" i="17"/>
  <c r="CP76" i="17" s="1"/>
  <c r="BB76" i="17"/>
  <c r="AQ76" i="17"/>
  <c r="BX75" i="17"/>
  <c r="DA75" i="17" s="1"/>
  <c r="CX75" i="17"/>
  <c r="BT75" i="17"/>
  <c r="CW75" i="17" s="1"/>
  <c r="BS75" i="17"/>
  <c r="CV75" i="17" s="1"/>
  <c r="BR75" i="17"/>
  <c r="CU75" i="17" s="1"/>
  <c r="BQ75" i="17"/>
  <c r="CT75" i="17" s="1"/>
  <c r="BP75" i="17"/>
  <c r="CS75" i="17" s="1"/>
  <c r="CQ75" i="17"/>
  <c r="BM75" i="17"/>
  <c r="CP75" i="17" s="1"/>
  <c r="BB75" i="17"/>
  <c r="AQ75" i="17"/>
  <c r="BX74" i="17"/>
  <c r="DA74" i="17" s="1"/>
  <c r="CX74" i="17"/>
  <c r="BT74" i="17"/>
  <c r="CW74" i="17" s="1"/>
  <c r="BS74" i="17"/>
  <c r="CV74" i="17" s="1"/>
  <c r="BR74" i="17"/>
  <c r="CU74" i="17" s="1"/>
  <c r="BQ74" i="17"/>
  <c r="CT74" i="17" s="1"/>
  <c r="BP74" i="17"/>
  <c r="CS74" i="17" s="1"/>
  <c r="CQ74" i="17"/>
  <c r="BM74" i="17"/>
  <c r="CP74" i="17" s="1"/>
  <c r="BB74" i="17"/>
  <c r="AQ74" i="17"/>
  <c r="BX73" i="17"/>
  <c r="DA73" i="17" s="1"/>
  <c r="CX73" i="17"/>
  <c r="BT73" i="17"/>
  <c r="CW73" i="17" s="1"/>
  <c r="BS73" i="17"/>
  <c r="CV73" i="17" s="1"/>
  <c r="BR73" i="17"/>
  <c r="CU73" i="17" s="1"/>
  <c r="BQ73" i="17"/>
  <c r="CT73" i="17" s="1"/>
  <c r="BP73" i="17"/>
  <c r="CS73" i="17" s="1"/>
  <c r="CQ73" i="17"/>
  <c r="BM73" i="17"/>
  <c r="CP73" i="17" s="1"/>
  <c r="BB73" i="17"/>
  <c r="AQ73" i="17"/>
  <c r="BX72" i="17"/>
  <c r="DA72" i="17" s="1"/>
  <c r="CX72" i="17"/>
  <c r="BT72" i="17"/>
  <c r="CW72" i="17" s="1"/>
  <c r="BS72" i="17"/>
  <c r="CV72" i="17" s="1"/>
  <c r="BR72" i="17"/>
  <c r="CU72" i="17" s="1"/>
  <c r="BQ72" i="17"/>
  <c r="CT72" i="17" s="1"/>
  <c r="BP72" i="17"/>
  <c r="CS72" i="17" s="1"/>
  <c r="CQ72" i="17"/>
  <c r="BM72" i="17"/>
  <c r="CP72" i="17" s="1"/>
  <c r="BB72" i="17"/>
  <c r="AQ72" i="17"/>
  <c r="BX71" i="17"/>
  <c r="DA71" i="17" s="1"/>
  <c r="CX71" i="17"/>
  <c r="BT71" i="17"/>
  <c r="CW71" i="17" s="1"/>
  <c r="BS71" i="17"/>
  <c r="CV71" i="17" s="1"/>
  <c r="BR71" i="17"/>
  <c r="CU71" i="17" s="1"/>
  <c r="BQ71" i="17"/>
  <c r="CT71" i="17" s="1"/>
  <c r="BP71" i="17"/>
  <c r="CS71" i="17" s="1"/>
  <c r="CQ71" i="17"/>
  <c r="BM71" i="17"/>
  <c r="CP71" i="17" s="1"/>
  <c r="BB71" i="17"/>
  <c r="AQ71" i="17"/>
  <c r="BX70" i="17"/>
  <c r="DA70" i="17" s="1"/>
  <c r="CX70" i="17"/>
  <c r="BT70" i="17"/>
  <c r="CW70" i="17" s="1"/>
  <c r="BS70" i="17"/>
  <c r="CV70" i="17" s="1"/>
  <c r="BR70" i="17"/>
  <c r="CU70" i="17" s="1"/>
  <c r="BQ70" i="17"/>
  <c r="CT70" i="17" s="1"/>
  <c r="BP70" i="17"/>
  <c r="CS70" i="17" s="1"/>
  <c r="CQ70" i="17"/>
  <c r="BM70" i="17"/>
  <c r="CP70" i="17" s="1"/>
  <c r="BB70" i="17"/>
  <c r="AQ70" i="17"/>
  <c r="BX69" i="17"/>
  <c r="DA69" i="17" s="1"/>
  <c r="CX69" i="17"/>
  <c r="BT69" i="17"/>
  <c r="CW69" i="17" s="1"/>
  <c r="BS69" i="17"/>
  <c r="CV69" i="17" s="1"/>
  <c r="BR69" i="17"/>
  <c r="CU69" i="17" s="1"/>
  <c r="BQ69" i="17"/>
  <c r="CT69" i="17" s="1"/>
  <c r="BP69" i="17"/>
  <c r="CS69" i="17" s="1"/>
  <c r="CQ69" i="17"/>
  <c r="BM69" i="17"/>
  <c r="CP69" i="17" s="1"/>
  <c r="BB69" i="17"/>
  <c r="AQ69" i="17"/>
  <c r="BX68" i="17"/>
  <c r="DA68" i="17" s="1"/>
  <c r="CX68" i="17"/>
  <c r="BT68" i="17"/>
  <c r="CW68" i="17" s="1"/>
  <c r="BS68" i="17"/>
  <c r="CV68" i="17" s="1"/>
  <c r="BR68" i="17"/>
  <c r="CU68" i="17" s="1"/>
  <c r="BQ68" i="17"/>
  <c r="CT68" i="17" s="1"/>
  <c r="BP68" i="17"/>
  <c r="CS68" i="17" s="1"/>
  <c r="CQ68" i="17"/>
  <c r="BM68" i="17"/>
  <c r="CP68" i="17" s="1"/>
  <c r="BB68" i="17"/>
  <c r="AQ68" i="17"/>
  <c r="BX67" i="17"/>
  <c r="DA67" i="17" s="1"/>
  <c r="CX67" i="17"/>
  <c r="BT67" i="17"/>
  <c r="CW67" i="17" s="1"/>
  <c r="BS67" i="17"/>
  <c r="CV67" i="17" s="1"/>
  <c r="BR67" i="17"/>
  <c r="CU67" i="17" s="1"/>
  <c r="BQ67" i="17"/>
  <c r="CT67" i="17" s="1"/>
  <c r="BP67" i="17"/>
  <c r="CS67" i="17" s="1"/>
  <c r="CQ67" i="17"/>
  <c r="BM67" i="17"/>
  <c r="CP67" i="17" s="1"/>
  <c r="BB67" i="17"/>
  <c r="AQ67" i="17"/>
  <c r="BX66" i="17"/>
  <c r="DA66" i="17" s="1"/>
  <c r="CX66" i="17"/>
  <c r="BT66" i="17"/>
  <c r="CW66" i="17" s="1"/>
  <c r="BS66" i="17"/>
  <c r="CV66" i="17" s="1"/>
  <c r="BR66" i="17"/>
  <c r="CU66" i="17" s="1"/>
  <c r="BQ66" i="17"/>
  <c r="CT66" i="17" s="1"/>
  <c r="BP66" i="17"/>
  <c r="CS66" i="17" s="1"/>
  <c r="CQ66" i="17"/>
  <c r="BM66" i="17"/>
  <c r="CP66" i="17" s="1"/>
  <c r="BB66" i="17"/>
  <c r="AQ66" i="17"/>
  <c r="BX65" i="17"/>
  <c r="DA65" i="17" s="1"/>
  <c r="CX65" i="17"/>
  <c r="BT65" i="17"/>
  <c r="CW65" i="17" s="1"/>
  <c r="BS65" i="17"/>
  <c r="CV65" i="17" s="1"/>
  <c r="BR65" i="17"/>
  <c r="CU65" i="17" s="1"/>
  <c r="BQ65" i="17"/>
  <c r="CT65" i="17" s="1"/>
  <c r="BP65" i="17"/>
  <c r="CS65" i="17" s="1"/>
  <c r="CQ65" i="17"/>
  <c r="BM65" i="17"/>
  <c r="CP65" i="17" s="1"/>
  <c r="BB65" i="17"/>
  <c r="AQ65" i="17"/>
  <c r="BX64" i="17"/>
  <c r="DA64" i="17" s="1"/>
  <c r="CX64" i="17"/>
  <c r="BT64" i="17"/>
  <c r="CW64" i="17" s="1"/>
  <c r="BS64" i="17"/>
  <c r="CV64" i="17" s="1"/>
  <c r="BR64" i="17"/>
  <c r="CU64" i="17" s="1"/>
  <c r="BQ64" i="17"/>
  <c r="CT64" i="17" s="1"/>
  <c r="BP64" i="17"/>
  <c r="CS64" i="17" s="1"/>
  <c r="CQ64" i="17"/>
  <c r="BM64" i="17"/>
  <c r="CP64" i="17" s="1"/>
  <c r="BB64" i="17"/>
  <c r="AQ64" i="17"/>
  <c r="BX63" i="17"/>
  <c r="DA63" i="17" s="1"/>
  <c r="CX63" i="17"/>
  <c r="BT63" i="17"/>
  <c r="CW63" i="17" s="1"/>
  <c r="BS63" i="17"/>
  <c r="CV63" i="17" s="1"/>
  <c r="BR63" i="17"/>
  <c r="CU63" i="17" s="1"/>
  <c r="BQ63" i="17"/>
  <c r="CT63" i="17" s="1"/>
  <c r="BP63" i="17"/>
  <c r="CS63" i="17" s="1"/>
  <c r="CQ63" i="17"/>
  <c r="BM63" i="17"/>
  <c r="CP63" i="17" s="1"/>
  <c r="BB63" i="17"/>
  <c r="AQ63" i="17"/>
  <c r="BX62" i="17"/>
  <c r="DA62" i="17" s="1"/>
  <c r="CX62" i="17"/>
  <c r="BT62" i="17"/>
  <c r="CW62" i="17" s="1"/>
  <c r="BS62" i="17"/>
  <c r="CV62" i="17" s="1"/>
  <c r="BR62" i="17"/>
  <c r="CU62" i="17" s="1"/>
  <c r="BQ62" i="17"/>
  <c r="CT62" i="17" s="1"/>
  <c r="BP62" i="17"/>
  <c r="CS62" i="17" s="1"/>
  <c r="CQ62" i="17"/>
  <c r="BM62" i="17"/>
  <c r="CP62" i="17" s="1"/>
  <c r="BB62" i="17"/>
  <c r="AQ62" i="17"/>
  <c r="BX61" i="17"/>
  <c r="DA61" i="17" s="1"/>
  <c r="CX61" i="17"/>
  <c r="BT61" i="17"/>
  <c r="CW61" i="17" s="1"/>
  <c r="BS61" i="17"/>
  <c r="CV61" i="17" s="1"/>
  <c r="BR61" i="17"/>
  <c r="CU61" i="17" s="1"/>
  <c r="BQ61" i="17"/>
  <c r="CT61" i="17" s="1"/>
  <c r="BP61" i="17"/>
  <c r="CS61" i="17" s="1"/>
  <c r="CQ61" i="17"/>
  <c r="BM61" i="17"/>
  <c r="CP61" i="17" s="1"/>
  <c r="BB61" i="17"/>
  <c r="AQ61" i="17"/>
  <c r="BX60" i="17"/>
  <c r="DA60" i="17" s="1"/>
  <c r="CX60" i="17"/>
  <c r="BT60" i="17"/>
  <c r="CW60" i="17" s="1"/>
  <c r="BS60" i="17"/>
  <c r="CV60" i="17" s="1"/>
  <c r="BR60" i="17"/>
  <c r="CU60" i="17" s="1"/>
  <c r="BQ60" i="17"/>
  <c r="CT60" i="17" s="1"/>
  <c r="BP60" i="17"/>
  <c r="CS60" i="17" s="1"/>
  <c r="CQ60" i="17"/>
  <c r="BM60" i="17"/>
  <c r="CP60" i="17" s="1"/>
  <c r="BB60" i="17"/>
  <c r="AQ60" i="17"/>
  <c r="BX59" i="17"/>
  <c r="DA59" i="17" s="1"/>
  <c r="CX59" i="17"/>
  <c r="BT59" i="17"/>
  <c r="CW59" i="17" s="1"/>
  <c r="BS59" i="17"/>
  <c r="CV59" i="17" s="1"/>
  <c r="BR59" i="17"/>
  <c r="CU59" i="17" s="1"/>
  <c r="BQ59" i="17"/>
  <c r="CT59" i="17" s="1"/>
  <c r="BP59" i="17"/>
  <c r="CS59" i="17" s="1"/>
  <c r="CQ59" i="17"/>
  <c r="BM59" i="17"/>
  <c r="CP59" i="17" s="1"/>
  <c r="BB59" i="17"/>
  <c r="AQ59" i="17"/>
  <c r="BX58" i="17"/>
  <c r="DA58" i="17" s="1"/>
  <c r="CX58" i="17"/>
  <c r="BT58" i="17"/>
  <c r="CW58" i="17" s="1"/>
  <c r="BS58" i="17"/>
  <c r="CV58" i="17" s="1"/>
  <c r="BR58" i="17"/>
  <c r="CU58" i="17" s="1"/>
  <c r="BQ58" i="17"/>
  <c r="CT58" i="17" s="1"/>
  <c r="BP58" i="17"/>
  <c r="CS58" i="17" s="1"/>
  <c r="CQ58" i="17"/>
  <c r="BM58" i="17"/>
  <c r="CP58" i="17" s="1"/>
  <c r="BB58" i="17"/>
  <c r="AQ58" i="17"/>
  <c r="BX57" i="17"/>
  <c r="DA57" i="17" s="1"/>
  <c r="CX57" i="17"/>
  <c r="BT57" i="17"/>
  <c r="CW57" i="17" s="1"/>
  <c r="BS57" i="17"/>
  <c r="CV57" i="17" s="1"/>
  <c r="BR57" i="17"/>
  <c r="CU57" i="17" s="1"/>
  <c r="BQ57" i="17"/>
  <c r="CT57" i="17" s="1"/>
  <c r="BP57" i="17"/>
  <c r="CS57" i="17" s="1"/>
  <c r="CQ57" i="17"/>
  <c r="BM57" i="17"/>
  <c r="CP57" i="17" s="1"/>
  <c r="BB57" i="17"/>
  <c r="AQ57" i="17"/>
  <c r="BX56" i="17"/>
  <c r="DA56" i="17" s="1"/>
  <c r="CX56" i="17"/>
  <c r="BT56" i="17"/>
  <c r="CW56" i="17" s="1"/>
  <c r="BS56" i="17"/>
  <c r="CV56" i="17" s="1"/>
  <c r="BR56" i="17"/>
  <c r="CU56" i="17" s="1"/>
  <c r="BQ56" i="17"/>
  <c r="CT56" i="17" s="1"/>
  <c r="BP56" i="17"/>
  <c r="CS56" i="17" s="1"/>
  <c r="CQ56" i="17"/>
  <c r="BM56" i="17"/>
  <c r="CP56" i="17" s="1"/>
  <c r="BB56" i="17"/>
  <c r="AQ56" i="17"/>
  <c r="BX55" i="17"/>
  <c r="DA55" i="17" s="1"/>
  <c r="CX55" i="17"/>
  <c r="BT55" i="17"/>
  <c r="CW55" i="17" s="1"/>
  <c r="BS55" i="17"/>
  <c r="CV55" i="17" s="1"/>
  <c r="BR55" i="17"/>
  <c r="CU55" i="17" s="1"/>
  <c r="BQ55" i="17"/>
  <c r="CT55" i="17" s="1"/>
  <c r="BP55" i="17"/>
  <c r="CS55" i="17" s="1"/>
  <c r="CQ55" i="17"/>
  <c r="BM55" i="17"/>
  <c r="CP55" i="17" s="1"/>
  <c r="BB55" i="17"/>
  <c r="AQ55" i="17"/>
  <c r="BX54" i="17"/>
  <c r="DA54" i="17" s="1"/>
  <c r="CX54" i="17"/>
  <c r="BT54" i="17"/>
  <c r="CW54" i="17" s="1"/>
  <c r="BS54" i="17"/>
  <c r="CV54" i="17" s="1"/>
  <c r="BR54" i="17"/>
  <c r="CU54" i="17" s="1"/>
  <c r="BQ54" i="17"/>
  <c r="CT54" i="17" s="1"/>
  <c r="BP54" i="17"/>
  <c r="CS54" i="17" s="1"/>
  <c r="CQ54" i="17"/>
  <c r="BM54" i="17"/>
  <c r="CP54" i="17" s="1"/>
  <c r="BB54" i="17"/>
  <c r="AQ54" i="17"/>
  <c r="BX53" i="17"/>
  <c r="DA53" i="17" s="1"/>
  <c r="CX53" i="17"/>
  <c r="BT53" i="17"/>
  <c r="CW53" i="17" s="1"/>
  <c r="BS53" i="17"/>
  <c r="CV53" i="17" s="1"/>
  <c r="BR53" i="17"/>
  <c r="CU53" i="17" s="1"/>
  <c r="BQ53" i="17"/>
  <c r="CT53" i="17" s="1"/>
  <c r="BP53" i="17"/>
  <c r="CS53" i="17" s="1"/>
  <c r="CQ53" i="17"/>
  <c r="BM53" i="17"/>
  <c r="CP53" i="17" s="1"/>
  <c r="BB53" i="17"/>
  <c r="AQ53" i="17"/>
  <c r="BX52" i="17"/>
  <c r="DA52" i="17" s="1"/>
  <c r="CX52" i="17"/>
  <c r="BT52" i="17"/>
  <c r="CW52" i="17" s="1"/>
  <c r="BS52" i="17"/>
  <c r="CV52" i="17" s="1"/>
  <c r="BR52" i="17"/>
  <c r="CU52" i="17" s="1"/>
  <c r="BQ52" i="17"/>
  <c r="CT52" i="17" s="1"/>
  <c r="BP52" i="17"/>
  <c r="CS52" i="17" s="1"/>
  <c r="CQ52" i="17"/>
  <c r="BM52" i="17"/>
  <c r="CP52" i="17" s="1"/>
  <c r="BB52" i="17"/>
  <c r="AQ52" i="17"/>
  <c r="BX51" i="17"/>
  <c r="DA51" i="17" s="1"/>
  <c r="CX51" i="17"/>
  <c r="BT51" i="17"/>
  <c r="CW51" i="17" s="1"/>
  <c r="BS51" i="17"/>
  <c r="CV51" i="17" s="1"/>
  <c r="BR51" i="17"/>
  <c r="CU51" i="17" s="1"/>
  <c r="BQ51" i="17"/>
  <c r="CT51" i="17" s="1"/>
  <c r="BP51" i="17"/>
  <c r="CS51" i="17" s="1"/>
  <c r="CQ51" i="17"/>
  <c r="BM51" i="17"/>
  <c r="CP51" i="17" s="1"/>
  <c r="BB51" i="17"/>
  <c r="AQ51" i="17"/>
  <c r="BX50" i="17"/>
  <c r="DA50" i="17" s="1"/>
  <c r="CX50" i="17"/>
  <c r="BT50" i="17"/>
  <c r="CW50" i="17" s="1"/>
  <c r="BS50" i="17"/>
  <c r="CV50" i="17" s="1"/>
  <c r="BR50" i="17"/>
  <c r="CU50" i="17" s="1"/>
  <c r="BQ50" i="17"/>
  <c r="CT50" i="17" s="1"/>
  <c r="BP50" i="17"/>
  <c r="CS50" i="17" s="1"/>
  <c r="CQ50" i="17"/>
  <c r="BM50" i="17"/>
  <c r="CP50" i="17" s="1"/>
  <c r="BB50" i="17"/>
  <c r="AQ50" i="17"/>
  <c r="BX49" i="17"/>
  <c r="DA49" i="17" s="1"/>
  <c r="CX49" i="17"/>
  <c r="BT49" i="17"/>
  <c r="CW49" i="17" s="1"/>
  <c r="BS49" i="17"/>
  <c r="CV49" i="17" s="1"/>
  <c r="BR49" i="17"/>
  <c r="CU49" i="17" s="1"/>
  <c r="BQ49" i="17"/>
  <c r="CT49" i="17" s="1"/>
  <c r="BP49" i="17"/>
  <c r="CS49" i="17" s="1"/>
  <c r="CQ49" i="17"/>
  <c r="BM49" i="17"/>
  <c r="CP49" i="17" s="1"/>
  <c r="BB49" i="17"/>
  <c r="AQ49" i="17"/>
  <c r="BX48" i="17"/>
  <c r="DA48" i="17" s="1"/>
  <c r="CX48" i="17"/>
  <c r="BT48" i="17"/>
  <c r="CW48" i="17" s="1"/>
  <c r="BS48" i="17"/>
  <c r="CV48" i="17" s="1"/>
  <c r="BR48" i="17"/>
  <c r="CU48" i="17" s="1"/>
  <c r="BQ48" i="17"/>
  <c r="CT48" i="17" s="1"/>
  <c r="BP48" i="17"/>
  <c r="CS48" i="17" s="1"/>
  <c r="CQ48" i="17"/>
  <c r="BM48" i="17"/>
  <c r="CP48" i="17" s="1"/>
  <c r="BB48" i="17"/>
  <c r="AQ48" i="17"/>
  <c r="BX47" i="17"/>
  <c r="DA47" i="17" s="1"/>
  <c r="CX47" i="17"/>
  <c r="BT47" i="17"/>
  <c r="CW47" i="17" s="1"/>
  <c r="BS47" i="17"/>
  <c r="CV47" i="17" s="1"/>
  <c r="BR47" i="17"/>
  <c r="CU47" i="17" s="1"/>
  <c r="BQ47" i="17"/>
  <c r="CT47" i="17" s="1"/>
  <c r="BP47" i="17"/>
  <c r="CS47" i="17" s="1"/>
  <c r="CQ47" i="17"/>
  <c r="BM47" i="17"/>
  <c r="CP47" i="17" s="1"/>
  <c r="BB47" i="17"/>
  <c r="AQ47" i="17"/>
  <c r="BX46" i="17"/>
  <c r="DA46" i="17" s="1"/>
  <c r="CX46" i="17"/>
  <c r="BT46" i="17"/>
  <c r="CW46" i="17" s="1"/>
  <c r="BS46" i="17"/>
  <c r="CV46" i="17" s="1"/>
  <c r="BR46" i="17"/>
  <c r="CU46" i="17" s="1"/>
  <c r="BQ46" i="17"/>
  <c r="CT46" i="17" s="1"/>
  <c r="BP46" i="17"/>
  <c r="CS46" i="17" s="1"/>
  <c r="CQ46" i="17"/>
  <c r="BM46" i="17"/>
  <c r="CP46" i="17" s="1"/>
  <c r="BB46" i="17"/>
  <c r="AQ46" i="17"/>
  <c r="BX45" i="17"/>
  <c r="DA45" i="17" s="1"/>
  <c r="CX45" i="17"/>
  <c r="BT45" i="17"/>
  <c r="CW45" i="17" s="1"/>
  <c r="BS45" i="17"/>
  <c r="CV45" i="17" s="1"/>
  <c r="BR45" i="17"/>
  <c r="CU45" i="17" s="1"/>
  <c r="BQ45" i="17"/>
  <c r="CT45" i="17" s="1"/>
  <c r="BP45" i="17"/>
  <c r="CS45" i="17" s="1"/>
  <c r="CQ45" i="17"/>
  <c r="BM45" i="17"/>
  <c r="CP45" i="17" s="1"/>
  <c r="BB45" i="17"/>
  <c r="AQ45" i="17"/>
  <c r="BX44" i="17"/>
  <c r="DA44" i="17" s="1"/>
  <c r="CX44" i="17"/>
  <c r="BT44" i="17"/>
  <c r="CW44" i="17" s="1"/>
  <c r="BS44" i="17"/>
  <c r="CV44" i="17" s="1"/>
  <c r="BR44" i="17"/>
  <c r="CU44" i="17" s="1"/>
  <c r="BQ44" i="17"/>
  <c r="CT44" i="17" s="1"/>
  <c r="BP44" i="17"/>
  <c r="CS44" i="17" s="1"/>
  <c r="CQ44" i="17"/>
  <c r="BM44" i="17"/>
  <c r="CP44" i="17" s="1"/>
  <c r="BB44" i="17"/>
  <c r="AQ44" i="17"/>
  <c r="BX43" i="17"/>
  <c r="DA43" i="17" s="1"/>
  <c r="CX43" i="17"/>
  <c r="BT43" i="17"/>
  <c r="CW43" i="17" s="1"/>
  <c r="BS43" i="17"/>
  <c r="CV43" i="17" s="1"/>
  <c r="BR43" i="17"/>
  <c r="CU43" i="17" s="1"/>
  <c r="BQ43" i="17"/>
  <c r="CT43" i="17" s="1"/>
  <c r="BP43" i="17"/>
  <c r="CS43" i="17" s="1"/>
  <c r="CQ43" i="17"/>
  <c r="BM43" i="17"/>
  <c r="CP43" i="17" s="1"/>
  <c r="BB43" i="17"/>
  <c r="AQ43" i="17"/>
  <c r="BX42" i="17"/>
  <c r="DA42" i="17" s="1"/>
  <c r="CX42" i="17"/>
  <c r="BT42" i="17"/>
  <c r="CW42" i="17" s="1"/>
  <c r="BS42" i="17"/>
  <c r="CV42" i="17" s="1"/>
  <c r="BR42" i="17"/>
  <c r="CU42" i="17" s="1"/>
  <c r="BQ42" i="17"/>
  <c r="CT42" i="17" s="1"/>
  <c r="BP42" i="17"/>
  <c r="CS42" i="17" s="1"/>
  <c r="CQ42" i="17"/>
  <c r="BM42" i="17"/>
  <c r="CP42" i="17" s="1"/>
  <c r="BB42" i="17"/>
  <c r="AQ42" i="17"/>
  <c r="BX41" i="17"/>
  <c r="DA41" i="17" s="1"/>
  <c r="CX41" i="17"/>
  <c r="BT41" i="17"/>
  <c r="CW41" i="17" s="1"/>
  <c r="BS41" i="17"/>
  <c r="CV41" i="17" s="1"/>
  <c r="BR41" i="17"/>
  <c r="CU41" i="17" s="1"/>
  <c r="BQ41" i="17"/>
  <c r="CT41" i="17" s="1"/>
  <c r="BP41" i="17"/>
  <c r="CS41" i="17" s="1"/>
  <c r="CQ41" i="17"/>
  <c r="BM41" i="17"/>
  <c r="CP41" i="17" s="1"/>
  <c r="BB41" i="17"/>
  <c r="AQ41" i="17"/>
  <c r="BX40" i="17"/>
  <c r="DA40" i="17" s="1"/>
  <c r="CX40" i="17"/>
  <c r="BT40" i="17"/>
  <c r="CW40" i="17" s="1"/>
  <c r="BS40" i="17"/>
  <c r="CV40" i="17" s="1"/>
  <c r="BR40" i="17"/>
  <c r="CU40" i="17" s="1"/>
  <c r="BQ40" i="17"/>
  <c r="CT40" i="17" s="1"/>
  <c r="BP40" i="17"/>
  <c r="CS40" i="17" s="1"/>
  <c r="CQ40" i="17"/>
  <c r="BM40" i="17"/>
  <c r="CP40" i="17" s="1"/>
  <c r="BB40" i="17"/>
  <c r="AQ40" i="17"/>
  <c r="BX39" i="17"/>
  <c r="DA39" i="17" s="1"/>
  <c r="CX39" i="17"/>
  <c r="BT39" i="17"/>
  <c r="CW39" i="17" s="1"/>
  <c r="BS39" i="17"/>
  <c r="CV39" i="17" s="1"/>
  <c r="BR39" i="17"/>
  <c r="CU39" i="17" s="1"/>
  <c r="BQ39" i="17"/>
  <c r="CT39" i="17" s="1"/>
  <c r="BP39" i="17"/>
  <c r="CS39" i="17" s="1"/>
  <c r="CQ39" i="17"/>
  <c r="BM39" i="17"/>
  <c r="CP39" i="17" s="1"/>
  <c r="BB39" i="17"/>
  <c r="AQ39" i="17"/>
  <c r="BX38" i="17"/>
  <c r="DA38" i="17" s="1"/>
  <c r="CX38" i="17"/>
  <c r="BT38" i="17"/>
  <c r="CW38" i="17" s="1"/>
  <c r="BS38" i="17"/>
  <c r="CV38" i="17" s="1"/>
  <c r="BR38" i="17"/>
  <c r="CU38" i="17" s="1"/>
  <c r="BQ38" i="17"/>
  <c r="CT38" i="17" s="1"/>
  <c r="BP38" i="17"/>
  <c r="CS38" i="17" s="1"/>
  <c r="CQ38" i="17"/>
  <c r="BM38" i="17"/>
  <c r="CP38" i="17" s="1"/>
  <c r="BB38" i="17"/>
  <c r="AQ38" i="17"/>
  <c r="BX37" i="17"/>
  <c r="DA37" i="17" s="1"/>
  <c r="CX37" i="17"/>
  <c r="BT37" i="17"/>
  <c r="CW37" i="17" s="1"/>
  <c r="BS37" i="17"/>
  <c r="CV37" i="17" s="1"/>
  <c r="BR37" i="17"/>
  <c r="CU37" i="17" s="1"/>
  <c r="BQ37" i="17"/>
  <c r="CT37" i="17" s="1"/>
  <c r="BP37" i="17"/>
  <c r="CS37" i="17" s="1"/>
  <c r="CQ37" i="17"/>
  <c r="BM37" i="17"/>
  <c r="CP37" i="17" s="1"/>
  <c r="BB37" i="17"/>
  <c r="AQ37" i="17"/>
  <c r="BX36" i="17"/>
  <c r="DA36" i="17" s="1"/>
  <c r="CX36" i="17"/>
  <c r="BT36" i="17"/>
  <c r="CW36" i="17" s="1"/>
  <c r="BS36" i="17"/>
  <c r="CV36" i="17" s="1"/>
  <c r="BR36" i="17"/>
  <c r="CU36" i="17" s="1"/>
  <c r="BQ36" i="17"/>
  <c r="CT36" i="17" s="1"/>
  <c r="BP36" i="17"/>
  <c r="CS36" i="17" s="1"/>
  <c r="CQ36" i="17"/>
  <c r="BM36" i="17"/>
  <c r="CP36" i="17" s="1"/>
  <c r="BB36" i="17"/>
  <c r="AQ36" i="17"/>
  <c r="BX35" i="17"/>
  <c r="DA35" i="17" s="1"/>
  <c r="CX35" i="17"/>
  <c r="BT35" i="17"/>
  <c r="CW35" i="17" s="1"/>
  <c r="BS35" i="17"/>
  <c r="CV35" i="17" s="1"/>
  <c r="BR35" i="17"/>
  <c r="CU35" i="17" s="1"/>
  <c r="BQ35" i="17"/>
  <c r="CT35" i="17" s="1"/>
  <c r="BP35" i="17"/>
  <c r="CS35" i="17" s="1"/>
  <c r="CQ35" i="17"/>
  <c r="BM35" i="17"/>
  <c r="CP35" i="17" s="1"/>
  <c r="BB35" i="17"/>
  <c r="AQ35" i="17"/>
  <c r="BX34" i="17"/>
  <c r="DA34" i="17" s="1"/>
  <c r="CX34" i="17"/>
  <c r="BT34" i="17"/>
  <c r="CW34" i="17" s="1"/>
  <c r="BS34" i="17"/>
  <c r="CV34" i="17" s="1"/>
  <c r="BR34" i="17"/>
  <c r="CU34" i="17" s="1"/>
  <c r="BQ34" i="17"/>
  <c r="CT34" i="17" s="1"/>
  <c r="BP34" i="17"/>
  <c r="CS34" i="17" s="1"/>
  <c r="CQ34" i="17"/>
  <c r="BM34" i="17"/>
  <c r="CP34" i="17" s="1"/>
  <c r="BB34" i="17"/>
  <c r="AQ34" i="17"/>
  <c r="BX33" i="17"/>
  <c r="DA33" i="17" s="1"/>
  <c r="CX33" i="17"/>
  <c r="BT33" i="17"/>
  <c r="CW33" i="17" s="1"/>
  <c r="BS33" i="17"/>
  <c r="CV33" i="17" s="1"/>
  <c r="BR33" i="17"/>
  <c r="CU33" i="17" s="1"/>
  <c r="BQ33" i="17"/>
  <c r="CT33" i="17" s="1"/>
  <c r="BP33" i="17"/>
  <c r="CS33" i="17" s="1"/>
  <c r="CQ33" i="17"/>
  <c r="BM33" i="17"/>
  <c r="CP33" i="17" s="1"/>
  <c r="BB33" i="17"/>
  <c r="AQ33" i="17"/>
  <c r="BX32" i="17"/>
  <c r="DA32" i="17" s="1"/>
  <c r="CX32" i="17"/>
  <c r="BT32" i="17"/>
  <c r="CW32" i="17" s="1"/>
  <c r="BS32" i="17"/>
  <c r="CV32" i="17" s="1"/>
  <c r="BR32" i="17"/>
  <c r="CU32" i="17" s="1"/>
  <c r="BQ32" i="17"/>
  <c r="CT32" i="17" s="1"/>
  <c r="BP32" i="17"/>
  <c r="CS32" i="17" s="1"/>
  <c r="CQ32" i="17"/>
  <c r="BM32" i="17"/>
  <c r="CP32" i="17" s="1"/>
  <c r="BB32" i="17"/>
  <c r="AQ32" i="17"/>
  <c r="BX31" i="17"/>
  <c r="DA31" i="17" s="1"/>
  <c r="CX31" i="17"/>
  <c r="BT31" i="17"/>
  <c r="CW31" i="17" s="1"/>
  <c r="BS31" i="17"/>
  <c r="CV31" i="17" s="1"/>
  <c r="BR31" i="17"/>
  <c r="CU31" i="17" s="1"/>
  <c r="BQ31" i="17"/>
  <c r="CT31" i="17" s="1"/>
  <c r="BP31" i="17"/>
  <c r="CS31" i="17" s="1"/>
  <c r="CQ31" i="17"/>
  <c r="BM31" i="17"/>
  <c r="CP31" i="17" s="1"/>
  <c r="BB31" i="17"/>
  <c r="AQ31" i="17"/>
  <c r="BX30" i="17"/>
  <c r="DA30" i="17" s="1"/>
  <c r="CX30" i="17"/>
  <c r="BQ30" i="17"/>
  <c r="CT30" i="17" s="1"/>
  <c r="BP30" i="17"/>
  <c r="CS30" i="17" s="1"/>
  <c r="BM30" i="17"/>
  <c r="CP30" i="17" s="1"/>
  <c r="AQ30" i="17"/>
  <c r="BX29" i="17"/>
  <c r="DA29" i="17" s="1"/>
  <c r="CX29" i="17"/>
  <c r="BT29" i="17"/>
  <c r="CW29" i="17" s="1"/>
  <c r="BS29" i="17"/>
  <c r="CV29" i="17" s="1"/>
  <c r="BR29" i="17"/>
  <c r="CU29" i="17" s="1"/>
  <c r="BQ29" i="17"/>
  <c r="CT29" i="17" s="1"/>
  <c r="BP29" i="17"/>
  <c r="CS29" i="17" s="1"/>
  <c r="CQ29" i="17"/>
  <c r="BM29" i="17"/>
  <c r="CP29" i="17" s="1"/>
  <c r="BB29" i="17"/>
  <c r="AQ29" i="17"/>
  <c r="BX28" i="17"/>
  <c r="DA28" i="17" s="1"/>
  <c r="CX28" i="17"/>
  <c r="BT28" i="17"/>
  <c r="CW28" i="17" s="1"/>
  <c r="BS28" i="17"/>
  <c r="CV28" i="17" s="1"/>
  <c r="BR28" i="17"/>
  <c r="CU28" i="17" s="1"/>
  <c r="BQ28" i="17"/>
  <c r="CT28" i="17" s="1"/>
  <c r="BP28" i="17"/>
  <c r="CS28" i="17" s="1"/>
  <c r="CQ28" i="17"/>
  <c r="BM28" i="17"/>
  <c r="CP28" i="17" s="1"/>
  <c r="BB28" i="17"/>
  <c r="AQ28" i="17"/>
  <c r="BX27" i="17"/>
  <c r="DA27" i="17" s="1"/>
  <c r="CX27" i="17"/>
  <c r="BT27" i="17"/>
  <c r="CW27" i="17" s="1"/>
  <c r="BS27" i="17"/>
  <c r="CV27" i="17" s="1"/>
  <c r="BR27" i="17"/>
  <c r="CU27" i="17" s="1"/>
  <c r="BQ27" i="17"/>
  <c r="CT27" i="17" s="1"/>
  <c r="BP27" i="17"/>
  <c r="CS27" i="17" s="1"/>
  <c r="CQ27" i="17"/>
  <c r="BM27" i="17"/>
  <c r="CP27" i="17" s="1"/>
  <c r="BB27" i="17"/>
  <c r="AQ27" i="17"/>
  <c r="BX26" i="17"/>
  <c r="DA26" i="17" s="1"/>
  <c r="CX26" i="17"/>
  <c r="BT26" i="17"/>
  <c r="CW26" i="17" s="1"/>
  <c r="BS26" i="17"/>
  <c r="CV26" i="17" s="1"/>
  <c r="BR26" i="17"/>
  <c r="CU26" i="17" s="1"/>
  <c r="BQ26" i="17"/>
  <c r="CT26" i="17" s="1"/>
  <c r="BP26" i="17"/>
  <c r="CS26" i="17" s="1"/>
  <c r="CQ26" i="17"/>
  <c r="BM26" i="17"/>
  <c r="CP26" i="17" s="1"/>
  <c r="BB26" i="17"/>
  <c r="AQ26" i="17"/>
  <c r="BX25" i="17"/>
  <c r="DA25" i="17" s="1"/>
  <c r="CX25" i="17"/>
  <c r="BT25" i="17"/>
  <c r="CW25" i="17" s="1"/>
  <c r="BS25" i="17"/>
  <c r="CV25" i="17" s="1"/>
  <c r="BR25" i="17"/>
  <c r="CU25" i="17" s="1"/>
  <c r="BQ25" i="17"/>
  <c r="CT25" i="17" s="1"/>
  <c r="BP25" i="17"/>
  <c r="CS25" i="17" s="1"/>
  <c r="CQ25" i="17"/>
  <c r="BM25" i="17"/>
  <c r="CP25" i="17" s="1"/>
  <c r="BB25" i="17"/>
  <c r="AQ25" i="17"/>
  <c r="BX24" i="17"/>
  <c r="DA24" i="17" s="1"/>
  <c r="CX24" i="17"/>
  <c r="BT24" i="17"/>
  <c r="CW24" i="17" s="1"/>
  <c r="BS24" i="17"/>
  <c r="CV24" i="17" s="1"/>
  <c r="BR24" i="17"/>
  <c r="CU24" i="17" s="1"/>
  <c r="BQ24" i="17"/>
  <c r="CT24" i="17" s="1"/>
  <c r="BP24" i="17"/>
  <c r="CS24" i="17" s="1"/>
  <c r="CQ24" i="17"/>
  <c r="BM24" i="17"/>
  <c r="CP24" i="17" s="1"/>
  <c r="BB24" i="17"/>
  <c r="AQ24" i="17"/>
  <c r="BX23" i="17"/>
  <c r="DA23" i="17" s="1"/>
  <c r="CX23" i="17"/>
  <c r="BT23" i="17"/>
  <c r="CW23" i="17" s="1"/>
  <c r="BS23" i="17"/>
  <c r="CV23" i="17" s="1"/>
  <c r="BR23" i="17"/>
  <c r="CU23" i="17" s="1"/>
  <c r="BQ23" i="17"/>
  <c r="CT23" i="17" s="1"/>
  <c r="BP23" i="17"/>
  <c r="CS23" i="17" s="1"/>
  <c r="CQ23" i="17"/>
  <c r="BM23" i="17"/>
  <c r="CP23" i="17" s="1"/>
  <c r="BB23" i="17"/>
  <c r="AQ23" i="17"/>
  <c r="BX22" i="17"/>
  <c r="DA22" i="17" s="1"/>
  <c r="CX22" i="17"/>
  <c r="BT22" i="17"/>
  <c r="CW22" i="17" s="1"/>
  <c r="BS22" i="17"/>
  <c r="CV22" i="17" s="1"/>
  <c r="BR22" i="17"/>
  <c r="CU22" i="17" s="1"/>
  <c r="BQ22" i="17"/>
  <c r="CT22" i="17" s="1"/>
  <c r="BP22" i="17"/>
  <c r="CS22" i="17" s="1"/>
  <c r="CQ22" i="17"/>
  <c r="BM22" i="17"/>
  <c r="CP22" i="17" s="1"/>
  <c r="BB22" i="17"/>
  <c r="AQ22" i="17"/>
  <c r="BX21" i="17"/>
  <c r="DA21" i="17" s="1"/>
  <c r="CX21" i="17"/>
  <c r="BT21" i="17"/>
  <c r="CW21" i="17" s="1"/>
  <c r="BS21" i="17"/>
  <c r="CV21" i="17" s="1"/>
  <c r="BR21" i="17"/>
  <c r="CU21" i="17" s="1"/>
  <c r="BQ21" i="17"/>
  <c r="CT21" i="17" s="1"/>
  <c r="BP21" i="17"/>
  <c r="CS21" i="17" s="1"/>
  <c r="CQ21" i="17"/>
  <c r="BM21" i="17"/>
  <c r="CP21" i="17" s="1"/>
  <c r="BB21" i="17"/>
  <c r="AQ21" i="17"/>
  <c r="BX20" i="17"/>
  <c r="DA20" i="17" s="1"/>
  <c r="CX20" i="17"/>
  <c r="BT20" i="17"/>
  <c r="CW20" i="17" s="1"/>
  <c r="BS20" i="17"/>
  <c r="CV20" i="17" s="1"/>
  <c r="BR20" i="17"/>
  <c r="CU20" i="17" s="1"/>
  <c r="BQ20" i="17"/>
  <c r="CT20" i="17" s="1"/>
  <c r="BP20" i="17"/>
  <c r="CS20" i="17" s="1"/>
  <c r="CQ20" i="17"/>
  <c r="BM20" i="17"/>
  <c r="CP20" i="17" s="1"/>
  <c r="BB20" i="17"/>
  <c r="AQ20" i="17"/>
  <c r="BX19" i="17"/>
  <c r="BT19" i="17"/>
  <c r="BS19" i="17"/>
  <c r="BR19" i="17"/>
  <c r="BQ19" i="17"/>
  <c r="BP19" i="17"/>
  <c r="CQ19" i="17"/>
  <c r="BM19" i="17"/>
  <c r="CP19" i="17" s="1"/>
  <c r="BB19" i="17"/>
  <c r="AQ19" i="17"/>
  <c r="BX18" i="17"/>
  <c r="DA18" i="17" s="1"/>
  <c r="CX18" i="17"/>
  <c r="BT18" i="17"/>
  <c r="CW18" i="17" s="1"/>
  <c r="BS18" i="17"/>
  <c r="CV18" i="17" s="1"/>
  <c r="BR18" i="17"/>
  <c r="CU18" i="17" s="1"/>
  <c r="BQ18" i="17"/>
  <c r="CT18" i="17" s="1"/>
  <c r="BP18" i="17"/>
  <c r="CS18" i="17" s="1"/>
  <c r="CQ18" i="17"/>
  <c r="BM18" i="17"/>
  <c r="CP18" i="17" s="1"/>
  <c r="BB18" i="17"/>
  <c r="AQ18" i="17"/>
  <c r="BX17" i="17"/>
  <c r="DA17" i="17" s="1"/>
  <c r="CX17" i="17"/>
  <c r="BT17" i="17"/>
  <c r="CW17" i="17" s="1"/>
  <c r="BS17" i="17"/>
  <c r="CV17" i="17" s="1"/>
  <c r="BR17" i="17"/>
  <c r="CU17" i="17" s="1"/>
  <c r="BQ17" i="17"/>
  <c r="CT17" i="17" s="1"/>
  <c r="BP17" i="17"/>
  <c r="CS17" i="17" s="1"/>
  <c r="CQ17" i="17"/>
  <c r="BM17" i="17"/>
  <c r="CP17" i="17" s="1"/>
  <c r="BB17" i="17"/>
  <c r="AQ17" i="17"/>
  <c r="BX16" i="17"/>
  <c r="DA16" i="17" s="1"/>
  <c r="CX16" i="17"/>
  <c r="BT16" i="17"/>
  <c r="CW16" i="17" s="1"/>
  <c r="BS16" i="17"/>
  <c r="CV16" i="17" s="1"/>
  <c r="BR16" i="17"/>
  <c r="CU16" i="17" s="1"/>
  <c r="BQ16" i="17"/>
  <c r="CT16" i="17" s="1"/>
  <c r="BP16" i="17"/>
  <c r="CS16" i="17" s="1"/>
  <c r="CQ16" i="17"/>
  <c r="BM16" i="17"/>
  <c r="CP16" i="17" s="1"/>
  <c r="BB16" i="17"/>
  <c r="AQ16" i="17"/>
  <c r="BX15" i="17"/>
  <c r="DA15" i="17" s="1"/>
  <c r="CX15" i="17"/>
  <c r="BT15" i="17"/>
  <c r="CW15" i="17" s="1"/>
  <c r="BS15" i="17"/>
  <c r="CV15" i="17" s="1"/>
  <c r="BR15" i="17"/>
  <c r="CU15" i="17" s="1"/>
  <c r="BQ15" i="17"/>
  <c r="CT15" i="17" s="1"/>
  <c r="BP15" i="17"/>
  <c r="CS15" i="17" s="1"/>
  <c r="CQ15" i="17"/>
  <c r="BM15" i="17"/>
  <c r="CP15" i="17" s="1"/>
  <c r="BB15" i="17"/>
  <c r="AQ15" i="17"/>
  <c r="BX14" i="17"/>
  <c r="DA14" i="17" s="1"/>
  <c r="CX14" i="17"/>
  <c r="BT14" i="17"/>
  <c r="CW14" i="17" s="1"/>
  <c r="BS14" i="17"/>
  <c r="CV14" i="17" s="1"/>
  <c r="BR14" i="17"/>
  <c r="CU14" i="17" s="1"/>
  <c r="BQ14" i="17"/>
  <c r="CT14" i="17" s="1"/>
  <c r="BP14" i="17"/>
  <c r="CS14" i="17" s="1"/>
  <c r="CQ14" i="17"/>
  <c r="BM14" i="17"/>
  <c r="CP14" i="17" s="1"/>
  <c r="BB14" i="17"/>
  <c r="AQ14" i="17"/>
  <c r="BX13" i="17"/>
  <c r="DA13" i="17" s="1"/>
  <c r="CX13" i="17"/>
  <c r="BT13" i="17"/>
  <c r="CW13" i="17" s="1"/>
  <c r="BS13" i="17"/>
  <c r="CV13" i="17" s="1"/>
  <c r="BR13" i="17"/>
  <c r="CU13" i="17" s="1"/>
  <c r="BQ13" i="17"/>
  <c r="CT13" i="17" s="1"/>
  <c r="BP13" i="17"/>
  <c r="CS13" i="17" s="1"/>
  <c r="CQ13" i="17"/>
  <c r="BM13" i="17"/>
  <c r="CP13" i="17" s="1"/>
  <c r="BB13" i="17"/>
  <c r="AQ13" i="17"/>
  <c r="BX12" i="17"/>
  <c r="DA12" i="17" s="1"/>
  <c r="CX12" i="17"/>
  <c r="BT12" i="17"/>
  <c r="CW12" i="17" s="1"/>
  <c r="BS12" i="17"/>
  <c r="CV12" i="17" s="1"/>
  <c r="BR12" i="17"/>
  <c r="CU12" i="17" s="1"/>
  <c r="BQ12" i="17"/>
  <c r="CT12" i="17" s="1"/>
  <c r="BP12" i="17"/>
  <c r="CS12" i="17" s="1"/>
  <c r="CQ12" i="17"/>
  <c r="BM12" i="17"/>
  <c r="CP12" i="17" s="1"/>
  <c r="BB12" i="17"/>
  <c r="AQ12" i="17"/>
  <c r="BX11" i="17"/>
  <c r="DA11" i="17" s="1"/>
  <c r="CX11" i="17"/>
  <c r="BT11" i="17"/>
  <c r="CW11" i="17" s="1"/>
  <c r="BS11" i="17"/>
  <c r="CV11" i="17" s="1"/>
  <c r="BR11" i="17"/>
  <c r="CU11" i="17" s="1"/>
  <c r="BQ11" i="17"/>
  <c r="CT11" i="17" s="1"/>
  <c r="BP11" i="17"/>
  <c r="CS11" i="17" s="1"/>
  <c r="CQ11" i="17"/>
  <c r="BM11" i="17"/>
  <c r="CP11" i="17" s="1"/>
  <c r="BB11" i="17"/>
  <c r="AQ11" i="17"/>
  <c r="BX10" i="17"/>
  <c r="DA10" i="17" s="1"/>
  <c r="CX10" i="17"/>
  <c r="BT10" i="17"/>
  <c r="CW10" i="17" s="1"/>
  <c r="BS10" i="17"/>
  <c r="CV10" i="17" s="1"/>
  <c r="BR10" i="17"/>
  <c r="CU10" i="17" s="1"/>
  <c r="BQ10" i="17"/>
  <c r="CT10" i="17" s="1"/>
  <c r="BP10" i="17"/>
  <c r="CS10" i="17" s="1"/>
  <c r="CQ10" i="17"/>
  <c r="BM10" i="17"/>
  <c r="CP10" i="17" s="1"/>
  <c r="BB10" i="17"/>
  <c r="AQ10" i="17"/>
  <c r="BX9" i="17"/>
  <c r="DA9" i="17" s="1"/>
  <c r="CX9" i="17"/>
  <c r="BT9" i="17"/>
  <c r="CW9" i="17" s="1"/>
  <c r="BS9" i="17"/>
  <c r="CV9" i="17" s="1"/>
  <c r="BR9" i="17"/>
  <c r="CU9" i="17" s="1"/>
  <c r="BQ9" i="17"/>
  <c r="CT9" i="17" s="1"/>
  <c r="BP9" i="17"/>
  <c r="CS9" i="17" s="1"/>
  <c r="CQ9" i="17"/>
  <c r="BM9" i="17"/>
  <c r="CP9" i="17" s="1"/>
  <c r="BB9" i="17"/>
  <c r="AQ9" i="17"/>
  <c r="BX8" i="17"/>
  <c r="DA8" i="17" s="1"/>
  <c r="CX8" i="17"/>
  <c r="BT8" i="17"/>
  <c r="CW8" i="17" s="1"/>
  <c r="BS8" i="17"/>
  <c r="CV8" i="17" s="1"/>
  <c r="BR8" i="17"/>
  <c r="CU8" i="17" s="1"/>
  <c r="BQ8" i="17"/>
  <c r="CT8" i="17" s="1"/>
  <c r="BP8" i="17"/>
  <c r="CS8" i="17" s="1"/>
  <c r="CQ8" i="17"/>
  <c r="BM8" i="17"/>
  <c r="CP8" i="17" s="1"/>
  <c r="BB8" i="17"/>
  <c r="AQ8" i="17"/>
  <c r="BX7" i="17"/>
  <c r="DA7" i="17" s="1"/>
  <c r="CX7" i="17"/>
  <c r="BT7" i="17"/>
  <c r="CW7" i="17" s="1"/>
  <c r="BS7" i="17"/>
  <c r="CV7" i="17" s="1"/>
  <c r="BR7" i="17"/>
  <c r="CU7" i="17" s="1"/>
  <c r="BQ7" i="17"/>
  <c r="CT7" i="17" s="1"/>
  <c r="BP7" i="17"/>
  <c r="CS7" i="17" s="1"/>
  <c r="BM7" i="17"/>
  <c r="CP7" i="17" s="1"/>
  <c r="BB7" i="17"/>
  <c r="AQ7" i="17"/>
  <c r="BX6" i="17"/>
  <c r="DA6" i="17" s="1"/>
  <c r="CX6" i="17"/>
  <c r="BT6" i="17"/>
  <c r="CW6" i="17" s="1"/>
  <c r="BS6" i="17"/>
  <c r="CV6" i="17" s="1"/>
  <c r="BR6" i="17"/>
  <c r="CU6" i="17" s="1"/>
  <c r="BQ6" i="17"/>
  <c r="CT6" i="17" s="1"/>
  <c r="BP6" i="17"/>
  <c r="CS6" i="17" s="1"/>
  <c r="CQ6" i="17"/>
  <c r="BM6" i="17"/>
  <c r="CP6" i="17" s="1"/>
  <c r="BB6" i="17"/>
  <c r="AQ6" i="17"/>
  <c r="CX5" i="17"/>
  <c r="BT5" i="17"/>
  <c r="CW5" i="17" s="1"/>
  <c r="BS5" i="17"/>
  <c r="CV5" i="17" s="1"/>
  <c r="BR5" i="17"/>
  <c r="CU5" i="17" s="1"/>
  <c r="CT5" i="17"/>
  <c r="BP5" i="17"/>
  <c r="CS5" i="17" s="1"/>
  <c r="BM5" i="17"/>
  <c r="CP5" i="17" s="1"/>
  <c r="AQ5" i="17"/>
  <c r="M45" i="15"/>
  <c r="N45" i="15"/>
  <c r="DB26" i="17" l="1"/>
  <c r="DP26" i="17" s="1"/>
  <c r="CQ30" i="17"/>
  <c r="DB195" i="17"/>
  <c r="DP195" i="17" s="1"/>
  <c r="CW19" i="17"/>
  <c r="CW201" i="17" s="1"/>
  <c r="DB193" i="17"/>
  <c r="DP193" i="17" s="1"/>
  <c r="DB196" i="17"/>
  <c r="DP196" i="17" s="1"/>
  <c r="DA19" i="17"/>
  <c r="DA201" i="17" s="1"/>
  <c r="DB199" i="17"/>
  <c r="DP199" i="17" s="1"/>
  <c r="DB194" i="17"/>
  <c r="DP194" i="17" s="1"/>
  <c r="CS19" i="17"/>
  <c r="CS201" i="17" s="1"/>
  <c r="DB197" i="17"/>
  <c r="DP197" i="17" s="1"/>
  <c r="CV19" i="17"/>
  <c r="CV201" i="17" s="1"/>
  <c r="CT19" i="17"/>
  <c r="CT201" i="17" s="1"/>
  <c r="DB200" i="17"/>
  <c r="DP200" i="17" s="1"/>
  <c r="CU19" i="17"/>
  <c r="CU201" i="17" s="1"/>
  <c r="CX19" i="17"/>
  <c r="DP198" i="17"/>
  <c r="CQ201" i="17"/>
  <c r="CP201" i="17"/>
  <c r="DB19" i="17" l="1"/>
  <c r="DP19" i="17" s="1"/>
  <c r="CX201" i="17"/>
  <c r="H21" i="1"/>
  <c r="D6" i="15"/>
  <c r="T29" i="15"/>
  <c r="U29" i="15"/>
  <c r="F18" i="15"/>
  <c r="T18" i="15" s="1"/>
  <c r="G18" i="15"/>
  <c r="U18" i="15" s="1"/>
  <c r="F19" i="15"/>
  <c r="T19" i="15" s="1"/>
  <c r="G19" i="15"/>
  <c r="U19" i="15" s="1"/>
  <c r="F20" i="15"/>
  <c r="T20" i="15" s="1"/>
  <c r="G20" i="15"/>
  <c r="U20" i="15" s="1"/>
  <c r="F21" i="15"/>
  <c r="F37" i="15" s="1"/>
  <c r="G21" i="15"/>
  <c r="G37" i="15" s="1"/>
  <c r="F22" i="15"/>
  <c r="T22" i="15" s="1"/>
  <c r="G22" i="15"/>
  <c r="U22" i="15" s="1"/>
  <c r="F23" i="15"/>
  <c r="T23" i="15" s="1"/>
  <c r="G23" i="15"/>
  <c r="G39" i="15" s="1"/>
  <c r="U39" i="15" s="1"/>
  <c r="F24" i="15"/>
  <c r="T24" i="15" s="1"/>
  <c r="G24" i="15"/>
  <c r="U24" i="15" s="1"/>
  <c r="T25" i="15"/>
  <c r="G41" i="15"/>
  <c r="T26" i="15"/>
  <c r="U26" i="15"/>
  <c r="F44" i="15"/>
  <c r="U28" i="15"/>
  <c r="H14" i="15"/>
  <c r="M34" i="15"/>
  <c r="N34" i="15"/>
  <c r="M35" i="15"/>
  <c r="N35" i="15"/>
  <c r="M36" i="15"/>
  <c r="N36" i="15"/>
  <c r="M37" i="15"/>
  <c r="N37" i="15"/>
  <c r="M38" i="15"/>
  <c r="N38" i="15"/>
  <c r="M39" i="15"/>
  <c r="N39" i="15"/>
  <c r="M40" i="15"/>
  <c r="N40" i="15"/>
  <c r="M41" i="15"/>
  <c r="N41" i="15"/>
  <c r="M42" i="15"/>
  <c r="N42" i="15"/>
  <c r="M44" i="15"/>
  <c r="N44" i="15"/>
  <c r="O14" i="15"/>
  <c r="U41" i="15" l="1"/>
  <c r="U23" i="15"/>
  <c r="U21" i="15"/>
  <c r="T21" i="15"/>
  <c r="T28" i="15"/>
  <c r="U25" i="15"/>
  <c r="L24" i="1"/>
  <c r="E24" i="21" s="1"/>
  <c r="D5" i="1"/>
  <c r="D4" i="15"/>
  <c r="L20" i="15" s="1"/>
  <c r="L25" i="1"/>
  <c r="E25" i="21" s="1"/>
  <c r="E22" i="1"/>
  <c r="N46" i="15"/>
  <c r="T44" i="15"/>
  <c r="U37" i="15"/>
  <c r="T37" i="15"/>
  <c r="G45" i="15"/>
  <c r="G36" i="15"/>
  <c r="F39" i="15"/>
  <c r="G34" i="15"/>
  <c r="U34" i="15" s="1"/>
  <c r="F45" i="15"/>
  <c r="F40" i="15"/>
  <c r="F38" i="15"/>
  <c r="G35" i="15"/>
  <c r="F35" i="15"/>
  <c r="F41" i="15"/>
  <c r="F36" i="15"/>
  <c r="F34" i="15"/>
  <c r="T34" i="15" s="1"/>
  <c r="G40" i="15"/>
  <c r="G38" i="15"/>
  <c r="G44" i="15"/>
  <c r="M46" i="15"/>
  <c r="CM26" i="17"/>
  <c r="AG4" i="12"/>
  <c r="CJ26" i="17"/>
  <c r="AI205" i="13"/>
  <c r="O201" i="13"/>
  <c r="N201" i="13"/>
  <c r="M201" i="13"/>
  <c r="L201" i="13"/>
  <c r="K201" i="13"/>
  <c r="J201" i="13"/>
  <c r="V200" i="13"/>
  <c r="Z200" i="13" s="1"/>
  <c r="U200" i="13"/>
  <c r="Y200" i="13" s="1"/>
  <c r="Q200" i="13"/>
  <c r="P200" i="13"/>
  <c r="R200" i="13"/>
  <c r="T200" i="13"/>
  <c r="V199" i="13"/>
  <c r="Z199" i="13" s="1"/>
  <c r="U199" i="13"/>
  <c r="Y199" i="13" s="1"/>
  <c r="R199" i="13"/>
  <c r="P199" i="13"/>
  <c r="Q199" i="13"/>
  <c r="T199" i="13"/>
  <c r="V198" i="13"/>
  <c r="Z198" i="13" s="1"/>
  <c r="U198" i="13"/>
  <c r="Y198" i="13" s="1"/>
  <c r="Q198" i="13"/>
  <c r="R198" i="13"/>
  <c r="T198" i="13"/>
  <c r="V197" i="13"/>
  <c r="Z197" i="13" s="1"/>
  <c r="U197" i="13"/>
  <c r="Y197" i="13" s="1"/>
  <c r="R197" i="13"/>
  <c r="P197" i="13"/>
  <c r="Q197" i="13"/>
  <c r="T197" i="13"/>
  <c r="V196" i="13"/>
  <c r="Z196" i="13" s="1"/>
  <c r="U196" i="13"/>
  <c r="Y196" i="13" s="1"/>
  <c r="R196" i="13"/>
  <c r="Q196" i="13"/>
  <c r="P196" i="13"/>
  <c r="V195" i="13"/>
  <c r="Z195" i="13" s="1"/>
  <c r="U195" i="13"/>
  <c r="Y195" i="13" s="1"/>
  <c r="R195" i="13"/>
  <c r="Q195" i="13"/>
  <c r="P195" i="13"/>
  <c r="V194" i="13"/>
  <c r="Z194" i="13" s="1"/>
  <c r="U194" i="13"/>
  <c r="Y194" i="13" s="1"/>
  <c r="R194" i="13"/>
  <c r="Q194" i="13"/>
  <c r="P194" i="13"/>
  <c r="V193" i="13"/>
  <c r="Z193" i="13" s="1"/>
  <c r="U193" i="13"/>
  <c r="Y193" i="13" s="1"/>
  <c r="T193" i="13"/>
  <c r="X193" i="13" s="1"/>
  <c r="R193" i="13"/>
  <c r="Q193" i="13"/>
  <c r="P193" i="13"/>
  <c r="V192" i="13"/>
  <c r="Z192" i="13" s="1"/>
  <c r="U192" i="13"/>
  <c r="Y192" i="13" s="1"/>
  <c r="R192" i="13"/>
  <c r="Q192" i="13"/>
  <c r="P192" i="13"/>
  <c r="T192" i="13"/>
  <c r="V191" i="13"/>
  <c r="Z191" i="13" s="1"/>
  <c r="U191" i="13"/>
  <c r="Y191" i="13" s="1"/>
  <c r="R191" i="13"/>
  <c r="Q191" i="13"/>
  <c r="P191" i="13"/>
  <c r="T191" i="13"/>
  <c r="V190" i="13"/>
  <c r="Z190" i="13" s="1"/>
  <c r="U190" i="13"/>
  <c r="Y190" i="13" s="1"/>
  <c r="Q190" i="13"/>
  <c r="P190" i="13"/>
  <c r="R190" i="13"/>
  <c r="T190" i="13"/>
  <c r="V189" i="13"/>
  <c r="Z189" i="13" s="1"/>
  <c r="U189" i="13"/>
  <c r="Y189" i="13" s="1"/>
  <c r="R189" i="13"/>
  <c r="P189" i="13"/>
  <c r="Q189" i="13"/>
  <c r="T189" i="13"/>
  <c r="V188" i="13"/>
  <c r="Z188" i="13" s="1"/>
  <c r="U188" i="13"/>
  <c r="Y188" i="13" s="1"/>
  <c r="Q188" i="13"/>
  <c r="R188" i="13"/>
  <c r="P188" i="13"/>
  <c r="V187" i="13"/>
  <c r="Z187" i="13" s="1"/>
  <c r="U187" i="13"/>
  <c r="Y187" i="13" s="1"/>
  <c r="R187" i="13"/>
  <c r="P187" i="13"/>
  <c r="Q187" i="13"/>
  <c r="T187" i="13"/>
  <c r="V186" i="13"/>
  <c r="Z186" i="13" s="1"/>
  <c r="U186" i="13"/>
  <c r="Y186" i="13" s="1"/>
  <c r="R186" i="13"/>
  <c r="Q186" i="13"/>
  <c r="P186" i="13"/>
  <c r="V185" i="13"/>
  <c r="Z185" i="13" s="1"/>
  <c r="U185" i="13"/>
  <c r="Y185" i="13" s="1"/>
  <c r="R185" i="13"/>
  <c r="P185" i="13"/>
  <c r="V184" i="13"/>
  <c r="Z184" i="13" s="1"/>
  <c r="U184" i="13"/>
  <c r="Y184" i="13" s="1"/>
  <c r="Q184" i="13"/>
  <c r="P184" i="13"/>
  <c r="R184" i="13"/>
  <c r="V183" i="13"/>
  <c r="Z183" i="13" s="1"/>
  <c r="U183" i="13"/>
  <c r="Y183" i="13" s="1"/>
  <c r="Q183" i="13"/>
  <c r="P183" i="13"/>
  <c r="V182" i="13"/>
  <c r="Z182" i="13" s="1"/>
  <c r="U182" i="13"/>
  <c r="Y182" i="13" s="1"/>
  <c r="R182" i="13"/>
  <c r="Q182" i="13"/>
  <c r="V181" i="13"/>
  <c r="Z181" i="13" s="1"/>
  <c r="U181" i="13"/>
  <c r="Y181" i="13" s="1"/>
  <c r="T181" i="13"/>
  <c r="R181" i="13"/>
  <c r="Q181" i="13"/>
  <c r="P181" i="13"/>
  <c r="V180" i="13"/>
  <c r="Z180" i="13" s="1"/>
  <c r="U180" i="13"/>
  <c r="Y180" i="13" s="1"/>
  <c r="T180" i="13"/>
  <c r="AJ180" i="13" s="1"/>
  <c r="Q180" i="13"/>
  <c r="P180" i="13"/>
  <c r="R180" i="13"/>
  <c r="V179" i="13"/>
  <c r="Z179" i="13" s="1"/>
  <c r="U179" i="13"/>
  <c r="Y179" i="13" s="1"/>
  <c r="P179" i="13"/>
  <c r="R179" i="13"/>
  <c r="Q179" i="13"/>
  <c r="V178" i="13"/>
  <c r="Z178" i="13" s="1"/>
  <c r="U178" i="13"/>
  <c r="Y178" i="13" s="1"/>
  <c r="R178" i="13"/>
  <c r="Q178" i="13"/>
  <c r="P178" i="13"/>
  <c r="V177" i="13"/>
  <c r="Z177" i="13" s="1"/>
  <c r="U177" i="13"/>
  <c r="Y177" i="13" s="1"/>
  <c r="R177" i="13"/>
  <c r="Q177" i="13"/>
  <c r="P177" i="13"/>
  <c r="T177" i="13"/>
  <c r="V176" i="13"/>
  <c r="Z176" i="13" s="1"/>
  <c r="U176" i="13"/>
  <c r="Y176" i="13" s="1"/>
  <c r="Q176" i="13"/>
  <c r="R176" i="13"/>
  <c r="T176" i="13"/>
  <c r="AJ176" i="13" s="1"/>
  <c r="V175" i="13"/>
  <c r="Z175" i="13" s="1"/>
  <c r="U175" i="13"/>
  <c r="Y175" i="13" s="1"/>
  <c r="P175" i="13"/>
  <c r="R175" i="13"/>
  <c r="V174" i="13"/>
  <c r="Z174" i="13" s="1"/>
  <c r="U174" i="13"/>
  <c r="Y174" i="13" s="1"/>
  <c r="R174" i="13"/>
  <c r="Q174" i="13"/>
  <c r="V173" i="13"/>
  <c r="Z173" i="13" s="1"/>
  <c r="U173" i="13"/>
  <c r="Y173" i="13" s="1"/>
  <c r="T173" i="13"/>
  <c r="R173" i="13"/>
  <c r="Q173" i="13"/>
  <c r="P173" i="13"/>
  <c r="V172" i="13"/>
  <c r="Z172" i="13" s="1"/>
  <c r="U172" i="13"/>
  <c r="Y172" i="13" s="1"/>
  <c r="T172" i="13"/>
  <c r="AJ172" i="13" s="1"/>
  <c r="Q172" i="13"/>
  <c r="P172" i="13"/>
  <c r="R172" i="13"/>
  <c r="S172" i="13" s="1"/>
  <c r="V171" i="13"/>
  <c r="Z171" i="13" s="1"/>
  <c r="U171" i="13"/>
  <c r="Y171" i="13" s="1"/>
  <c r="R171" i="13"/>
  <c r="P171" i="13"/>
  <c r="T171" i="13"/>
  <c r="AJ171" i="13" s="1"/>
  <c r="Q171" i="13"/>
  <c r="V170" i="13"/>
  <c r="Z170" i="13" s="1"/>
  <c r="U170" i="13"/>
  <c r="Y170" i="13" s="1"/>
  <c r="R170" i="13"/>
  <c r="P170" i="13"/>
  <c r="V169" i="13"/>
  <c r="Z169" i="13" s="1"/>
  <c r="U169" i="13"/>
  <c r="Y169" i="13" s="1"/>
  <c r="R169" i="13"/>
  <c r="Q169" i="13"/>
  <c r="P169" i="13"/>
  <c r="V168" i="13"/>
  <c r="Z168" i="13" s="1"/>
  <c r="U168" i="13"/>
  <c r="Y168" i="13" s="1"/>
  <c r="T168" i="13"/>
  <c r="AJ168" i="13" s="1"/>
  <c r="Q168" i="13"/>
  <c r="R168" i="13"/>
  <c r="P168" i="13"/>
  <c r="V167" i="13"/>
  <c r="Z167" i="13" s="1"/>
  <c r="U167" i="13"/>
  <c r="Y167" i="13" s="1"/>
  <c r="P167" i="13"/>
  <c r="R167" i="13"/>
  <c r="Q167" i="13"/>
  <c r="V166" i="13"/>
  <c r="Z166" i="13" s="1"/>
  <c r="U166" i="13"/>
  <c r="Y166" i="13" s="1"/>
  <c r="R166" i="13"/>
  <c r="Q166" i="13"/>
  <c r="V165" i="13"/>
  <c r="Z165" i="13" s="1"/>
  <c r="U165" i="13"/>
  <c r="Y165" i="13" s="1"/>
  <c r="R165" i="13"/>
  <c r="Q165" i="13"/>
  <c r="V164" i="13"/>
  <c r="Z164" i="13" s="1"/>
  <c r="U164" i="13"/>
  <c r="Y164" i="13" s="1"/>
  <c r="T164" i="13"/>
  <c r="AJ164" i="13" s="1"/>
  <c r="Q164" i="13"/>
  <c r="P164" i="13"/>
  <c r="R164" i="13"/>
  <c r="V163" i="13"/>
  <c r="Z163" i="13" s="1"/>
  <c r="U163" i="13"/>
  <c r="Y163" i="13" s="1"/>
  <c r="R163" i="13"/>
  <c r="P163" i="13"/>
  <c r="T163" i="13"/>
  <c r="AC163" i="13" s="1"/>
  <c r="Q163" i="13"/>
  <c r="V162" i="13"/>
  <c r="Z162" i="13" s="1"/>
  <c r="U162" i="13"/>
  <c r="Y162" i="13" s="1"/>
  <c r="R162" i="13"/>
  <c r="P162" i="13"/>
  <c r="V161" i="13"/>
  <c r="Z161" i="13" s="1"/>
  <c r="U161" i="13"/>
  <c r="Y161" i="13" s="1"/>
  <c r="R161" i="13"/>
  <c r="Q161" i="13"/>
  <c r="V160" i="13"/>
  <c r="Z160" i="13" s="1"/>
  <c r="U160" i="13"/>
  <c r="Y160" i="13" s="1"/>
  <c r="T160" i="13"/>
  <c r="Q160" i="13"/>
  <c r="R160" i="13"/>
  <c r="P160" i="13"/>
  <c r="V159" i="13"/>
  <c r="Z159" i="13" s="1"/>
  <c r="U159" i="13"/>
  <c r="Y159" i="13" s="1"/>
  <c r="P159" i="13"/>
  <c r="R159" i="13"/>
  <c r="V158" i="13"/>
  <c r="Z158" i="13" s="1"/>
  <c r="U158" i="13"/>
  <c r="Y158" i="13" s="1"/>
  <c r="R158" i="13"/>
  <c r="Q158" i="13"/>
  <c r="V157" i="13"/>
  <c r="Z157" i="13" s="1"/>
  <c r="U157" i="13"/>
  <c r="Y157" i="13" s="1"/>
  <c r="T157" i="13"/>
  <c r="R157" i="13"/>
  <c r="Q157" i="13"/>
  <c r="P157" i="13"/>
  <c r="V156" i="13"/>
  <c r="Z156" i="13" s="1"/>
  <c r="U156" i="13"/>
  <c r="Y156" i="13" s="1"/>
  <c r="T156" i="13"/>
  <c r="X156" i="13" s="1"/>
  <c r="R156" i="13"/>
  <c r="Q156" i="13"/>
  <c r="P156" i="13"/>
  <c r="V155" i="13"/>
  <c r="Z155" i="13" s="1"/>
  <c r="U155" i="13"/>
  <c r="Y155" i="13" s="1"/>
  <c r="P155" i="13"/>
  <c r="Q155" i="13"/>
  <c r="V154" i="13"/>
  <c r="Z154" i="13" s="1"/>
  <c r="U154" i="13"/>
  <c r="Y154" i="13" s="1"/>
  <c r="R154" i="13"/>
  <c r="P154" i="13"/>
  <c r="V153" i="13"/>
  <c r="Z153" i="13" s="1"/>
  <c r="U153" i="13"/>
  <c r="Y153" i="13" s="1"/>
  <c r="R153" i="13"/>
  <c r="Q153" i="13"/>
  <c r="P153" i="13"/>
  <c r="T153" i="13"/>
  <c r="V152" i="13"/>
  <c r="Z152" i="13" s="1"/>
  <c r="U152" i="13"/>
  <c r="Y152" i="13" s="1"/>
  <c r="Q152" i="13"/>
  <c r="R152" i="13"/>
  <c r="V151" i="13"/>
  <c r="Z151" i="13" s="1"/>
  <c r="U151" i="13"/>
  <c r="Y151" i="13" s="1"/>
  <c r="P151" i="13"/>
  <c r="R151" i="13"/>
  <c r="V150" i="13"/>
  <c r="Z150" i="13" s="1"/>
  <c r="U150" i="13"/>
  <c r="Y150" i="13" s="1"/>
  <c r="R150" i="13"/>
  <c r="Q150" i="13"/>
  <c r="V149" i="13"/>
  <c r="Z149" i="13" s="1"/>
  <c r="U149" i="13"/>
  <c r="Y149" i="13" s="1"/>
  <c r="T149" i="13"/>
  <c r="AC149" i="13" s="1"/>
  <c r="R149" i="13"/>
  <c r="Q149" i="13"/>
  <c r="P149" i="13"/>
  <c r="V148" i="13"/>
  <c r="Z148" i="13" s="1"/>
  <c r="U148" i="13"/>
  <c r="Y148" i="13" s="1"/>
  <c r="T148" i="13"/>
  <c r="X148" i="13" s="1"/>
  <c r="R148" i="13"/>
  <c r="Q148" i="13"/>
  <c r="P148" i="13"/>
  <c r="Y147" i="13"/>
  <c r="V147" i="13"/>
  <c r="Z147" i="13" s="1"/>
  <c r="U147" i="13"/>
  <c r="Q147" i="13"/>
  <c r="P147" i="13"/>
  <c r="V146" i="13"/>
  <c r="Z146" i="13" s="1"/>
  <c r="U146" i="13"/>
  <c r="Y146" i="13" s="1"/>
  <c r="R146" i="13"/>
  <c r="P146" i="13"/>
  <c r="V145" i="13"/>
  <c r="Z145" i="13" s="1"/>
  <c r="U145" i="13"/>
  <c r="Y145" i="13" s="1"/>
  <c r="R145" i="13"/>
  <c r="Q145" i="13"/>
  <c r="V144" i="13"/>
  <c r="Z144" i="13" s="1"/>
  <c r="U144" i="13"/>
  <c r="Y144" i="13" s="1"/>
  <c r="Q144" i="13"/>
  <c r="P144" i="13"/>
  <c r="V143" i="13"/>
  <c r="Z143" i="13" s="1"/>
  <c r="U143" i="13"/>
  <c r="Y143" i="13" s="1"/>
  <c r="Q143" i="13"/>
  <c r="P143" i="13"/>
  <c r="R143" i="13"/>
  <c r="T143" i="13"/>
  <c r="AC143" i="13" s="1"/>
  <c r="V142" i="13"/>
  <c r="Z142" i="13" s="1"/>
  <c r="U142" i="13"/>
  <c r="Y142" i="13" s="1"/>
  <c r="R142" i="13"/>
  <c r="P142" i="13"/>
  <c r="Q142" i="13"/>
  <c r="T142" i="13"/>
  <c r="AC142" i="13" s="1"/>
  <c r="V141" i="13"/>
  <c r="Z141" i="13" s="1"/>
  <c r="U141" i="13"/>
  <c r="Y141" i="13" s="1"/>
  <c r="Q141" i="13"/>
  <c r="R141" i="13"/>
  <c r="V140" i="13"/>
  <c r="Z140" i="13" s="1"/>
  <c r="U140" i="13"/>
  <c r="Y140" i="13" s="1"/>
  <c r="R140" i="13"/>
  <c r="P140" i="13"/>
  <c r="Z139" i="13"/>
  <c r="V139" i="13"/>
  <c r="U139" i="13"/>
  <c r="Y139" i="13" s="1"/>
  <c r="R139" i="13"/>
  <c r="Q139" i="13"/>
  <c r="P139" i="13"/>
  <c r="T139" i="13"/>
  <c r="X139" i="13" s="1"/>
  <c r="V138" i="13"/>
  <c r="Z138" i="13" s="1"/>
  <c r="U138" i="13"/>
  <c r="Y138" i="13" s="1"/>
  <c r="Q138" i="13"/>
  <c r="P138" i="13"/>
  <c r="V137" i="13"/>
  <c r="Z137" i="13" s="1"/>
  <c r="U137" i="13"/>
  <c r="Y137" i="13" s="1"/>
  <c r="R137" i="13"/>
  <c r="Q137" i="13"/>
  <c r="V136" i="13"/>
  <c r="Z136" i="13" s="1"/>
  <c r="U136" i="13"/>
  <c r="Y136" i="13" s="1"/>
  <c r="T136" i="13"/>
  <c r="X136" i="13" s="1"/>
  <c r="R136" i="13"/>
  <c r="Q136" i="13"/>
  <c r="P136" i="13"/>
  <c r="V135" i="13"/>
  <c r="Z135" i="13" s="1"/>
  <c r="U135" i="13"/>
  <c r="Y135" i="13" s="1"/>
  <c r="Q135" i="13"/>
  <c r="P135" i="13"/>
  <c r="V134" i="13"/>
  <c r="Z134" i="13" s="1"/>
  <c r="U134" i="13"/>
  <c r="Y134" i="13" s="1"/>
  <c r="R134" i="13"/>
  <c r="Q134" i="13"/>
  <c r="V133" i="13"/>
  <c r="Z133" i="13" s="1"/>
  <c r="U133" i="13"/>
  <c r="Y133" i="13" s="1"/>
  <c r="T133" i="13"/>
  <c r="AJ133" i="13" s="1"/>
  <c r="R133" i="13"/>
  <c r="Q133" i="13"/>
  <c r="P133" i="13"/>
  <c r="V132" i="13"/>
  <c r="Z132" i="13" s="1"/>
  <c r="U132" i="13"/>
  <c r="Y132" i="13" s="1"/>
  <c r="T132" i="13"/>
  <c r="X132" i="13" s="1"/>
  <c r="R132" i="13"/>
  <c r="Q132" i="13"/>
  <c r="P132" i="13"/>
  <c r="V131" i="13"/>
  <c r="Z131" i="13" s="1"/>
  <c r="U131" i="13"/>
  <c r="Y131" i="13" s="1"/>
  <c r="Q131" i="13"/>
  <c r="P131" i="13"/>
  <c r="V130" i="13"/>
  <c r="Z130" i="13" s="1"/>
  <c r="U130" i="13"/>
  <c r="Y130" i="13" s="1"/>
  <c r="P130" i="13"/>
  <c r="R130" i="13"/>
  <c r="V129" i="13"/>
  <c r="Z129" i="13" s="1"/>
  <c r="U129" i="13"/>
  <c r="Y129" i="13" s="1"/>
  <c r="P129" i="13"/>
  <c r="R129" i="13"/>
  <c r="Q129" i="13"/>
  <c r="T129" i="13"/>
  <c r="AJ129" i="13" s="1"/>
  <c r="V128" i="13"/>
  <c r="Z128" i="13" s="1"/>
  <c r="U128" i="13"/>
  <c r="Y128" i="13" s="1"/>
  <c r="R128" i="13"/>
  <c r="Q128" i="13"/>
  <c r="Y127" i="13"/>
  <c r="V127" i="13"/>
  <c r="Z127" i="13" s="1"/>
  <c r="U127" i="13"/>
  <c r="Q127" i="13"/>
  <c r="P127" i="13"/>
  <c r="R127" i="13"/>
  <c r="T127" i="13"/>
  <c r="V126" i="13"/>
  <c r="Z126" i="13" s="1"/>
  <c r="U126" i="13"/>
  <c r="Y126" i="13" s="1"/>
  <c r="T126" i="13"/>
  <c r="P126" i="13"/>
  <c r="R126" i="13"/>
  <c r="Q126" i="13"/>
  <c r="V125" i="13"/>
  <c r="Z125" i="13" s="1"/>
  <c r="U125" i="13"/>
  <c r="Y125" i="13" s="1"/>
  <c r="T125" i="13"/>
  <c r="X125" i="13" s="1"/>
  <c r="R125" i="13"/>
  <c r="Q125" i="13"/>
  <c r="P125" i="13"/>
  <c r="V124" i="13"/>
  <c r="Z124" i="13" s="1"/>
  <c r="U124" i="13"/>
  <c r="Y124" i="13" s="1"/>
  <c r="R124" i="13"/>
  <c r="Q124" i="13"/>
  <c r="P124" i="13"/>
  <c r="T124" i="13"/>
  <c r="X124" i="13" s="1"/>
  <c r="V123" i="13"/>
  <c r="Z123" i="13" s="1"/>
  <c r="U123" i="13"/>
  <c r="Y123" i="13" s="1"/>
  <c r="Q123" i="13"/>
  <c r="P123" i="13"/>
  <c r="AJ122" i="13"/>
  <c r="V122" i="13"/>
  <c r="Z122" i="13" s="1"/>
  <c r="U122" i="13"/>
  <c r="Y122" i="13" s="1"/>
  <c r="Q122" i="13"/>
  <c r="P122" i="13"/>
  <c r="R122" i="13"/>
  <c r="T122" i="13"/>
  <c r="AC122" i="13" s="1"/>
  <c r="V121" i="13"/>
  <c r="Z121" i="13" s="1"/>
  <c r="U121" i="13"/>
  <c r="Y121" i="13" s="1"/>
  <c r="R121" i="13"/>
  <c r="Q121" i="13"/>
  <c r="V120" i="13"/>
  <c r="Z120" i="13" s="1"/>
  <c r="U120" i="13"/>
  <c r="Y120" i="13" s="1"/>
  <c r="R120" i="13"/>
  <c r="Q120" i="13"/>
  <c r="V119" i="13"/>
  <c r="Z119" i="13" s="1"/>
  <c r="U119" i="13"/>
  <c r="Y119" i="13" s="1"/>
  <c r="P119" i="13"/>
  <c r="R119" i="13"/>
  <c r="Q119" i="13"/>
  <c r="V118" i="13"/>
  <c r="Z118" i="13" s="1"/>
  <c r="U118" i="13"/>
  <c r="Y118" i="13" s="1"/>
  <c r="T118" i="13"/>
  <c r="R118" i="13"/>
  <c r="Q118" i="13"/>
  <c r="P118" i="13"/>
  <c r="V117" i="13"/>
  <c r="Z117" i="13" s="1"/>
  <c r="U117" i="13"/>
  <c r="Y117" i="13" s="1"/>
  <c r="R117" i="13"/>
  <c r="P117" i="13"/>
  <c r="V116" i="13"/>
  <c r="Z116" i="13" s="1"/>
  <c r="U116" i="13"/>
  <c r="Y116" i="13" s="1"/>
  <c r="R116" i="13"/>
  <c r="Q116" i="13"/>
  <c r="T116" i="13"/>
  <c r="X116" i="13" s="1"/>
  <c r="Y115" i="13"/>
  <c r="V115" i="13"/>
  <c r="Z115" i="13" s="1"/>
  <c r="U115" i="13"/>
  <c r="Q115" i="13"/>
  <c r="P115" i="13"/>
  <c r="T115" i="13"/>
  <c r="AC115" i="13" s="1"/>
  <c r="V114" i="13"/>
  <c r="Z114" i="13" s="1"/>
  <c r="U114" i="13"/>
  <c r="Y114" i="13" s="1"/>
  <c r="P114" i="13"/>
  <c r="R114" i="13"/>
  <c r="V113" i="13"/>
  <c r="Z113" i="13" s="1"/>
  <c r="U113" i="13"/>
  <c r="Y113" i="13" s="1"/>
  <c r="R113" i="13"/>
  <c r="Q113" i="13"/>
  <c r="V112" i="13"/>
  <c r="Z112" i="13" s="1"/>
  <c r="U112" i="13"/>
  <c r="Y112" i="13" s="1"/>
  <c r="T112" i="13"/>
  <c r="Q112" i="13"/>
  <c r="R112" i="13"/>
  <c r="P112" i="13"/>
  <c r="AJ111" i="13"/>
  <c r="V111" i="13"/>
  <c r="Z111" i="13" s="1"/>
  <c r="U111" i="13"/>
  <c r="Y111" i="13" s="1"/>
  <c r="R111" i="13"/>
  <c r="Q111" i="13"/>
  <c r="P111" i="13"/>
  <c r="V110" i="13"/>
  <c r="Z110" i="13" s="1"/>
  <c r="U110" i="13"/>
  <c r="Y110" i="13" s="1"/>
  <c r="R110" i="13"/>
  <c r="Q110" i="13"/>
  <c r="V109" i="13"/>
  <c r="Z109" i="13" s="1"/>
  <c r="U109" i="13"/>
  <c r="Y109" i="13" s="1"/>
  <c r="Q109" i="13"/>
  <c r="R109" i="13"/>
  <c r="P109" i="13"/>
  <c r="V108" i="13"/>
  <c r="Z108" i="13" s="1"/>
  <c r="U108" i="13"/>
  <c r="Y108" i="13" s="1"/>
  <c r="T108" i="13"/>
  <c r="R108" i="13"/>
  <c r="Q108" i="13"/>
  <c r="P108" i="13"/>
  <c r="V107" i="13"/>
  <c r="Z107" i="13" s="1"/>
  <c r="U107" i="13"/>
  <c r="Y107" i="13" s="1"/>
  <c r="R107" i="13"/>
  <c r="Q107" i="13"/>
  <c r="T107" i="13"/>
  <c r="X107" i="13" s="1"/>
  <c r="P107" i="13"/>
  <c r="V106" i="13"/>
  <c r="Z106" i="13" s="1"/>
  <c r="U106" i="13"/>
  <c r="Y106" i="13" s="1"/>
  <c r="R106" i="13"/>
  <c r="P106" i="13"/>
  <c r="V105" i="13"/>
  <c r="Z105" i="13" s="1"/>
  <c r="U105" i="13"/>
  <c r="Y105" i="13" s="1"/>
  <c r="Q105" i="13"/>
  <c r="R105" i="13"/>
  <c r="V104" i="13"/>
  <c r="Z104" i="13" s="1"/>
  <c r="U104" i="13"/>
  <c r="Y104" i="13" s="1"/>
  <c r="T104" i="13"/>
  <c r="R104" i="13"/>
  <c r="Q104" i="13"/>
  <c r="P104" i="13"/>
  <c r="V103" i="13"/>
  <c r="Z103" i="13" s="1"/>
  <c r="U103" i="13"/>
  <c r="Y103" i="13" s="1"/>
  <c r="R103" i="13"/>
  <c r="Q103" i="13"/>
  <c r="V102" i="13"/>
  <c r="Z102" i="13" s="1"/>
  <c r="U102" i="13"/>
  <c r="Y102" i="13" s="1"/>
  <c r="R102" i="13"/>
  <c r="P102" i="13"/>
  <c r="T102" i="13"/>
  <c r="Q102" i="13"/>
  <c r="V101" i="13"/>
  <c r="Z101" i="13" s="1"/>
  <c r="U101" i="13"/>
  <c r="Y101" i="13" s="1"/>
  <c r="R101" i="13"/>
  <c r="Q101" i="13"/>
  <c r="AJ100" i="13"/>
  <c r="V100" i="13"/>
  <c r="Z100" i="13" s="1"/>
  <c r="U100" i="13"/>
  <c r="Y100" i="13" s="1"/>
  <c r="T100" i="13"/>
  <c r="X100" i="13" s="1"/>
  <c r="R100" i="13"/>
  <c r="P100" i="13"/>
  <c r="Q100" i="13"/>
  <c r="V99" i="13"/>
  <c r="Z99" i="13" s="1"/>
  <c r="U99" i="13"/>
  <c r="Y99" i="13" s="1"/>
  <c r="Q99" i="13"/>
  <c r="R99" i="13"/>
  <c r="V98" i="13"/>
  <c r="Z98" i="13" s="1"/>
  <c r="U98" i="13"/>
  <c r="Y98" i="13" s="1"/>
  <c r="T98" i="13"/>
  <c r="AJ98" i="13" s="1"/>
  <c r="R98" i="13"/>
  <c r="P98" i="13"/>
  <c r="Q98" i="13"/>
  <c r="V97" i="13"/>
  <c r="Z97" i="13" s="1"/>
  <c r="U97" i="13"/>
  <c r="Y97" i="13" s="1"/>
  <c r="R97" i="13"/>
  <c r="Q97" i="13"/>
  <c r="P97" i="13"/>
  <c r="V96" i="13"/>
  <c r="Z96" i="13" s="1"/>
  <c r="U96" i="13"/>
  <c r="Y96" i="13" s="1"/>
  <c r="P96" i="13"/>
  <c r="R96" i="13"/>
  <c r="V95" i="13"/>
  <c r="Z95" i="13" s="1"/>
  <c r="U95" i="13"/>
  <c r="Y95" i="13" s="1"/>
  <c r="R95" i="13"/>
  <c r="Q95" i="13"/>
  <c r="V94" i="13"/>
  <c r="Z94" i="13" s="1"/>
  <c r="U94" i="13"/>
  <c r="Y94" i="13" s="1"/>
  <c r="T94" i="13"/>
  <c r="AJ94" i="13" s="1"/>
  <c r="R94" i="13"/>
  <c r="Q94" i="13"/>
  <c r="P94" i="13"/>
  <c r="V93" i="13"/>
  <c r="Z93" i="13" s="1"/>
  <c r="U93" i="13"/>
  <c r="Y93" i="13" s="1"/>
  <c r="R93" i="13"/>
  <c r="Q93" i="13"/>
  <c r="V92" i="13"/>
  <c r="Z92" i="13" s="1"/>
  <c r="U92" i="13"/>
  <c r="Y92" i="13" s="1"/>
  <c r="R92" i="13"/>
  <c r="Q92" i="13"/>
  <c r="P92" i="13"/>
  <c r="V91" i="13"/>
  <c r="Z91" i="13" s="1"/>
  <c r="U91" i="13"/>
  <c r="Y91" i="13" s="1"/>
  <c r="Q91" i="13"/>
  <c r="T91" i="13"/>
  <c r="P91" i="13"/>
  <c r="V90" i="13"/>
  <c r="Z90" i="13" s="1"/>
  <c r="U90" i="13"/>
  <c r="Y90" i="13" s="1"/>
  <c r="R90" i="13"/>
  <c r="Q90" i="13"/>
  <c r="V89" i="13"/>
  <c r="Z89" i="13" s="1"/>
  <c r="U89" i="13"/>
  <c r="Y89" i="13" s="1"/>
  <c r="T89" i="13"/>
  <c r="Q89" i="13"/>
  <c r="R89" i="13"/>
  <c r="P89" i="13"/>
  <c r="V88" i="13"/>
  <c r="Z88" i="13" s="1"/>
  <c r="U88" i="13"/>
  <c r="Y88" i="13" s="1"/>
  <c r="P88" i="13"/>
  <c r="R88" i="13"/>
  <c r="Q88" i="13"/>
  <c r="V87" i="13"/>
  <c r="Z87" i="13" s="1"/>
  <c r="U87" i="13"/>
  <c r="Y87" i="13" s="1"/>
  <c r="R87" i="13"/>
  <c r="Q87" i="13"/>
  <c r="V86" i="13"/>
  <c r="Z86" i="13" s="1"/>
  <c r="U86" i="13"/>
  <c r="Y86" i="13" s="1"/>
  <c r="R86" i="13"/>
  <c r="P86" i="13"/>
  <c r="Q86" i="13"/>
  <c r="T86" i="13"/>
  <c r="X86" i="13" s="1"/>
  <c r="V85" i="13"/>
  <c r="Z85" i="13" s="1"/>
  <c r="U85" i="13"/>
  <c r="Y85" i="13" s="1"/>
  <c r="R85" i="13"/>
  <c r="Q85" i="13"/>
  <c r="T85" i="13"/>
  <c r="AJ85" i="13" s="1"/>
  <c r="V84" i="13"/>
  <c r="Z84" i="13" s="1"/>
  <c r="U84" i="13"/>
  <c r="Y84" i="13" s="1"/>
  <c r="R84" i="13"/>
  <c r="Q84" i="13"/>
  <c r="P84" i="13"/>
  <c r="V83" i="13"/>
  <c r="Z83" i="13" s="1"/>
  <c r="U83" i="13"/>
  <c r="Y83" i="13" s="1"/>
  <c r="R83" i="13"/>
  <c r="Q83" i="13"/>
  <c r="P83" i="13"/>
  <c r="V82" i="13"/>
  <c r="Z82" i="13" s="1"/>
  <c r="U82" i="13"/>
  <c r="Y82" i="13" s="1"/>
  <c r="R82" i="13"/>
  <c r="Q82" i="13"/>
  <c r="V81" i="13"/>
  <c r="Z81" i="13" s="1"/>
  <c r="U81" i="13"/>
  <c r="Y81" i="13" s="1"/>
  <c r="T81" i="13"/>
  <c r="AC81" i="13" s="1"/>
  <c r="R81" i="13"/>
  <c r="Q81" i="13"/>
  <c r="P81" i="13"/>
  <c r="V80" i="13"/>
  <c r="Z80" i="13" s="1"/>
  <c r="U80" i="13"/>
  <c r="Y80" i="13" s="1"/>
  <c r="Q80" i="13"/>
  <c r="P80" i="13"/>
  <c r="R80" i="13"/>
  <c r="T80" i="13"/>
  <c r="AC80" i="13" s="1"/>
  <c r="V79" i="13"/>
  <c r="Z79" i="13" s="1"/>
  <c r="U79" i="13"/>
  <c r="Y79" i="13" s="1"/>
  <c r="R79" i="13"/>
  <c r="P79" i="13"/>
  <c r="Q79" i="13"/>
  <c r="V78" i="13"/>
  <c r="Z78" i="13" s="1"/>
  <c r="U78" i="13"/>
  <c r="Y78" i="13" s="1"/>
  <c r="R78" i="13"/>
  <c r="Q78" i="13"/>
  <c r="V77" i="13"/>
  <c r="Z77" i="13" s="1"/>
  <c r="U77" i="13"/>
  <c r="Y77" i="13" s="1"/>
  <c r="R77" i="13"/>
  <c r="Q77" i="13"/>
  <c r="T77" i="13"/>
  <c r="V76" i="13"/>
  <c r="Z76" i="13" s="1"/>
  <c r="U76" i="13"/>
  <c r="Y76" i="13" s="1"/>
  <c r="R76" i="13"/>
  <c r="Q76" i="13"/>
  <c r="P76" i="13"/>
  <c r="V75" i="13"/>
  <c r="Z75" i="13" s="1"/>
  <c r="U75" i="13"/>
  <c r="Y75" i="13" s="1"/>
  <c r="R75" i="13"/>
  <c r="Q75" i="13"/>
  <c r="P75" i="13"/>
  <c r="V74" i="13"/>
  <c r="Z74" i="13" s="1"/>
  <c r="U74" i="13"/>
  <c r="Y74" i="13" s="1"/>
  <c r="R74" i="13"/>
  <c r="Q74" i="13"/>
  <c r="V73" i="13"/>
  <c r="Z73" i="13" s="1"/>
  <c r="U73" i="13"/>
  <c r="Y73" i="13" s="1"/>
  <c r="T73" i="13"/>
  <c r="AC73" i="13" s="1"/>
  <c r="R73" i="13"/>
  <c r="Q73" i="13"/>
  <c r="P73" i="13"/>
  <c r="V72" i="13"/>
  <c r="Z72" i="13" s="1"/>
  <c r="U72" i="13"/>
  <c r="Y72" i="13" s="1"/>
  <c r="Q72" i="13"/>
  <c r="P72" i="13"/>
  <c r="R72" i="13"/>
  <c r="V71" i="13"/>
  <c r="Z71" i="13" s="1"/>
  <c r="U71" i="13"/>
  <c r="Y71" i="13" s="1"/>
  <c r="P71" i="13"/>
  <c r="R71" i="13"/>
  <c r="Q71" i="13"/>
  <c r="V70" i="13"/>
  <c r="Z70" i="13" s="1"/>
  <c r="U70" i="13"/>
  <c r="Y70" i="13" s="1"/>
  <c r="R70" i="13"/>
  <c r="Q70" i="13"/>
  <c r="V69" i="13"/>
  <c r="Z69" i="13" s="1"/>
  <c r="U69" i="13"/>
  <c r="Y69" i="13" s="1"/>
  <c r="R69" i="13"/>
  <c r="Q69" i="13"/>
  <c r="T69" i="13"/>
  <c r="V68" i="13"/>
  <c r="Z68" i="13" s="1"/>
  <c r="U68" i="13"/>
  <c r="Y68" i="13" s="1"/>
  <c r="R68" i="13"/>
  <c r="Q68" i="13"/>
  <c r="P68" i="13"/>
  <c r="V67" i="13"/>
  <c r="Z67" i="13" s="1"/>
  <c r="U67" i="13"/>
  <c r="Y67" i="13" s="1"/>
  <c r="R67" i="13"/>
  <c r="Q67" i="13"/>
  <c r="P67" i="13"/>
  <c r="V66" i="13"/>
  <c r="Z66" i="13" s="1"/>
  <c r="U66" i="13"/>
  <c r="Y66" i="13" s="1"/>
  <c r="R66" i="13"/>
  <c r="Q66" i="13"/>
  <c r="P66" i="13"/>
  <c r="V65" i="13"/>
  <c r="Z65" i="13" s="1"/>
  <c r="U65" i="13"/>
  <c r="Y65" i="13" s="1"/>
  <c r="T65" i="13"/>
  <c r="X65" i="13" s="1"/>
  <c r="R65" i="13"/>
  <c r="Q65" i="13"/>
  <c r="P65" i="13"/>
  <c r="V64" i="13"/>
  <c r="Z64" i="13" s="1"/>
  <c r="U64" i="13"/>
  <c r="Y64" i="13" s="1"/>
  <c r="R64" i="13"/>
  <c r="Q64" i="13"/>
  <c r="P64" i="13"/>
  <c r="T64" i="13"/>
  <c r="AJ64" i="13" s="1"/>
  <c r="V63" i="13"/>
  <c r="Z63" i="13" s="1"/>
  <c r="U63" i="13"/>
  <c r="Y63" i="13" s="1"/>
  <c r="R63" i="13"/>
  <c r="P63" i="13"/>
  <c r="Q63" i="13"/>
  <c r="T63" i="13"/>
  <c r="AJ63" i="13" s="1"/>
  <c r="V62" i="13"/>
  <c r="Z62" i="13" s="1"/>
  <c r="U62" i="13"/>
  <c r="Y62" i="13" s="1"/>
  <c r="Q62" i="13"/>
  <c r="R62" i="13"/>
  <c r="T62" i="13"/>
  <c r="AJ62" i="13" s="1"/>
  <c r="V61" i="13"/>
  <c r="Z61" i="13" s="1"/>
  <c r="U61" i="13"/>
  <c r="Y61" i="13" s="1"/>
  <c r="P61" i="13"/>
  <c r="R61" i="13"/>
  <c r="Q61" i="13"/>
  <c r="V60" i="13"/>
  <c r="Z60" i="13" s="1"/>
  <c r="U60" i="13"/>
  <c r="Y60" i="13" s="1"/>
  <c r="R60" i="13"/>
  <c r="Q60" i="13"/>
  <c r="P60" i="13"/>
  <c r="V59" i="13"/>
  <c r="Z59" i="13" s="1"/>
  <c r="U59" i="13"/>
  <c r="Y59" i="13" s="1"/>
  <c r="R59" i="13"/>
  <c r="Q59" i="13"/>
  <c r="P59" i="13"/>
  <c r="V58" i="13"/>
  <c r="Z58" i="13" s="1"/>
  <c r="U58" i="13"/>
  <c r="Y58" i="13" s="1"/>
  <c r="R58" i="13"/>
  <c r="Q58" i="13"/>
  <c r="P58" i="13"/>
  <c r="V57" i="13"/>
  <c r="Z57" i="13" s="1"/>
  <c r="U57" i="13"/>
  <c r="Y57" i="13" s="1"/>
  <c r="T57" i="13"/>
  <c r="X57" i="13" s="1"/>
  <c r="R57" i="13"/>
  <c r="Q57" i="13"/>
  <c r="P57" i="13"/>
  <c r="V56" i="13"/>
  <c r="Z56" i="13" s="1"/>
  <c r="U56" i="13"/>
  <c r="Y56" i="13" s="1"/>
  <c r="Q56" i="13"/>
  <c r="P56" i="13"/>
  <c r="R56" i="13"/>
  <c r="V55" i="13"/>
  <c r="Z55" i="13" s="1"/>
  <c r="U55" i="13"/>
  <c r="Y55" i="13" s="1"/>
  <c r="Q55" i="13"/>
  <c r="R55" i="13"/>
  <c r="T55" i="13"/>
  <c r="AJ55" i="13" s="1"/>
  <c r="V54" i="13"/>
  <c r="Z54" i="13" s="1"/>
  <c r="U54" i="13"/>
  <c r="Y54" i="13" s="1"/>
  <c r="T54" i="13"/>
  <c r="P54" i="13"/>
  <c r="R54" i="13"/>
  <c r="Q54" i="13"/>
  <c r="V53" i="13"/>
  <c r="Z53" i="13" s="1"/>
  <c r="U53" i="13"/>
  <c r="Y53" i="13" s="1"/>
  <c r="Q53" i="13"/>
  <c r="R53" i="13"/>
  <c r="T53" i="13"/>
  <c r="V52" i="13"/>
  <c r="Z52" i="13" s="1"/>
  <c r="U52" i="13"/>
  <c r="Y52" i="13" s="1"/>
  <c r="R52" i="13"/>
  <c r="Q52" i="13"/>
  <c r="P52" i="13"/>
  <c r="V51" i="13"/>
  <c r="Z51" i="13" s="1"/>
  <c r="U51" i="13"/>
  <c r="Y51" i="13" s="1"/>
  <c r="T51" i="13"/>
  <c r="X51" i="13" s="1"/>
  <c r="R51" i="13"/>
  <c r="Q51" i="13"/>
  <c r="P51" i="13"/>
  <c r="V50" i="13"/>
  <c r="Z50" i="13" s="1"/>
  <c r="U50" i="13"/>
  <c r="Y50" i="13" s="1"/>
  <c r="R50" i="13"/>
  <c r="Q50" i="13"/>
  <c r="V49" i="13"/>
  <c r="Z49" i="13" s="1"/>
  <c r="U49" i="13"/>
  <c r="Y49" i="13" s="1"/>
  <c r="T49" i="13"/>
  <c r="AJ49" i="13" s="1"/>
  <c r="R49" i="13"/>
  <c r="P49" i="13"/>
  <c r="Q49" i="13"/>
  <c r="V48" i="13"/>
  <c r="Z48" i="13" s="1"/>
  <c r="U48" i="13"/>
  <c r="Y48" i="13" s="1"/>
  <c r="Q48" i="13"/>
  <c r="R48" i="13"/>
  <c r="T48" i="13"/>
  <c r="V47" i="13"/>
  <c r="Z47" i="13" s="1"/>
  <c r="U47" i="13"/>
  <c r="Y47" i="13" s="1"/>
  <c r="R47" i="13"/>
  <c r="P47" i="13"/>
  <c r="T47" i="13"/>
  <c r="V46" i="13"/>
  <c r="Z46" i="13" s="1"/>
  <c r="U46" i="13"/>
  <c r="Y46" i="13" s="1"/>
  <c r="Q46" i="13"/>
  <c r="R46" i="13"/>
  <c r="T46" i="13"/>
  <c r="V45" i="13"/>
  <c r="Z45" i="13" s="1"/>
  <c r="U45" i="13"/>
  <c r="Y45" i="13" s="1"/>
  <c r="T45" i="13"/>
  <c r="AJ45" i="13" s="1"/>
  <c r="P45" i="13"/>
  <c r="R45" i="13"/>
  <c r="Q45" i="13"/>
  <c r="V44" i="13"/>
  <c r="Z44" i="13" s="1"/>
  <c r="U44" i="13"/>
  <c r="Y44" i="13" s="1"/>
  <c r="R44" i="13"/>
  <c r="Q44" i="13"/>
  <c r="P44" i="13"/>
  <c r="V43" i="13"/>
  <c r="Z43" i="13" s="1"/>
  <c r="U43" i="13"/>
  <c r="Y43" i="13" s="1"/>
  <c r="R43" i="13"/>
  <c r="Q43" i="13"/>
  <c r="P43" i="13"/>
  <c r="V42" i="13"/>
  <c r="Z42" i="13" s="1"/>
  <c r="U42" i="13"/>
  <c r="Y42" i="13" s="1"/>
  <c r="T42" i="13"/>
  <c r="X42" i="13" s="1"/>
  <c r="Q42" i="13"/>
  <c r="R42" i="13"/>
  <c r="P42" i="13"/>
  <c r="V41" i="13"/>
  <c r="Z41" i="13" s="1"/>
  <c r="U41" i="13"/>
  <c r="Y41" i="13" s="1"/>
  <c r="T41" i="13"/>
  <c r="X41" i="13" s="1"/>
  <c r="R41" i="13"/>
  <c r="P41" i="13"/>
  <c r="Q41" i="13"/>
  <c r="S41" i="13" s="1"/>
  <c r="V40" i="13"/>
  <c r="Z40" i="13" s="1"/>
  <c r="U40" i="13"/>
  <c r="Y40" i="13" s="1"/>
  <c r="Q40" i="13"/>
  <c r="R40" i="13"/>
  <c r="T40" i="13"/>
  <c r="V39" i="13"/>
  <c r="Z39" i="13" s="1"/>
  <c r="U39" i="13"/>
  <c r="Y39" i="13" s="1"/>
  <c r="R39" i="13"/>
  <c r="P39" i="13"/>
  <c r="T39" i="13"/>
  <c r="V38" i="13"/>
  <c r="Z38" i="13" s="1"/>
  <c r="U38" i="13"/>
  <c r="Q38" i="13"/>
  <c r="R38" i="13"/>
  <c r="T38" i="13"/>
  <c r="V37" i="13"/>
  <c r="Z37" i="13" s="1"/>
  <c r="U37" i="13"/>
  <c r="Y37" i="13" s="1"/>
  <c r="T37" i="13"/>
  <c r="AJ37" i="13" s="1"/>
  <c r="P37" i="13"/>
  <c r="R37" i="13"/>
  <c r="Q37" i="13"/>
  <c r="V36" i="13"/>
  <c r="Z36" i="13" s="1"/>
  <c r="U36" i="13"/>
  <c r="Y36" i="13" s="1"/>
  <c r="R36" i="13"/>
  <c r="Q36" i="13"/>
  <c r="P36" i="13"/>
  <c r="V35" i="13"/>
  <c r="Z35" i="13" s="1"/>
  <c r="U35" i="13"/>
  <c r="Y35" i="13" s="1"/>
  <c r="R35" i="13"/>
  <c r="Q35" i="13"/>
  <c r="P35" i="13"/>
  <c r="V34" i="13"/>
  <c r="Z34" i="13" s="1"/>
  <c r="U34" i="13"/>
  <c r="Y34" i="13" s="1"/>
  <c r="T34" i="13"/>
  <c r="X34" i="13" s="1"/>
  <c r="R34" i="13"/>
  <c r="Q34" i="13"/>
  <c r="P34" i="13"/>
  <c r="V33" i="13"/>
  <c r="Z33" i="13" s="1"/>
  <c r="U33" i="13"/>
  <c r="Y33" i="13" s="1"/>
  <c r="T33" i="13"/>
  <c r="X33" i="13" s="1"/>
  <c r="R33" i="13"/>
  <c r="Q33" i="13"/>
  <c r="P33" i="13"/>
  <c r="V32" i="13"/>
  <c r="Z32" i="13" s="1"/>
  <c r="U32" i="13"/>
  <c r="Y32" i="13" s="1"/>
  <c r="Q32" i="13"/>
  <c r="R32" i="13"/>
  <c r="T32" i="13"/>
  <c r="V31" i="13"/>
  <c r="Z31" i="13" s="1"/>
  <c r="U31" i="13"/>
  <c r="Y31" i="13" s="1"/>
  <c r="R31" i="13"/>
  <c r="P31" i="13"/>
  <c r="Q31" i="13"/>
  <c r="V30" i="13"/>
  <c r="Z30" i="13" s="1"/>
  <c r="U30" i="13"/>
  <c r="Y30" i="13" s="1"/>
  <c r="Q30" i="13"/>
  <c r="R30" i="13"/>
  <c r="T30" i="13"/>
  <c r="V29" i="13"/>
  <c r="Z29" i="13" s="1"/>
  <c r="U29" i="13"/>
  <c r="Y29" i="13" s="1"/>
  <c r="T29" i="13"/>
  <c r="AJ29" i="13" s="1"/>
  <c r="P29" i="13"/>
  <c r="R29" i="13"/>
  <c r="S29" i="13" s="1"/>
  <c r="Q29" i="13"/>
  <c r="V28" i="13"/>
  <c r="Z28" i="13" s="1"/>
  <c r="U28" i="13"/>
  <c r="Y28" i="13" s="1"/>
  <c r="R28" i="13"/>
  <c r="Q28" i="13"/>
  <c r="P28" i="13"/>
  <c r="V27" i="13"/>
  <c r="Z27" i="13" s="1"/>
  <c r="U27" i="13"/>
  <c r="Y27" i="13" s="1"/>
  <c r="R27" i="13"/>
  <c r="Q27" i="13"/>
  <c r="P27" i="13"/>
  <c r="V26" i="13"/>
  <c r="Z26" i="13" s="1"/>
  <c r="U26" i="13"/>
  <c r="Y26" i="13" s="1"/>
  <c r="T26" i="13"/>
  <c r="X26" i="13" s="1"/>
  <c r="R26" i="13"/>
  <c r="Q26" i="13"/>
  <c r="P26" i="13"/>
  <c r="V25" i="13"/>
  <c r="Z25" i="13" s="1"/>
  <c r="U25" i="13"/>
  <c r="Y25" i="13" s="1"/>
  <c r="T25" i="13"/>
  <c r="X25" i="13" s="1"/>
  <c r="R25" i="13"/>
  <c r="Q25" i="13"/>
  <c r="P25" i="13"/>
  <c r="V24" i="13"/>
  <c r="Z24" i="13" s="1"/>
  <c r="U24" i="13"/>
  <c r="Y24" i="13" s="1"/>
  <c r="Q24" i="13"/>
  <c r="P24" i="13"/>
  <c r="R24" i="13"/>
  <c r="T24" i="13"/>
  <c r="V23" i="13"/>
  <c r="Z23" i="13" s="1"/>
  <c r="U23" i="13"/>
  <c r="Y23" i="13" s="1"/>
  <c r="R23" i="13"/>
  <c r="P23" i="13"/>
  <c r="Q23" i="13"/>
  <c r="T23" i="13"/>
  <c r="V22" i="13"/>
  <c r="Z22" i="13" s="1"/>
  <c r="U22" i="13"/>
  <c r="Y22" i="13" s="1"/>
  <c r="Q22" i="13"/>
  <c r="R22" i="13"/>
  <c r="T22" i="13"/>
  <c r="V21" i="13"/>
  <c r="Z21" i="13" s="1"/>
  <c r="U21" i="13"/>
  <c r="Y21" i="13" s="1"/>
  <c r="T21" i="13"/>
  <c r="AJ21" i="13" s="1"/>
  <c r="P21" i="13"/>
  <c r="R21" i="13"/>
  <c r="Q21" i="13"/>
  <c r="V20" i="13"/>
  <c r="Z20" i="13" s="1"/>
  <c r="U20" i="13"/>
  <c r="Y20" i="13" s="1"/>
  <c r="R20" i="13"/>
  <c r="Q20" i="13"/>
  <c r="P20" i="13"/>
  <c r="V19" i="13"/>
  <c r="Z19" i="13" s="1"/>
  <c r="U19" i="13"/>
  <c r="Y19" i="13" s="1"/>
  <c r="R19" i="13"/>
  <c r="Q19" i="13"/>
  <c r="P19" i="13"/>
  <c r="V18" i="13"/>
  <c r="Z18" i="13" s="1"/>
  <c r="U18" i="13"/>
  <c r="Y18" i="13" s="1"/>
  <c r="T18" i="13"/>
  <c r="X18" i="13" s="1"/>
  <c r="R18" i="13"/>
  <c r="Q18" i="13"/>
  <c r="P18" i="13"/>
  <c r="V17" i="13"/>
  <c r="Z17" i="13" s="1"/>
  <c r="U17" i="13"/>
  <c r="Y17" i="13" s="1"/>
  <c r="T17" i="13"/>
  <c r="X17" i="13" s="1"/>
  <c r="R17" i="13"/>
  <c r="Q17" i="13"/>
  <c r="P17" i="13"/>
  <c r="V16" i="13"/>
  <c r="Z16" i="13" s="1"/>
  <c r="U16" i="13"/>
  <c r="Y16" i="13" s="1"/>
  <c r="Q16" i="13"/>
  <c r="P16" i="13"/>
  <c r="R16" i="13"/>
  <c r="T16" i="13"/>
  <c r="V15" i="13"/>
  <c r="Z15" i="13" s="1"/>
  <c r="U15" i="13"/>
  <c r="Y15" i="13" s="1"/>
  <c r="R15" i="13"/>
  <c r="P15" i="13"/>
  <c r="Q15" i="13"/>
  <c r="T15" i="13"/>
  <c r="V14" i="13"/>
  <c r="Z14" i="13" s="1"/>
  <c r="U14" i="13"/>
  <c r="Y14" i="13" s="1"/>
  <c r="Q14" i="13"/>
  <c r="R14" i="13"/>
  <c r="T14" i="13"/>
  <c r="V13" i="13"/>
  <c r="Z13" i="13" s="1"/>
  <c r="U13" i="13"/>
  <c r="Y13" i="13" s="1"/>
  <c r="T13" i="13"/>
  <c r="X13" i="13" s="1"/>
  <c r="P13" i="13"/>
  <c r="R13" i="13"/>
  <c r="Q13" i="13"/>
  <c r="V12" i="13"/>
  <c r="Z12" i="13" s="1"/>
  <c r="U12" i="13"/>
  <c r="Y12" i="13" s="1"/>
  <c r="R12" i="13"/>
  <c r="Q12" i="13"/>
  <c r="P12" i="13"/>
  <c r="V11" i="13"/>
  <c r="Y11" i="13"/>
  <c r="R11" i="13"/>
  <c r="P11" i="13"/>
  <c r="H201" i="13"/>
  <c r="L40" i="21" l="1"/>
  <c r="O24" i="21"/>
  <c r="O25" i="21"/>
  <c r="L41" i="21"/>
  <c r="O41" i="21" s="1"/>
  <c r="L27" i="15"/>
  <c r="O27" i="15" s="1"/>
  <c r="L26" i="15"/>
  <c r="L42" i="15" s="1"/>
  <c r="L21" i="15"/>
  <c r="L37" i="15" s="1"/>
  <c r="L18" i="15"/>
  <c r="O18" i="15" s="1"/>
  <c r="L19" i="15"/>
  <c r="O19" i="15" s="1"/>
  <c r="L25" i="15"/>
  <c r="L41" i="15" s="1"/>
  <c r="L23" i="15"/>
  <c r="L39" i="15" s="1"/>
  <c r="L28" i="15"/>
  <c r="L44" i="15" s="1"/>
  <c r="L24" i="15"/>
  <c r="L40" i="15" s="1"/>
  <c r="L29" i="15"/>
  <c r="L45" i="15" s="1"/>
  <c r="S111" i="13"/>
  <c r="S192" i="13"/>
  <c r="D5" i="15"/>
  <c r="D5" i="21"/>
  <c r="S24" i="21"/>
  <c r="V24" i="21" s="1"/>
  <c r="H24" i="21"/>
  <c r="H25" i="21"/>
  <c r="S25" i="21"/>
  <c r="V25" i="21" s="1"/>
  <c r="H48" i="15"/>
  <c r="L22" i="15"/>
  <c r="O20" i="15"/>
  <c r="S57" i="13"/>
  <c r="X171" i="13"/>
  <c r="S129" i="13"/>
  <c r="S142" i="13"/>
  <c r="S191" i="13"/>
  <c r="S200" i="13"/>
  <c r="AJ41" i="13"/>
  <c r="S88" i="13"/>
  <c r="S16" i="13"/>
  <c r="AC100" i="13"/>
  <c r="U40" i="15"/>
  <c r="U35" i="15"/>
  <c r="T42" i="15"/>
  <c r="T38" i="15"/>
  <c r="U42" i="15"/>
  <c r="T40" i="15"/>
  <c r="T45" i="15"/>
  <c r="T41" i="15"/>
  <c r="T39" i="15"/>
  <c r="U36" i="15"/>
  <c r="T36" i="15"/>
  <c r="U44" i="15"/>
  <c r="U38" i="15"/>
  <c r="T35" i="15"/>
  <c r="U45" i="15"/>
  <c r="G46" i="15"/>
  <c r="F46" i="15"/>
  <c r="AJ17" i="13"/>
  <c r="S65" i="13"/>
  <c r="S76" i="13"/>
  <c r="S83" i="13"/>
  <c r="S179" i="13"/>
  <c r="S84" i="13"/>
  <c r="S59" i="13"/>
  <c r="S118" i="13"/>
  <c r="AJ156" i="13"/>
  <c r="S173" i="13"/>
  <c r="S193" i="13"/>
  <c r="AJ116" i="13"/>
  <c r="X133" i="13"/>
  <c r="X176" i="13"/>
  <c r="S119" i="13"/>
  <c r="S66" i="13"/>
  <c r="S25" i="13"/>
  <c r="AJ25" i="13"/>
  <c r="S34" i="13"/>
  <c r="S51" i="13"/>
  <c r="S122" i="13"/>
  <c r="AJ132" i="13"/>
  <c r="S72" i="13"/>
  <c r="S13" i="13"/>
  <c r="S75" i="13"/>
  <c r="S107" i="13"/>
  <c r="S58" i="13"/>
  <c r="S139" i="13"/>
  <c r="S24" i="13"/>
  <c r="S67" i="13"/>
  <c r="S80" i="13"/>
  <c r="S178" i="13"/>
  <c r="S186" i="13"/>
  <c r="S195" i="13"/>
  <c r="S68" i="13"/>
  <c r="S12" i="13"/>
  <c r="S17" i="13"/>
  <c r="S26" i="13"/>
  <c r="S102" i="13"/>
  <c r="S109" i="13"/>
  <c r="S132" i="13"/>
  <c r="S190" i="13"/>
  <c r="S194" i="13"/>
  <c r="AJ80" i="13"/>
  <c r="S98" i="13"/>
  <c r="S187" i="13"/>
  <c r="S108" i="13"/>
  <c r="S133" i="13"/>
  <c r="S149" i="13"/>
  <c r="S153" i="13"/>
  <c r="X163" i="13"/>
  <c r="S171" i="13"/>
  <c r="S184" i="13"/>
  <c r="V201" i="13"/>
  <c r="S124" i="13"/>
  <c r="S163" i="13"/>
  <c r="S18" i="13"/>
  <c r="S33" i="13"/>
  <c r="AJ33" i="13"/>
  <c r="S56" i="13"/>
  <c r="AC57" i="13"/>
  <c r="S60" i="13"/>
  <c r="S64" i="13"/>
  <c r="S71" i="13"/>
  <c r="S100" i="13"/>
  <c r="S104" i="13"/>
  <c r="X122" i="13"/>
  <c r="AJ124" i="13"/>
  <c r="X129" i="13"/>
  <c r="AC139" i="13"/>
  <c r="S197" i="13"/>
  <c r="U205" i="13"/>
  <c r="U216" i="13" s="1"/>
  <c r="S86" i="13"/>
  <c r="S94" i="13"/>
  <c r="S21" i="13"/>
  <c r="S52" i="13"/>
  <c r="AJ57" i="13"/>
  <c r="S92" i="13"/>
  <c r="AC94" i="13"/>
  <c r="AJ139" i="13"/>
  <c r="AJ163" i="13"/>
  <c r="AJ77" i="13"/>
  <c r="AC77" i="13"/>
  <c r="X77" i="13"/>
  <c r="X91" i="13"/>
  <c r="AC91" i="13"/>
  <c r="AJ91" i="13"/>
  <c r="AJ53" i="13"/>
  <c r="X53" i="13"/>
  <c r="S36" i="13"/>
  <c r="S20" i="13"/>
  <c r="S23" i="13"/>
  <c r="S31" i="13"/>
  <c r="S35" i="13"/>
  <c r="S44" i="13"/>
  <c r="S19" i="13"/>
  <c r="S15" i="13"/>
  <c r="S42" i="13"/>
  <c r="S43" i="13"/>
  <c r="AJ16" i="13"/>
  <c r="X16" i="13"/>
  <c r="S28" i="13"/>
  <c r="S27" i="13"/>
  <c r="AC11" i="13"/>
  <c r="AJ11" i="13"/>
  <c r="AJ38" i="13"/>
  <c r="AC38" i="13"/>
  <c r="X38" i="13"/>
  <c r="AJ39" i="13"/>
  <c r="X39" i="13"/>
  <c r="AJ40" i="13"/>
  <c r="X40" i="13"/>
  <c r="X48" i="13"/>
  <c r="AJ48" i="13"/>
  <c r="AJ69" i="13"/>
  <c r="AC69" i="13"/>
  <c r="X69" i="13"/>
  <c r="AJ24" i="13"/>
  <c r="X24" i="13"/>
  <c r="AJ32" i="13"/>
  <c r="X32" i="13"/>
  <c r="S45" i="13"/>
  <c r="AJ14" i="13"/>
  <c r="X14" i="13"/>
  <c r="AJ15" i="13"/>
  <c r="X15" i="13"/>
  <c r="AJ22" i="13"/>
  <c r="X22" i="13"/>
  <c r="AJ23" i="13"/>
  <c r="X23" i="13"/>
  <c r="AJ30" i="13"/>
  <c r="X30" i="13"/>
  <c r="S37" i="13"/>
  <c r="AJ46" i="13"/>
  <c r="AC46" i="13"/>
  <c r="X46" i="13"/>
  <c r="AJ47" i="13"/>
  <c r="AC47" i="13"/>
  <c r="X47" i="13"/>
  <c r="S63" i="13"/>
  <c r="X64" i="13"/>
  <c r="AJ181" i="13"/>
  <c r="X181" i="13"/>
  <c r="I201" i="13"/>
  <c r="T12" i="13"/>
  <c r="T20" i="13"/>
  <c r="T28" i="13"/>
  <c r="P32" i="13"/>
  <c r="S32" i="13" s="1"/>
  <c r="V205" i="13"/>
  <c r="V216" i="13" s="1"/>
  <c r="P40" i="13"/>
  <c r="S40" i="13" s="1"/>
  <c r="T44" i="13"/>
  <c r="P48" i="13"/>
  <c r="S48" i="13" s="1"/>
  <c r="AC49" i="13"/>
  <c r="AC51" i="13"/>
  <c r="T52" i="13"/>
  <c r="T59" i="13"/>
  <c r="S61" i="13"/>
  <c r="AC65" i="13"/>
  <c r="T66" i="13"/>
  <c r="X85" i="13"/>
  <c r="T105" i="13"/>
  <c r="P105" i="13"/>
  <c r="S105" i="13" s="1"/>
  <c r="T106" i="13"/>
  <c r="Q106" i="13"/>
  <c r="S106" i="13" s="1"/>
  <c r="AJ107" i="13"/>
  <c r="AJ115" i="13"/>
  <c r="X115" i="13"/>
  <c r="AJ118" i="13"/>
  <c r="AC118" i="13"/>
  <c r="X118" i="13"/>
  <c r="T121" i="13"/>
  <c r="P121" i="13"/>
  <c r="S121" i="13" s="1"/>
  <c r="S125" i="13"/>
  <c r="AJ127" i="13"/>
  <c r="X127" i="13"/>
  <c r="T152" i="13"/>
  <c r="P152" i="13"/>
  <c r="S152" i="13" s="1"/>
  <c r="S188" i="13"/>
  <c r="AJ191" i="13"/>
  <c r="X191" i="13"/>
  <c r="T138" i="13"/>
  <c r="R138" i="13"/>
  <c r="S138" i="13" s="1"/>
  <c r="AJ18" i="13"/>
  <c r="T19" i="13"/>
  <c r="AJ26" i="13"/>
  <c r="T27" i="13"/>
  <c r="AJ34" i="13"/>
  <c r="T35" i="13"/>
  <c r="AJ42" i="13"/>
  <c r="T43" i="13"/>
  <c r="S49" i="13"/>
  <c r="T50" i="13"/>
  <c r="AJ51" i="13"/>
  <c r="AJ54" i="13"/>
  <c r="AC54" i="13"/>
  <c r="T60" i="13"/>
  <c r="AJ65" i="13"/>
  <c r="T70" i="13"/>
  <c r="P70" i="13"/>
  <c r="S70" i="13" s="1"/>
  <c r="T71" i="13"/>
  <c r="T78" i="13"/>
  <c r="P78" i="13"/>
  <c r="S78" i="13" s="1"/>
  <c r="R91" i="13"/>
  <c r="S91" i="13" s="1"/>
  <c r="T93" i="13"/>
  <c r="P93" i="13"/>
  <c r="S93" i="13" s="1"/>
  <c r="S97" i="13"/>
  <c r="T110" i="13"/>
  <c r="P110" i="13"/>
  <c r="S110" i="13" s="1"/>
  <c r="P128" i="13"/>
  <c r="S128" i="13" s="1"/>
  <c r="T128" i="13"/>
  <c r="T161" i="13"/>
  <c r="P161" i="13"/>
  <c r="S161" i="13" s="1"/>
  <c r="T170" i="13"/>
  <c r="Q170" i="13"/>
  <c r="S170" i="13" s="1"/>
  <c r="P14" i="13"/>
  <c r="S14" i="13" s="1"/>
  <c r="P53" i="13"/>
  <c r="S53" i="13" s="1"/>
  <c r="P55" i="13"/>
  <c r="S55" i="13" s="1"/>
  <c r="T61" i="13"/>
  <c r="P62" i="13"/>
  <c r="S62" i="13" s="1"/>
  <c r="X63" i="13"/>
  <c r="AC64" i="13"/>
  <c r="T79" i="13"/>
  <c r="P99" i="13"/>
  <c r="S99" i="13" s="1"/>
  <c r="T99" i="13"/>
  <c r="T109" i="13"/>
  <c r="P120" i="13"/>
  <c r="S120" i="13" s="1"/>
  <c r="T120" i="13"/>
  <c r="T144" i="13"/>
  <c r="R144" i="13"/>
  <c r="S144" i="13" s="1"/>
  <c r="Q151" i="13"/>
  <c r="T151" i="13"/>
  <c r="AJ102" i="13"/>
  <c r="X102" i="13"/>
  <c r="Q11" i="13"/>
  <c r="Z11" i="13"/>
  <c r="Z204" i="13" s="1"/>
  <c r="Z206" i="13" s="1"/>
  <c r="X21" i="13"/>
  <c r="X45" i="13"/>
  <c r="P46" i="13"/>
  <c r="S46" i="13" s="1"/>
  <c r="Q47" i="13"/>
  <c r="S47" i="13" s="1"/>
  <c r="Z205" i="13"/>
  <c r="Z216" i="13" s="1"/>
  <c r="T67" i="13"/>
  <c r="P74" i="13"/>
  <c r="S74" i="13" s="1"/>
  <c r="T74" i="13"/>
  <c r="T75" i="13"/>
  <c r="AJ86" i="13"/>
  <c r="AC86" i="13"/>
  <c r="AJ112" i="13"/>
  <c r="X112" i="13"/>
  <c r="AJ126" i="13"/>
  <c r="X126" i="13"/>
  <c r="T140" i="13"/>
  <c r="Q140" i="13"/>
  <c r="S140" i="13" s="1"/>
  <c r="S151" i="13"/>
  <c r="T185" i="13"/>
  <c r="Q185" i="13"/>
  <c r="S185" i="13" s="1"/>
  <c r="X55" i="13"/>
  <c r="P22" i="13"/>
  <c r="S22" i="13" s="1"/>
  <c r="X37" i="13"/>
  <c r="P38" i="13"/>
  <c r="S38" i="13" s="1"/>
  <c r="Y38" i="13"/>
  <c r="Y205" i="13" s="1"/>
  <c r="Y216" i="13" s="1"/>
  <c r="Q39" i="13"/>
  <c r="S39" i="13" s="1"/>
  <c r="P50" i="13"/>
  <c r="S50" i="13" s="1"/>
  <c r="X54" i="13"/>
  <c r="T56" i="13"/>
  <c r="T68" i="13"/>
  <c r="P69" i="13"/>
  <c r="S69" i="13" s="1"/>
  <c r="T72" i="13"/>
  <c r="S73" i="13"/>
  <c r="T76" i="13"/>
  <c r="P77" i="13"/>
  <c r="S77" i="13" s="1"/>
  <c r="X80" i="13"/>
  <c r="P82" i="13"/>
  <c r="S82" i="13" s="1"/>
  <c r="T82" i="13"/>
  <c r="T83" i="13"/>
  <c r="T88" i="13"/>
  <c r="S89" i="13"/>
  <c r="T90" i="13"/>
  <c r="P90" i="13"/>
  <c r="S90" i="13" s="1"/>
  <c r="T117" i="13"/>
  <c r="Q117" i="13"/>
  <c r="S117" i="13" s="1"/>
  <c r="T123" i="13"/>
  <c r="R123" i="13"/>
  <c r="S123" i="13" s="1"/>
  <c r="S157" i="13"/>
  <c r="X29" i="13"/>
  <c r="Y204" i="13"/>
  <c r="Y206" i="13" s="1"/>
  <c r="AF11" i="13"/>
  <c r="T31" i="13"/>
  <c r="AC45" i="13"/>
  <c r="X49" i="13"/>
  <c r="T58" i="13"/>
  <c r="X73" i="13"/>
  <c r="AJ73" i="13"/>
  <c r="S81" i="13"/>
  <c r="T84" i="13"/>
  <c r="P85" i="13"/>
  <c r="S85" i="13" s="1"/>
  <c r="T87" i="13"/>
  <c r="P87" i="13"/>
  <c r="S87" i="13" s="1"/>
  <c r="T92" i="13"/>
  <c r="T95" i="13"/>
  <c r="P95" i="13"/>
  <c r="S95" i="13" s="1"/>
  <c r="T96" i="13"/>
  <c r="Q96" i="13"/>
  <c r="S96" i="13" s="1"/>
  <c r="X98" i="13"/>
  <c r="AC98" i="13"/>
  <c r="T103" i="13"/>
  <c r="P103" i="13"/>
  <c r="S103" i="13" s="1"/>
  <c r="X108" i="13"/>
  <c r="AJ108" i="13"/>
  <c r="R183" i="13"/>
  <c r="S183" i="13" s="1"/>
  <c r="T183" i="13"/>
  <c r="AJ89" i="13"/>
  <c r="AC89" i="13"/>
  <c r="X89" i="13"/>
  <c r="P30" i="13"/>
  <c r="S30" i="13" s="1"/>
  <c r="G201" i="13"/>
  <c r="U201" i="13"/>
  <c r="AJ13" i="13"/>
  <c r="S54" i="13"/>
  <c r="X62" i="13"/>
  <c r="S79" i="13"/>
  <c r="X81" i="13"/>
  <c r="AJ81" i="13"/>
  <c r="P101" i="13"/>
  <c r="S101" i="13" s="1"/>
  <c r="T101" i="13"/>
  <c r="P165" i="13"/>
  <c r="S165" i="13" s="1"/>
  <c r="T165" i="13"/>
  <c r="S112" i="13"/>
  <c r="T113" i="13"/>
  <c r="S127" i="13"/>
  <c r="T130" i="13"/>
  <c r="Q130" i="13"/>
  <c r="S130" i="13" s="1"/>
  <c r="R135" i="13"/>
  <c r="S135" i="13" s="1"/>
  <c r="T135" i="13"/>
  <c r="S143" i="13"/>
  <c r="T155" i="13"/>
  <c r="R155" i="13"/>
  <c r="S155" i="13" s="1"/>
  <c r="S164" i="13"/>
  <c r="AJ190" i="13"/>
  <c r="AC190" i="13"/>
  <c r="X190" i="13"/>
  <c r="AJ197" i="13"/>
  <c r="AC197" i="13"/>
  <c r="X197" i="13"/>
  <c r="AJ198" i="13"/>
  <c r="AC198" i="13"/>
  <c r="X198" i="13"/>
  <c r="X200" i="13"/>
  <c r="AJ200" i="13"/>
  <c r="AC200" i="13"/>
  <c r="AJ104" i="13"/>
  <c r="P113" i="13"/>
  <c r="S113" i="13" s="1"/>
  <c r="T114" i="13"/>
  <c r="R115" i="13"/>
  <c r="S115" i="13" s="1"/>
  <c r="T131" i="13"/>
  <c r="R131" i="13"/>
  <c r="S131" i="13" s="1"/>
  <c r="T145" i="13"/>
  <c r="P145" i="13"/>
  <c r="S145" i="13" s="1"/>
  <c r="AJ149" i="13"/>
  <c r="X149" i="13"/>
  <c r="AJ157" i="13"/>
  <c r="X157" i="13"/>
  <c r="AC157" i="13"/>
  <c r="X168" i="13"/>
  <c r="Q175" i="13"/>
  <c r="S175" i="13" s="1"/>
  <c r="T175" i="13"/>
  <c r="S177" i="13"/>
  <c r="S189" i="13"/>
  <c r="S199" i="13"/>
  <c r="AI204" i="13"/>
  <c r="AI206" i="13" s="1"/>
  <c r="T119" i="13"/>
  <c r="AJ125" i="13"/>
  <c r="P141" i="13"/>
  <c r="S141" i="13" s="1"/>
  <c r="T141" i="13"/>
  <c r="X142" i="13"/>
  <c r="T146" i="13"/>
  <c r="Q146" i="13"/>
  <c r="S146" i="13" s="1"/>
  <c r="AJ160" i="13"/>
  <c r="X160" i="13"/>
  <c r="S167" i="13"/>
  <c r="S180" i="13"/>
  <c r="T97" i="13"/>
  <c r="T134" i="13"/>
  <c r="P134" i="13"/>
  <c r="S134" i="13" s="1"/>
  <c r="T137" i="13"/>
  <c r="P137" i="13"/>
  <c r="S137" i="13" s="1"/>
  <c r="AJ142" i="13"/>
  <c r="X143" i="13"/>
  <c r="S148" i="13"/>
  <c r="AJ148" i="13"/>
  <c r="S156" i="13"/>
  <c r="AJ173" i="13"/>
  <c r="X173" i="13"/>
  <c r="X94" i="13"/>
  <c r="X104" i="13"/>
  <c r="Q114" i="13"/>
  <c r="S114" i="13" s="1"/>
  <c r="P116" i="13"/>
  <c r="S116" i="13" s="1"/>
  <c r="S136" i="13"/>
  <c r="T154" i="13"/>
  <c r="Q154" i="13"/>
  <c r="S154" i="13" s="1"/>
  <c r="T167" i="13"/>
  <c r="S168" i="13"/>
  <c r="P176" i="13"/>
  <c r="S176" i="13" s="1"/>
  <c r="S126" i="13"/>
  <c r="AJ136" i="13"/>
  <c r="AJ143" i="13"/>
  <c r="T147" i="13"/>
  <c r="R147" i="13"/>
  <c r="S147" i="13" s="1"/>
  <c r="T158" i="13"/>
  <c r="P158" i="13"/>
  <c r="S158" i="13" s="1"/>
  <c r="Q159" i="13"/>
  <c r="S159" i="13" s="1"/>
  <c r="T159" i="13"/>
  <c r="AC180" i="13"/>
  <c r="X180" i="13"/>
  <c r="T182" i="13"/>
  <c r="P182" i="13"/>
  <c r="S182" i="13" s="1"/>
  <c r="T162" i="13"/>
  <c r="S169" i="13"/>
  <c r="X192" i="13"/>
  <c r="AJ192" i="13"/>
  <c r="S196" i="13"/>
  <c r="T150" i="13"/>
  <c r="P150" i="13"/>
  <c r="S150" i="13" s="1"/>
  <c r="X153" i="13"/>
  <c r="AJ153" i="13"/>
  <c r="S160" i="13"/>
  <c r="Q162" i="13"/>
  <c r="S162" i="13" s="1"/>
  <c r="AC172" i="13"/>
  <c r="X172" i="13"/>
  <c r="T174" i="13"/>
  <c r="P174" i="13"/>
  <c r="S174" i="13" s="1"/>
  <c r="X177" i="13"/>
  <c r="AJ177" i="13"/>
  <c r="T184" i="13"/>
  <c r="X187" i="13"/>
  <c r="AJ187" i="13"/>
  <c r="AC164" i="13"/>
  <c r="X164" i="13"/>
  <c r="T166" i="13"/>
  <c r="P166" i="13"/>
  <c r="S166" i="13" s="1"/>
  <c r="T169" i="13"/>
  <c r="S181" i="13"/>
  <c r="AJ189" i="13"/>
  <c r="X189" i="13"/>
  <c r="AJ199" i="13"/>
  <c r="X199" i="13"/>
  <c r="T188" i="13"/>
  <c r="T196" i="13"/>
  <c r="T179" i="13"/>
  <c r="T195" i="13"/>
  <c r="T178" i="13"/>
  <c r="T186" i="13"/>
  <c r="AJ193" i="13"/>
  <c r="T194" i="13"/>
  <c r="P198" i="13"/>
  <c r="S198" i="13" s="1"/>
  <c r="O40" i="21" l="1"/>
  <c r="O46" i="21" s="1"/>
  <c r="O49" i="21" s="1"/>
  <c r="L46" i="21"/>
  <c r="L43" i="15"/>
  <c r="O43" i="15" s="1"/>
  <c r="O22" i="15"/>
  <c r="L38" i="15"/>
  <c r="O38" i="15" s="1"/>
  <c r="O26" i="15"/>
  <c r="L35" i="15"/>
  <c r="O35" i="15" s="1"/>
  <c r="L36" i="15"/>
  <c r="O36" i="15" s="1"/>
  <c r="O48" i="15"/>
  <c r="V48" i="15" s="1"/>
  <c r="O29" i="15"/>
  <c r="O25" i="15"/>
  <c r="O28" i="15"/>
  <c r="O24" i="15"/>
  <c r="L34" i="15"/>
  <c r="O21" i="15"/>
  <c r="O23" i="15"/>
  <c r="S27" i="15"/>
  <c r="V27" i="15" s="1"/>
  <c r="O39" i="15"/>
  <c r="O37" i="15"/>
  <c r="T46" i="15"/>
  <c r="O40" i="15"/>
  <c r="O41" i="15"/>
  <c r="O44" i="15"/>
  <c r="O42" i="15"/>
  <c r="U46" i="15"/>
  <c r="O45" i="15"/>
  <c r="X117" i="13"/>
  <c r="AJ117" i="13"/>
  <c r="AC117" i="13"/>
  <c r="X82" i="13"/>
  <c r="AJ82" i="13"/>
  <c r="AC68" i="13"/>
  <c r="X68" i="13"/>
  <c r="AJ68" i="13"/>
  <c r="AJ128" i="13"/>
  <c r="X128" i="13"/>
  <c r="AC60" i="13"/>
  <c r="AJ60" i="13"/>
  <c r="X60" i="13"/>
  <c r="X35" i="13"/>
  <c r="AJ35" i="13"/>
  <c r="X28" i="13"/>
  <c r="AJ28" i="13"/>
  <c r="AE11" i="13"/>
  <c r="X194" i="13"/>
  <c r="AJ194" i="13"/>
  <c r="AC194" i="13"/>
  <c r="X158" i="13"/>
  <c r="AC158" i="13"/>
  <c r="AJ158" i="13"/>
  <c r="AC134" i="13"/>
  <c r="AJ134" i="13"/>
  <c r="X134" i="13"/>
  <c r="AJ155" i="13"/>
  <c r="X155" i="13"/>
  <c r="AJ113" i="13"/>
  <c r="X113" i="13"/>
  <c r="AC113" i="13"/>
  <c r="X56" i="13"/>
  <c r="AJ56" i="13"/>
  <c r="Z201" i="13"/>
  <c r="Z207" i="13" s="1"/>
  <c r="AG11" i="13"/>
  <c r="AJ99" i="13"/>
  <c r="X99" i="13"/>
  <c r="AJ138" i="13"/>
  <c r="AC138" i="13"/>
  <c r="X138" i="13"/>
  <c r="X20" i="13"/>
  <c r="AJ20" i="13"/>
  <c r="X166" i="13"/>
  <c r="AJ166" i="13"/>
  <c r="AC166" i="13"/>
  <c r="AC175" i="13"/>
  <c r="X175" i="13"/>
  <c r="AJ175" i="13"/>
  <c r="Q201" i="13"/>
  <c r="X27" i="13"/>
  <c r="AJ27" i="13"/>
  <c r="AJ162" i="13"/>
  <c r="AC162" i="13"/>
  <c r="X162" i="13"/>
  <c r="X150" i="13"/>
  <c r="AJ150" i="13"/>
  <c r="AC150" i="13"/>
  <c r="X97" i="13"/>
  <c r="AJ97" i="13"/>
  <c r="AC97" i="13"/>
  <c r="X140" i="13"/>
  <c r="AJ140" i="13"/>
  <c r="AJ144" i="13"/>
  <c r="X144" i="13"/>
  <c r="AC144" i="13"/>
  <c r="AJ78" i="13"/>
  <c r="X78" i="13"/>
  <c r="X12" i="13"/>
  <c r="AJ12" i="13"/>
  <c r="AJ186" i="13"/>
  <c r="X186" i="13"/>
  <c r="X182" i="13"/>
  <c r="AJ182" i="13"/>
  <c r="AC147" i="13"/>
  <c r="X147" i="13"/>
  <c r="AJ147" i="13"/>
  <c r="AC167" i="13"/>
  <c r="AJ167" i="13"/>
  <c r="X167" i="13"/>
  <c r="X145" i="13"/>
  <c r="AJ145" i="13"/>
  <c r="AC145" i="13"/>
  <c r="AJ165" i="13"/>
  <c r="X165" i="13"/>
  <c r="AJ92" i="13"/>
  <c r="AC92" i="13"/>
  <c r="X92" i="13"/>
  <c r="X58" i="13"/>
  <c r="AJ58" i="13"/>
  <c r="AC58" i="13"/>
  <c r="X90" i="13"/>
  <c r="AJ90" i="13"/>
  <c r="X67" i="13"/>
  <c r="AC67" i="13"/>
  <c r="AJ67" i="13"/>
  <c r="AJ79" i="13"/>
  <c r="AC79" i="13"/>
  <c r="X79" i="13"/>
  <c r="AJ71" i="13"/>
  <c r="AC71" i="13"/>
  <c r="X71" i="13"/>
  <c r="X66" i="13"/>
  <c r="AJ66" i="13"/>
  <c r="AC66" i="13"/>
  <c r="AJ44" i="13"/>
  <c r="X44" i="13"/>
  <c r="T201" i="13"/>
  <c r="AJ188" i="13"/>
  <c r="X188" i="13"/>
  <c r="AJ146" i="13"/>
  <c r="X146" i="13"/>
  <c r="X174" i="13"/>
  <c r="AJ174" i="13"/>
  <c r="AJ95" i="13"/>
  <c r="X95" i="13"/>
  <c r="AJ178" i="13"/>
  <c r="X178" i="13"/>
  <c r="X135" i="13"/>
  <c r="AJ135" i="13"/>
  <c r="AC103" i="13"/>
  <c r="AJ103" i="13"/>
  <c r="X103" i="13"/>
  <c r="AC76" i="13"/>
  <c r="X76" i="13"/>
  <c r="AJ76" i="13"/>
  <c r="S11" i="13"/>
  <c r="S201" i="13" s="1"/>
  <c r="AJ110" i="13"/>
  <c r="AC110" i="13"/>
  <c r="X110" i="13"/>
  <c r="AJ50" i="13"/>
  <c r="AC50" i="13"/>
  <c r="X50" i="13"/>
  <c r="X19" i="13"/>
  <c r="AJ19" i="13"/>
  <c r="AJ121" i="13"/>
  <c r="AC121" i="13"/>
  <c r="X121" i="13"/>
  <c r="AC114" i="13"/>
  <c r="AJ114" i="13"/>
  <c r="X114" i="13"/>
  <c r="AJ96" i="13"/>
  <c r="AC96" i="13"/>
  <c r="X96" i="13"/>
  <c r="AJ141" i="13"/>
  <c r="AC141" i="13"/>
  <c r="X141" i="13"/>
  <c r="AC195" i="13"/>
  <c r="X195" i="13"/>
  <c r="AJ195" i="13"/>
  <c r="AC119" i="13"/>
  <c r="X119" i="13"/>
  <c r="AJ119" i="13"/>
  <c r="AC131" i="13"/>
  <c r="AJ131" i="13"/>
  <c r="X131" i="13"/>
  <c r="X87" i="13"/>
  <c r="AJ87" i="13"/>
  <c r="AC87" i="13"/>
  <c r="AC88" i="13"/>
  <c r="AJ88" i="13"/>
  <c r="X88" i="13"/>
  <c r="R201" i="13"/>
  <c r="T204" i="13"/>
  <c r="AJ120" i="13"/>
  <c r="AC120" i="13"/>
  <c r="X120" i="13"/>
  <c r="AJ170" i="13"/>
  <c r="X170" i="13"/>
  <c r="AJ70" i="13"/>
  <c r="AC70" i="13"/>
  <c r="X70" i="13"/>
  <c r="X106" i="13"/>
  <c r="AJ106" i="13"/>
  <c r="AC106" i="13"/>
  <c r="AJ183" i="13"/>
  <c r="AC183" i="13"/>
  <c r="X183" i="13"/>
  <c r="AJ31" i="13"/>
  <c r="X31" i="13"/>
  <c r="AJ123" i="13"/>
  <c r="AC123" i="13"/>
  <c r="X123" i="13"/>
  <c r="AC72" i="13"/>
  <c r="AJ72" i="13"/>
  <c r="X72" i="13"/>
  <c r="X75" i="13"/>
  <c r="AC75" i="13"/>
  <c r="AJ75" i="13"/>
  <c r="X43" i="13"/>
  <c r="AJ43" i="13"/>
  <c r="Y201" i="13"/>
  <c r="Y207" i="13" s="1"/>
  <c r="X59" i="13"/>
  <c r="AJ59" i="13"/>
  <c r="AC59" i="13"/>
  <c r="AJ36" i="13"/>
  <c r="X36" i="13"/>
  <c r="AJ179" i="13"/>
  <c r="X179" i="13"/>
  <c r="X169" i="13"/>
  <c r="AJ169" i="13"/>
  <c r="AJ184" i="13"/>
  <c r="X184" i="13"/>
  <c r="AC159" i="13"/>
  <c r="AJ159" i="13"/>
  <c r="X159" i="13"/>
  <c r="AJ196" i="13"/>
  <c r="AC196" i="13"/>
  <c r="X196" i="13"/>
  <c r="AJ154" i="13"/>
  <c r="AC154" i="13"/>
  <c r="X154" i="13"/>
  <c r="X137" i="13"/>
  <c r="AC137" i="13"/>
  <c r="AJ137" i="13"/>
  <c r="AJ130" i="13"/>
  <c r="X130" i="13"/>
  <c r="AJ101" i="13"/>
  <c r="X101" i="13"/>
  <c r="AC84" i="13"/>
  <c r="AJ84" i="13"/>
  <c r="X84" i="13"/>
  <c r="X83" i="13"/>
  <c r="AC83" i="13"/>
  <c r="AJ83" i="13"/>
  <c r="X185" i="13"/>
  <c r="AJ185" i="13"/>
  <c r="X74" i="13"/>
  <c r="AJ74" i="13"/>
  <c r="AC151" i="13"/>
  <c r="X151" i="13"/>
  <c r="AJ151" i="13"/>
  <c r="AC109" i="13"/>
  <c r="X109" i="13"/>
  <c r="AJ109" i="13"/>
  <c r="AJ61" i="13"/>
  <c r="AC61" i="13"/>
  <c r="X61" i="13"/>
  <c r="X161" i="13"/>
  <c r="AJ161" i="13"/>
  <c r="AC93" i="13"/>
  <c r="X93" i="13"/>
  <c r="AJ93" i="13"/>
  <c r="P201" i="13"/>
  <c r="AJ152" i="13"/>
  <c r="X152" i="13"/>
  <c r="AJ105" i="13"/>
  <c r="AC105" i="13"/>
  <c r="X105" i="13"/>
  <c r="AJ52" i="13"/>
  <c r="AC52" i="13"/>
  <c r="X52" i="13"/>
  <c r="T205" i="13"/>
  <c r="O34" i="15" l="1"/>
  <c r="L46" i="15"/>
  <c r="S43" i="15"/>
  <c r="V43" i="15" s="1"/>
  <c r="X205" i="13"/>
  <c r="X212" i="13" s="1"/>
  <c r="T206" i="13"/>
  <c r="X204" i="13"/>
  <c r="X206" i="13" s="1"/>
  <c r="X201" i="13"/>
  <c r="O46" i="15" l="1"/>
  <c r="O49" i="15" s="1"/>
  <c r="X207" i="13"/>
  <c r="CF26" i="17" l="1"/>
  <c r="Y32" i="12"/>
  <c r="CD26" i="17" s="1"/>
  <c r="X32" i="12"/>
  <c r="CC26" i="17" s="1"/>
  <c r="CJ6" i="17"/>
  <c r="CJ7" i="17"/>
  <c r="CJ8" i="17"/>
  <c r="CJ9" i="17"/>
  <c r="CJ10" i="17"/>
  <c r="CJ11" i="17"/>
  <c r="CJ12" i="17"/>
  <c r="CJ13" i="17"/>
  <c r="CJ14" i="17"/>
  <c r="CJ15" i="17"/>
  <c r="CJ17" i="17"/>
  <c r="CJ18" i="17"/>
  <c r="CJ19" i="17"/>
  <c r="CJ20" i="17"/>
  <c r="CJ21" i="17"/>
  <c r="CJ22" i="17"/>
  <c r="CJ23" i="17"/>
  <c r="CJ24" i="17"/>
  <c r="CJ25" i="17"/>
  <c r="CJ27" i="17"/>
  <c r="CJ28" i="17"/>
  <c r="CJ29" i="17"/>
  <c r="CJ31" i="17"/>
  <c r="CJ32" i="17"/>
  <c r="CJ33" i="17"/>
  <c r="CJ34" i="17"/>
  <c r="CJ35" i="17"/>
  <c r="CJ36" i="17"/>
  <c r="CJ37" i="17"/>
  <c r="CJ38" i="17"/>
  <c r="CJ39" i="17"/>
  <c r="CJ40" i="17"/>
  <c r="CJ41" i="17"/>
  <c r="CJ42" i="17"/>
  <c r="CJ43" i="17"/>
  <c r="CJ44" i="17"/>
  <c r="CJ45" i="17"/>
  <c r="CJ46" i="17"/>
  <c r="CJ47" i="17"/>
  <c r="CJ48" i="17"/>
  <c r="CJ49" i="17"/>
  <c r="CJ50" i="17"/>
  <c r="CJ51" i="17"/>
  <c r="CJ52" i="17"/>
  <c r="CJ53" i="17"/>
  <c r="CJ54" i="17"/>
  <c r="CJ55" i="17"/>
  <c r="CJ56" i="17"/>
  <c r="CJ57" i="17"/>
  <c r="CJ58" i="17"/>
  <c r="CJ116" i="17"/>
  <c r="CJ59" i="17"/>
  <c r="CJ60" i="17"/>
  <c r="CJ61" i="17"/>
  <c r="CJ62" i="17"/>
  <c r="CJ63" i="17"/>
  <c r="CJ64" i="17"/>
  <c r="CJ65" i="17"/>
  <c r="CJ66" i="17"/>
  <c r="CJ67" i="17"/>
  <c r="CJ68" i="17"/>
  <c r="CJ69" i="17"/>
  <c r="CJ70" i="17"/>
  <c r="CJ71" i="17"/>
  <c r="CJ72" i="17"/>
  <c r="CJ73" i="17"/>
  <c r="CJ74" i="17"/>
  <c r="CJ75" i="17"/>
  <c r="CJ76" i="17"/>
  <c r="CJ77" i="17"/>
  <c r="CJ78" i="17"/>
  <c r="CJ79" i="17"/>
  <c r="CJ80" i="17"/>
  <c r="CJ81" i="17"/>
  <c r="CJ82" i="17"/>
  <c r="CJ83" i="17"/>
  <c r="CJ84" i="17"/>
  <c r="CJ85" i="17"/>
  <c r="CJ86" i="17"/>
  <c r="CJ87" i="17"/>
  <c r="CJ88" i="17"/>
  <c r="CJ89" i="17"/>
  <c r="CJ90" i="17"/>
  <c r="CJ91" i="17"/>
  <c r="CJ92" i="17"/>
  <c r="CJ93" i="17"/>
  <c r="CJ94" i="17"/>
  <c r="CJ95" i="17"/>
  <c r="CJ96" i="17"/>
  <c r="CJ97" i="17"/>
  <c r="CJ98" i="17"/>
  <c r="CJ99" i="17"/>
  <c r="CJ100" i="17"/>
  <c r="CJ101" i="17"/>
  <c r="CJ102" i="17"/>
  <c r="CJ103" i="17"/>
  <c r="CJ104" i="17"/>
  <c r="CJ105" i="17"/>
  <c r="CJ106" i="17"/>
  <c r="CJ107" i="17"/>
  <c r="CJ108" i="17"/>
  <c r="CJ109" i="17"/>
  <c r="CJ110" i="17"/>
  <c r="CJ111" i="17"/>
  <c r="CJ112" i="17"/>
  <c r="CJ113" i="17"/>
  <c r="CJ114" i="17"/>
  <c r="CJ115" i="17"/>
  <c r="CJ117" i="17"/>
  <c r="CJ118" i="17"/>
  <c r="CJ119" i="17"/>
  <c r="CJ121" i="17"/>
  <c r="CJ122" i="17"/>
  <c r="CJ123" i="17"/>
  <c r="CJ124" i="17"/>
  <c r="CJ125" i="17"/>
  <c r="CJ126" i="17"/>
  <c r="CJ127" i="17"/>
  <c r="CJ128" i="17"/>
  <c r="CJ129" i="17"/>
  <c r="CJ130" i="17"/>
  <c r="CJ131" i="17"/>
  <c r="CJ132" i="17"/>
  <c r="CJ133" i="17"/>
  <c r="CJ134" i="17"/>
  <c r="CJ135" i="17"/>
  <c r="CJ136" i="17"/>
  <c r="CJ137" i="17"/>
  <c r="CJ138" i="17"/>
  <c r="CJ139" i="17"/>
  <c r="CJ140" i="17"/>
  <c r="CJ141" i="17"/>
  <c r="CJ142" i="17"/>
  <c r="CJ143" i="17"/>
  <c r="CJ144" i="17"/>
  <c r="CJ145" i="17"/>
  <c r="CJ146" i="17"/>
  <c r="CJ147" i="17"/>
  <c r="CJ148" i="17"/>
  <c r="CJ149" i="17"/>
  <c r="CJ150" i="17"/>
  <c r="CJ151" i="17"/>
  <c r="CJ152" i="17"/>
  <c r="CJ153" i="17"/>
  <c r="CJ154" i="17"/>
  <c r="CJ155" i="17"/>
  <c r="CJ156" i="17"/>
  <c r="CJ157" i="17"/>
  <c r="CJ158" i="17"/>
  <c r="CJ159" i="17"/>
  <c r="CJ160" i="17"/>
  <c r="CJ161" i="17"/>
  <c r="CJ162" i="17"/>
  <c r="CJ163" i="17"/>
  <c r="CJ164" i="17"/>
  <c r="CJ165" i="17"/>
  <c r="CJ166" i="17"/>
  <c r="CJ167" i="17"/>
  <c r="CJ168" i="17"/>
  <c r="CJ169" i="17"/>
  <c r="CJ170" i="17"/>
  <c r="CJ171" i="17"/>
  <c r="CJ172" i="17"/>
  <c r="CJ173" i="17"/>
  <c r="CJ174" i="17"/>
  <c r="CJ175" i="17"/>
  <c r="CJ176" i="17"/>
  <c r="CJ177" i="17"/>
  <c r="CJ178" i="17"/>
  <c r="CJ179" i="17"/>
  <c r="CJ180" i="17"/>
  <c r="CJ181" i="17"/>
  <c r="CJ182" i="17"/>
  <c r="CJ183" i="17"/>
  <c r="CJ184" i="17"/>
  <c r="CJ185" i="17"/>
  <c r="CJ186" i="17"/>
  <c r="CJ187" i="17"/>
  <c r="CJ188" i="17"/>
  <c r="CJ189" i="17"/>
  <c r="CJ190" i="17"/>
  <c r="CJ191" i="17"/>
  <c r="CJ192" i="17"/>
  <c r="CJ5" i="17"/>
  <c r="AF12" i="12"/>
  <c r="CL6" i="17" s="1"/>
  <c r="AF13" i="12"/>
  <c r="CL7" i="17" s="1"/>
  <c r="AF14" i="12"/>
  <c r="CL8" i="17" s="1"/>
  <c r="AF15" i="12"/>
  <c r="CL9" i="17" s="1"/>
  <c r="AF16" i="12"/>
  <c r="CL10" i="17" s="1"/>
  <c r="AF17" i="12"/>
  <c r="CL11" i="17" s="1"/>
  <c r="AF18" i="12"/>
  <c r="CL12" i="17" s="1"/>
  <c r="AF19" i="12"/>
  <c r="CL13" i="17" s="1"/>
  <c r="AF20" i="12"/>
  <c r="CL14" i="17" s="1"/>
  <c r="AF21" i="12"/>
  <c r="CL15" i="17" s="1"/>
  <c r="AF22" i="12"/>
  <c r="CL16" i="17" s="1"/>
  <c r="AF23" i="12"/>
  <c r="CL17" i="17" s="1"/>
  <c r="AF24" i="12"/>
  <c r="CL18" i="17" s="1"/>
  <c r="AF25" i="12"/>
  <c r="CL19" i="17" s="1"/>
  <c r="AF26" i="12"/>
  <c r="CL20" i="17" s="1"/>
  <c r="AF27" i="12"/>
  <c r="CL21" i="17" s="1"/>
  <c r="AF28" i="12"/>
  <c r="CL22" i="17" s="1"/>
  <c r="AF29" i="12"/>
  <c r="CL23" i="17" s="1"/>
  <c r="AF30" i="12"/>
  <c r="CL24" i="17" s="1"/>
  <c r="AF31" i="12"/>
  <c r="CL25" i="17" s="1"/>
  <c r="AF32" i="12"/>
  <c r="AF33" i="12"/>
  <c r="CL27" i="17" s="1"/>
  <c r="AF34" i="12"/>
  <c r="CL28" i="17" s="1"/>
  <c r="AF35" i="12"/>
  <c r="CL29" i="17" s="1"/>
  <c r="AF36" i="12"/>
  <c r="CL30" i="17" s="1"/>
  <c r="AF37" i="12"/>
  <c r="CL31" i="17" s="1"/>
  <c r="AF38" i="12"/>
  <c r="CL32" i="17" s="1"/>
  <c r="AF39" i="12"/>
  <c r="CL33" i="17" s="1"/>
  <c r="AF40" i="12"/>
  <c r="CL34" i="17" s="1"/>
  <c r="AF41" i="12"/>
  <c r="CL35" i="17" s="1"/>
  <c r="AF42" i="12"/>
  <c r="CL36" i="17" s="1"/>
  <c r="AF43" i="12"/>
  <c r="CL37" i="17" s="1"/>
  <c r="AF44" i="12"/>
  <c r="CL38" i="17" s="1"/>
  <c r="AF45" i="12"/>
  <c r="CL39" i="17" s="1"/>
  <c r="AF46" i="12"/>
  <c r="CL40" i="17" s="1"/>
  <c r="AF47" i="12"/>
  <c r="CL41" i="17" s="1"/>
  <c r="AF48" i="12"/>
  <c r="CL42" i="17" s="1"/>
  <c r="AF49" i="12"/>
  <c r="CL43" i="17" s="1"/>
  <c r="AF50" i="12"/>
  <c r="CL44" i="17" s="1"/>
  <c r="AF51" i="12"/>
  <c r="AF52" i="12"/>
  <c r="CL45" i="17" s="1"/>
  <c r="AF53" i="12"/>
  <c r="CL46" i="17" s="1"/>
  <c r="AF54" i="12"/>
  <c r="CL47" i="17" s="1"/>
  <c r="AF55" i="12"/>
  <c r="CL48" i="17" s="1"/>
  <c r="AF56" i="12"/>
  <c r="CL49" i="17" s="1"/>
  <c r="AF57" i="12"/>
  <c r="CL50" i="17" s="1"/>
  <c r="AF58" i="12"/>
  <c r="CL51" i="17" s="1"/>
  <c r="AF59" i="12"/>
  <c r="CL52" i="17" s="1"/>
  <c r="AF60" i="12"/>
  <c r="CL53" i="17" s="1"/>
  <c r="AF61" i="12"/>
  <c r="CL54" i="17" s="1"/>
  <c r="AF62" i="12"/>
  <c r="CL55" i="17" s="1"/>
  <c r="AF63" i="12"/>
  <c r="CL56" i="17" s="1"/>
  <c r="AF64" i="12"/>
  <c r="CL57" i="17" s="1"/>
  <c r="AF65" i="12"/>
  <c r="CL58" i="17" s="1"/>
  <c r="AF66" i="12"/>
  <c r="CL116" i="17" s="1"/>
  <c r="AF67" i="12"/>
  <c r="CL59" i="17" s="1"/>
  <c r="AF68" i="12"/>
  <c r="CL60" i="17" s="1"/>
  <c r="AF69" i="12"/>
  <c r="CL61" i="17" s="1"/>
  <c r="AF70" i="12"/>
  <c r="CL62" i="17" s="1"/>
  <c r="AF71" i="12"/>
  <c r="CL63" i="17" s="1"/>
  <c r="AF72" i="12"/>
  <c r="CL64" i="17" s="1"/>
  <c r="AF73" i="12"/>
  <c r="CL65" i="17" s="1"/>
  <c r="AF74" i="12"/>
  <c r="CL66" i="17" s="1"/>
  <c r="AF75" i="12"/>
  <c r="CL67" i="17" s="1"/>
  <c r="AF76" i="12"/>
  <c r="CL68" i="17" s="1"/>
  <c r="AF77" i="12"/>
  <c r="CL69" i="17" s="1"/>
  <c r="AF78" i="12"/>
  <c r="CL70" i="17" s="1"/>
  <c r="AF79" i="12"/>
  <c r="CL71" i="17" s="1"/>
  <c r="AF80" i="12"/>
  <c r="CL72" i="17" s="1"/>
  <c r="AF81" i="12"/>
  <c r="CL73" i="17" s="1"/>
  <c r="AF82" i="12"/>
  <c r="CL74" i="17" s="1"/>
  <c r="AF83" i="12"/>
  <c r="CL75" i="17" s="1"/>
  <c r="AF84" i="12"/>
  <c r="CL76" i="17" s="1"/>
  <c r="AF85" i="12"/>
  <c r="CL77" i="17" s="1"/>
  <c r="AF86" i="12"/>
  <c r="CL78" i="17" s="1"/>
  <c r="AF87" i="12"/>
  <c r="CL79" i="17" s="1"/>
  <c r="AF88" i="12"/>
  <c r="CL80" i="17" s="1"/>
  <c r="AF89" i="12"/>
  <c r="CL81" i="17" s="1"/>
  <c r="AF90" i="12"/>
  <c r="CL82" i="17" s="1"/>
  <c r="AF91" i="12"/>
  <c r="CL83" i="17" s="1"/>
  <c r="AF92" i="12"/>
  <c r="CL84" i="17" s="1"/>
  <c r="AF93" i="12"/>
  <c r="CL85" i="17" s="1"/>
  <c r="AF94" i="12"/>
  <c r="CL86" i="17" s="1"/>
  <c r="AF95" i="12"/>
  <c r="CL87" i="17" s="1"/>
  <c r="AF96" i="12"/>
  <c r="CL88" i="17" s="1"/>
  <c r="AF97" i="12"/>
  <c r="CL89" i="17" s="1"/>
  <c r="AF98" i="12"/>
  <c r="CL90" i="17" s="1"/>
  <c r="AF99" i="12"/>
  <c r="CL91" i="17" s="1"/>
  <c r="AF100" i="12"/>
  <c r="CL92" i="17" s="1"/>
  <c r="AF101" i="12"/>
  <c r="CL93" i="17" s="1"/>
  <c r="AF102" i="12"/>
  <c r="CL94" i="17" s="1"/>
  <c r="AF103" i="12"/>
  <c r="CL95" i="17" s="1"/>
  <c r="AF104" i="12"/>
  <c r="CL96" i="17" s="1"/>
  <c r="AF105" i="12"/>
  <c r="CL97" i="17" s="1"/>
  <c r="AF106" i="12"/>
  <c r="CL98" i="17" s="1"/>
  <c r="AF107" i="12"/>
  <c r="CL99" i="17" s="1"/>
  <c r="AF108" i="12"/>
  <c r="CL100" i="17" s="1"/>
  <c r="AF109" i="12"/>
  <c r="CL101" i="17" s="1"/>
  <c r="AF110" i="12"/>
  <c r="CL102" i="17" s="1"/>
  <c r="AF111" i="12"/>
  <c r="CL103" i="17" s="1"/>
  <c r="AF112" i="12"/>
  <c r="CL104" i="17" s="1"/>
  <c r="AF113" i="12"/>
  <c r="CL105" i="17" s="1"/>
  <c r="AF114" i="12"/>
  <c r="CL106" i="17" s="1"/>
  <c r="AF115" i="12"/>
  <c r="CL107" i="17" s="1"/>
  <c r="AF116" i="12"/>
  <c r="CL108" i="17" s="1"/>
  <c r="AF117" i="12"/>
  <c r="CL109" i="17" s="1"/>
  <c r="AF118" i="12"/>
  <c r="CL110" i="17" s="1"/>
  <c r="AF119" i="12"/>
  <c r="CL111" i="17" s="1"/>
  <c r="AF120" i="12"/>
  <c r="CL112" i="17" s="1"/>
  <c r="AF121" i="12"/>
  <c r="CL113" i="17" s="1"/>
  <c r="AF122" i="12"/>
  <c r="CL114" i="17" s="1"/>
  <c r="AF123" i="12"/>
  <c r="CL115" i="17" s="1"/>
  <c r="AF124" i="12"/>
  <c r="CL117" i="17" s="1"/>
  <c r="AF125" i="12"/>
  <c r="CL118" i="17" s="1"/>
  <c r="AF126" i="12"/>
  <c r="CL119" i="17" s="1"/>
  <c r="AF127" i="12"/>
  <c r="CL120" i="17" s="1"/>
  <c r="AF128" i="12"/>
  <c r="CL121" i="17" s="1"/>
  <c r="AF129" i="12"/>
  <c r="CL122" i="17" s="1"/>
  <c r="AF130" i="12"/>
  <c r="CL123" i="17" s="1"/>
  <c r="AF131" i="12"/>
  <c r="CL124" i="17" s="1"/>
  <c r="AF132" i="12"/>
  <c r="CL125" i="17" s="1"/>
  <c r="AF133" i="12"/>
  <c r="CL126" i="17" s="1"/>
  <c r="AF134" i="12"/>
  <c r="CL127" i="17" s="1"/>
  <c r="AF135" i="12"/>
  <c r="CL128" i="17" s="1"/>
  <c r="AF136" i="12"/>
  <c r="CL129" i="17" s="1"/>
  <c r="AF137" i="12"/>
  <c r="CL130" i="17" s="1"/>
  <c r="AF138" i="12"/>
  <c r="CL131" i="17" s="1"/>
  <c r="AF139" i="12"/>
  <c r="CL132" i="17" s="1"/>
  <c r="AF140" i="12"/>
  <c r="AF141" i="12"/>
  <c r="CL133" i="17" s="1"/>
  <c r="AF142" i="12"/>
  <c r="CL134" i="17" s="1"/>
  <c r="AF143" i="12"/>
  <c r="CL135" i="17" s="1"/>
  <c r="AF144" i="12"/>
  <c r="CL136" i="17" s="1"/>
  <c r="AF145" i="12"/>
  <c r="CL137" i="17" s="1"/>
  <c r="AF146" i="12"/>
  <c r="CL138" i="17" s="1"/>
  <c r="AF147" i="12"/>
  <c r="CL139" i="17" s="1"/>
  <c r="AF148" i="12"/>
  <c r="CL140" i="17" s="1"/>
  <c r="AF149" i="12"/>
  <c r="CL141" i="17" s="1"/>
  <c r="AF150" i="12"/>
  <c r="CL142" i="17" s="1"/>
  <c r="AF151" i="12"/>
  <c r="CL143" i="17" s="1"/>
  <c r="AF152" i="12"/>
  <c r="CL144" i="17" s="1"/>
  <c r="AF153" i="12"/>
  <c r="CL145" i="17" s="1"/>
  <c r="AF154" i="12"/>
  <c r="CL146" i="17" s="1"/>
  <c r="AF155" i="12"/>
  <c r="CL147" i="17" s="1"/>
  <c r="AF156" i="12"/>
  <c r="CL148" i="17" s="1"/>
  <c r="AF157" i="12"/>
  <c r="CL149" i="17" s="1"/>
  <c r="AF158" i="12"/>
  <c r="CL150" i="17" s="1"/>
  <c r="AF159" i="12"/>
  <c r="CL151" i="17" s="1"/>
  <c r="AF160" i="12"/>
  <c r="AF161" i="12"/>
  <c r="CL152" i="17" s="1"/>
  <c r="AF162" i="12"/>
  <c r="CL153" i="17" s="1"/>
  <c r="AF163" i="12"/>
  <c r="CL154" i="17" s="1"/>
  <c r="AF164" i="12"/>
  <c r="CL155" i="17" s="1"/>
  <c r="AF165" i="12"/>
  <c r="CL156" i="17" s="1"/>
  <c r="AF166" i="12"/>
  <c r="CL157" i="17" s="1"/>
  <c r="AF167" i="12"/>
  <c r="CL158" i="17" s="1"/>
  <c r="AF168" i="12"/>
  <c r="CL159" i="17" s="1"/>
  <c r="AF169" i="12"/>
  <c r="CL160" i="17" s="1"/>
  <c r="AF170" i="12"/>
  <c r="CL161" i="17" s="1"/>
  <c r="AF171" i="12"/>
  <c r="CL162" i="17" s="1"/>
  <c r="AF172" i="12"/>
  <c r="CL163" i="17" s="1"/>
  <c r="AF173" i="12"/>
  <c r="CL164" i="17" s="1"/>
  <c r="AF174" i="12"/>
  <c r="CL165" i="17" s="1"/>
  <c r="AF175" i="12"/>
  <c r="CL166" i="17" s="1"/>
  <c r="AF176" i="12"/>
  <c r="CL167" i="17" s="1"/>
  <c r="AF177" i="12"/>
  <c r="CL168" i="17" s="1"/>
  <c r="AF178" i="12"/>
  <c r="CL169" i="17" s="1"/>
  <c r="AF179" i="12"/>
  <c r="CL170" i="17" s="1"/>
  <c r="AF180" i="12"/>
  <c r="CL171" i="17" s="1"/>
  <c r="AF181" i="12"/>
  <c r="CL172" i="17" s="1"/>
  <c r="AF182" i="12"/>
  <c r="CL173" i="17" s="1"/>
  <c r="AF183" i="12"/>
  <c r="CL174" i="17" s="1"/>
  <c r="AF184" i="12"/>
  <c r="CL175" i="17" s="1"/>
  <c r="AF185" i="12"/>
  <c r="CL176" i="17" s="1"/>
  <c r="AF186" i="12"/>
  <c r="CL177" i="17" s="1"/>
  <c r="AF187" i="12"/>
  <c r="CL178" i="17" s="1"/>
  <c r="AF188" i="12"/>
  <c r="CL179" i="17" s="1"/>
  <c r="AF189" i="12"/>
  <c r="CL180" i="17" s="1"/>
  <c r="AF190" i="12"/>
  <c r="CL181" i="17" s="1"/>
  <c r="AF191" i="12"/>
  <c r="CL182" i="17" s="1"/>
  <c r="AF192" i="12"/>
  <c r="CL183" i="17" s="1"/>
  <c r="AF193" i="12"/>
  <c r="CL184" i="17" s="1"/>
  <c r="AF194" i="12"/>
  <c r="CL185" i="17" s="1"/>
  <c r="AF195" i="12"/>
  <c r="CL186" i="17" s="1"/>
  <c r="AF196" i="12"/>
  <c r="CL187" i="17" s="1"/>
  <c r="AF197" i="12"/>
  <c r="CL188" i="17" s="1"/>
  <c r="AF198" i="12"/>
  <c r="CL189" i="17" s="1"/>
  <c r="AF199" i="12"/>
  <c r="CL190" i="17" s="1"/>
  <c r="AF200" i="12"/>
  <c r="CL191" i="17" s="1"/>
  <c r="AF201" i="12"/>
  <c r="CL192" i="17" s="1"/>
  <c r="AF11" i="12"/>
  <c r="CL5" i="17" s="1"/>
  <c r="CM6" i="17"/>
  <c r="CM7" i="17"/>
  <c r="CM8" i="17"/>
  <c r="CM9" i="17"/>
  <c r="CM10" i="17"/>
  <c r="CM11" i="17"/>
  <c r="CM12" i="17"/>
  <c r="CM13" i="17"/>
  <c r="CM14" i="17"/>
  <c r="CM15" i="17"/>
  <c r="CM17" i="17"/>
  <c r="CM18" i="17"/>
  <c r="CM19" i="17"/>
  <c r="CM20" i="17"/>
  <c r="CM21" i="17"/>
  <c r="CM22" i="17"/>
  <c r="CM23" i="17"/>
  <c r="CM24" i="17"/>
  <c r="CM25" i="17"/>
  <c r="CM27" i="17"/>
  <c r="CM28" i="17"/>
  <c r="CM29" i="17"/>
  <c r="CM30" i="17"/>
  <c r="CM31" i="17"/>
  <c r="CM32" i="17"/>
  <c r="CM33" i="17"/>
  <c r="CM34" i="17"/>
  <c r="CM35" i="17"/>
  <c r="CM36" i="17"/>
  <c r="CM37" i="17"/>
  <c r="CM38" i="17"/>
  <c r="CM39" i="17"/>
  <c r="CM40" i="17"/>
  <c r="CM41" i="17"/>
  <c r="CM42" i="17"/>
  <c r="CM43" i="17"/>
  <c r="CM44" i="17"/>
  <c r="CM45" i="17"/>
  <c r="CM46" i="17"/>
  <c r="CM47" i="17"/>
  <c r="CM48" i="17"/>
  <c r="CM49" i="17"/>
  <c r="CM50" i="17"/>
  <c r="CM51" i="17"/>
  <c r="CM52" i="17"/>
  <c r="CM53" i="17"/>
  <c r="CM54" i="17"/>
  <c r="CM55" i="17"/>
  <c r="CM56" i="17"/>
  <c r="CM57" i="17"/>
  <c r="CM58" i="17"/>
  <c r="CM116" i="17"/>
  <c r="CM59" i="17"/>
  <c r="CM60" i="17"/>
  <c r="CM61" i="17"/>
  <c r="CM62" i="17"/>
  <c r="CM63" i="17"/>
  <c r="CM64" i="17"/>
  <c r="CM65" i="17"/>
  <c r="CM66" i="17"/>
  <c r="CM67" i="17"/>
  <c r="CM68" i="17"/>
  <c r="CM69" i="17"/>
  <c r="CM70" i="17"/>
  <c r="CM71" i="17"/>
  <c r="CM72" i="17"/>
  <c r="CM73" i="17"/>
  <c r="CM74" i="17"/>
  <c r="CM75" i="17"/>
  <c r="CM76" i="17"/>
  <c r="CM77" i="17"/>
  <c r="CM78" i="17"/>
  <c r="CM79" i="17"/>
  <c r="CM80" i="17"/>
  <c r="CM81" i="17"/>
  <c r="CM82" i="17"/>
  <c r="CM83" i="17"/>
  <c r="CM84" i="17"/>
  <c r="CM85" i="17"/>
  <c r="CM86" i="17"/>
  <c r="CM87" i="17"/>
  <c r="CM88" i="17"/>
  <c r="CM89" i="17"/>
  <c r="CM90" i="17"/>
  <c r="CM91" i="17"/>
  <c r="CM92" i="17"/>
  <c r="CM93" i="17"/>
  <c r="CM94" i="17"/>
  <c r="CM95" i="17"/>
  <c r="CM96" i="17"/>
  <c r="CM97" i="17"/>
  <c r="CM98" i="17"/>
  <c r="CM99" i="17"/>
  <c r="CM100" i="17"/>
  <c r="CM101" i="17"/>
  <c r="CM102" i="17"/>
  <c r="CM103" i="17"/>
  <c r="CM104" i="17"/>
  <c r="CM105" i="17"/>
  <c r="CM106" i="17"/>
  <c r="CM107" i="17"/>
  <c r="CM108" i="17"/>
  <c r="CM109" i="17"/>
  <c r="CM110" i="17"/>
  <c r="CM111" i="17"/>
  <c r="CM112" i="17"/>
  <c r="CM113" i="17"/>
  <c r="CM114" i="17"/>
  <c r="CM115" i="17"/>
  <c r="CM117" i="17"/>
  <c r="CM118" i="17"/>
  <c r="CM119" i="17"/>
  <c r="CM120" i="17"/>
  <c r="CM121" i="17"/>
  <c r="CM122" i="17"/>
  <c r="CM123" i="17"/>
  <c r="CM124" i="17"/>
  <c r="CM125" i="17"/>
  <c r="CM126" i="17"/>
  <c r="CM127" i="17"/>
  <c r="CM128" i="17"/>
  <c r="CM129" i="17"/>
  <c r="CM130" i="17"/>
  <c r="CM131" i="17"/>
  <c r="CM132" i="17"/>
  <c r="CM133" i="17"/>
  <c r="CM134" i="17"/>
  <c r="CM135" i="17"/>
  <c r="CM136" i="17"/>
  <c r="CM137" i="17"/>
  <c r="CM138" i="17"/>
  <c r="CM139" i="17"/>
  <c r="CM140" i="17"/>
  <c r="CM141" i="17"/>
  <c r="CM142" i="17"/>
  <c r="CM143" i="17"/>
  <c r="CM144" i="17"/>
  <c r="CM145" i="17"/>
  <c r="CM146" i="17"/>
  <c r="CM147" i="17"/>
  <c r="CM148" i="17"/>
  <c r="CM149" i="17"/>
  <c r="CM150" i="17"/>
  <c r="CM151" i="17"/>
  <c r="CM152" i="17"/>
  <c r="CM153" i="17"/>
  <c r="CM154" i="17"/>
  <c r="CM155" i="17"/>
  <c r="CM156" i="17"/>
  <c r="CM157" i="17"/>
  <c r="CM158" i="17"/>
  <c r="CM159" i="17"/>
  <c r="CM160" i="17"/>
  <c r="CM161" i="17"/>
  <c r="CM162" i="17"/>
  <c r="CM163" i="17"/>
  <c r="CM164" i="17"/>
  <c r="CM165" i="17"/>
  <c r="CM166" i="17"/>
  <c r="CM167" i="17"/>
  <c r="CM168" i="17"/>
  <c r="CM169" i="17"/>
  <c r="CM170" i="17"/>
  <c r="CM171" i="17"/>
  <c r="CM172" i="17"/>
  <c r="CM173" i="17"/>
  <c r="CM174" i="17"/>
  <c r="CM175" i="17"/>
  <c r="CM176" i="17"/>
  <c r="CM177" i="17"/>
  <c r="CM178" i="17"/>
  <c r="CM179" i="17"/>
  <c r="CM180" i="17"/>
  <c r="CM181" i="17"/>
  <c r="CM182" i="17"/>
  <c r="CM183" i="17"/>
  <c r="CM184" i="17"/>
  <c r="CM185" i="17"/>
  <c r="CM186" i="17"/>
  <c r="CM187" i="17"/>
  <c r="CM188" i="17"/>
  <c r="CM189" i="17"/>
  <c r="CM190" i="17"/>
  <c r="CM191" i="17"/>
  <c r="CM192" i="17"/>
  <c r="CM5" i="17"/>
  <c r="W12" i="12"/>
  <c r="CB6" i="17" s="1"/>
  <c r="W13" i="12"/>
  <c r="CB7" i="17" s="1"/>
  <c r="W14" i="12"/>
  <c r="CB8" i="17" s="1"/>
  <c r="W15" i="12"/>
  <c r="CB9" i="17" s="1"/>
  <c r="W16" i="12"/>
  <c r="CB10" i="17" s="1"/>
  <c r="W17" i="12"/>
  <c r="CB11" i="17" s="1"/>
  <c r="W18" i="12"/>
  <c r="CB12" i="17" s="1"/>
  <c r="W19" i="12"/>
  <c r="CB13" i="17" s="1"/>
  <c r="W20" i="12"/>
  <c r="CB14" i="17" s="1"/>
  <c r="W21" i="12"/>
  <c r="CB15" i="17" s="1"/>
  <c r="W22" i="12"/>
  <c r="CB16" i="17" s="1"/>
  <c r="W23" i="12"/>
  <c r="CB17" i="17" s="1"/>
  <c r="W24" i="12"/>
  <c r="CB18" i="17" s="1"/>
  <c r="W25" i="12"/>
  <c r="CB19" i="17" s="1"/>
  <c r="W26" i="12"/>
  <c r="CB20" i="17" s="1"/>
  <c r="W27" i="12"/>
  <c r="CB21" i="17" s="1"/>
  <c r="W28" i="12"/>
  <c r="CB22" i="17" s="1"/>
  <c r="W29" i="12"/>
  <c r="CB23" i="17" s="1"/>
  <c r="W30" i="12"/>
  <c r="CB24" i="17" s="1"/>
  <c r="W31" i="12"/>
  <c r="CB25" i="17" s="1"/>
  <c r="W32" i="12"/>
  <c r="W33" i="12"/>
  <c r="CB27" i="17" s="1"/>
  <c r="W34" i="12"/>
  <c r="CB28" i="17" s="1"/>
  <c r="W35" i="12"/>
  <c r="CB29" i="17" s="1"/>
  <c r="W36" i="12"/>
  <c r="CB30" i="17" s="1"/>
  <c r="W37" i="12"/>
  <c r="CB31" i="17" s="1"/>
  <c r="W38" i="12"/>
  <c r="CB32" i="17" s="1"/>
  <c r="W39" i="12"/>
  <c r="CB33" i="17" s="1"/>
  <c r="W40" i="12"/>
  <c r="CB34" i="17" s="1"/>
  <c r="W41" i="12"/>
  <c r="CB35" i="17" s="1"/>
  <c r="W42" i="12"/>
  <c r="CB36" i="17" s="1"/>
  <c r="W43" i="12"/>
  <c r="CB37" i="17" s="1"/>
  <c r="W44" i="12"/>
  <c r="CB38" i="17" s="1"/>
  <c r="W45" i="12"/>
  <c r="CB39" i="17" s="1"/>
  <c r="W46" i="12"/>
  <c r="CB40" i="17" s="1"/>
  <c r="W47" i="12"/>
  <c r="CB41" i="17" s="1"/>
  <c r="W48" i="12"/>
  <c r="CB42" i="17" s="1"/>
  <c r="W49" i="12"/>
  <c r="CB43" i="17" s="1"/>
  <c r="W50" i="12"/>
  <c r="CB44" i="17" s="1"/>
  <c r="W51" i="12"/>
  <c r="W52" i="12"/>
  <c r="CB45" i="17" s="1"/>
  <c r="W53" i="12"/>
  <c r="CB46" i="17" s="1"/>
  <c r="W54" i="12"/>
  <c r="CB47" i="17" s="1"/>
  <c r="W55" i="12"/>
  <c r="CB48" i="17" s="1"/>
  <c r="W56" i="12"/>
  <c r="CB49" i="17" s="1"/>
  <c r="W57" i="12"/>
  <c r="CB50" i="17" s="1"/>
  <c r="W58" i="12"/>
  <c r="CB51" i="17" s="1"/>
  <c r="W59" i="12"/>
  <c r="CB52" i="17" s="1"/>
  <c r="W60" i="12"/>
  <c r="CB53" i="17" s="1"/>
  <c r="W61" i="12"/>
  <c r="CB54" i="17" s="1"/>
  <c r="W62" i="12"/>
  <c r="CB55" i="17" s="1"/>
  <c r="W63" i="12"/>
  <c r="CB56" i="17" s="1"/>
  <c r="W64" i="12"/>
  <c r="CB57" i="17" s="1"/>
  <c r="W65" i="12"/>
  <c r="CB58" i="17" s="1"/>
  <c r="W66" i="12"/>
  <c r="CB116" i="17" s="1"/>
  <c r="W67" i="12"/>
  <c r="CB59" i="17" s="1"/>
  <c r="W68" i="12"/>
  <c r="CB60" i="17" s="1"/>
  <c r="W69" i="12"/>
  <c r="CB61" i="17" s="1"/>
  <c r="W70" i="12"/>
  <c r="CB62" i="17" s="1"/>
  <c r="W71" i="12"/>
  <c r="CB63" i="17" s="1"/>
  <c r="W72" i="12"/>
  <c r="CB64" i="17" s="1"/>
  <c r="W73" i="12"/>
  <c r="CB65" i="17" s="1"/>
  <c r="W74" i="12"/>
  <c r="CB66" i="17" s="1"/>
  <c r="W75" i="12"/>
  <c r="CB67" i="17" s="1"/>
  <c r="W76" i="12"/>
  <c r="CB68" i="17" s="1"/>
  <c r="W77" i="12"/>
  <c r="CB69" i="17" s="1"/>
  <c r="W78" i="12"/>
  <c r="CB70" i="17" s="1"/>
  <c r="W79" i="12"/>
  <c r="CB71" i="17" s="1"/>
  <c r="W80" i="12"/>
  <c r="CB72" i="17" s="1"/>
  <c r="W81" i="12"/>
  <c r="CB73" i="17" s="1"/>
  <c r="W82" i="12"/>
  <c r="CB74" i="17" s="1"/>
  <c r="W83" i="12"/>
  <c r="CB75" i="17" s="1"/>
  <c r="W84" i="12"/>
  <c r="CB76" i="17" s="1"/>
  <c r="W85" i="12"/>
  <c r="CB77" i="17" s="1"/>
  <c r="W86" i="12"/>
  <c r="CB78" i="17" s="1"/>
  <c r="W87" i="12"/>
  <c r="CB79" i="17" s="1"/>
  <c r="W88" i="12"/>
  <c r="CB80" i="17" s="1"/>
  <c r="W89" i="12"/>
  <c r="CB81" i="17" s="1"/>
  <c r="W90" i="12"/>
  <c r="CB82" i="17" s="1"/>
  <c r="W91" i="12"/>
  <c r="CB83" i="17" s="1"/>
  <c r="W92" i="12"/>
  <c r="CB84" i="17" s="1"/>
  <c r="W93" i="12"/>
  <c r="CB85" i="17" s="1"/>
  <c r="W94" i="12"/>
  <c r="CB86" i="17" s="1"/>
  <c r="W95" i="12"/>
  <c r="CB87" i="17" s="1"/>
  <c r="W96" i="12"/>
  <c r="CB88" i="17" s="1"/>
  <c r="W97" i="12"/>
  <c r="CB89" i="17" s="1"/>
  <c r="W98" i="12"/>
  <c r="CB90" i="17" s="1"/>
  <c r="W99" i="12"/>
  <c r="CB91" i="17" s="1"/>
  <c r="W100" i="12"/>
  <c r="CB92" i="17" s="1"/>
  <c r="W101" i="12"/>
  <c r="CB93" i="17" s="1"/>
  <c r="W102" i="12"/>
  <c r="CB94" i="17" s="1"/>
  <c r="W103" i="12"/>
  <c r="CB95" i="17" s="1"/>
  <c r="W104" i="12"/>
  <c r="CB96" i="17" s="1"/>
  <c r="W105" i="12"/>
  <c r="CB97" i="17" s="1"/>
  <c r="W106" i="12"/>
  <c r="CB98" i="17" s="1"/>
  <c r="W107" i="12"/>
  <c r="CB99" i="17" s="1"/>
  <c r="W108" i="12"/>
  <c r="CB100" i="17" s="1"/>
  <c r="W109" i="12"/>
  <c r="CB101" i="17" s="1"/>
  <c r="W110" i="12"/>
  <c r="CB102" i="17" s="1"/>
  <c r="W111" i="12"/>
  <c r="CB103" i="17" s="1"/>
  <c r="W112" i="12"/>
  <c r="CB104" i="17" s="1"/>
  <c r="W113" i="12"/>
  <c r="CB105" i="17" s="1"/>
  <c r="W114" i="12"/>
  <c r="CB106" i="17" s="1"/>
  <c r="W115" i="12"/>
  <c r="CB107" i="17" s="1"/>
  <c r="W116" i="12"/>
  <c r="CB108" i="17" s="1"/>
  <c r="W117" i="12"/>
  <c r="CB109" i="17" s="1"/>
  <c r="W118" i="12"/>
  <c r="CB110" i="17" s="1"/>
  <c r="W119" i="12"/>
  <c r="CB111" i="17" s="1"/>
  <c r="W120" i="12"/>
  <c r="CB112" i="17" s="1"/>
  <c r="W121" i="12"/>
  <c r="CB113" i="17" s="1"/>
  <c r="W122" i="12"/>
  <c r="CB114" i="17" s="1"/>
  <c r="W123" i="12"/>
  <c r="CB115" i="17" s="1"/>
  <c r="W124" i="12"/>
  <c r="CB117" i="17" s="1"/>
  <c r="W125" i="12"/>
  <c r="CB118" i="17" s="1"/>
  <c r="W126" i="12"/>
  <c r="CB119" i="17" s="1"/>
  <c r="W127" i="12"/>
  <c r="CB120" i="17" s="1"/>
  <c r="W128" i="12"/>
  <c r="CB121" i="17" s="1"/>
  <c r="W129" i="12"/>
  <c r="CB122" i="17" s="1"/>
  <c r="W130" i="12"/>
  <c r="CB123" i="17" s="1"/>
  <c r="W131" i="12"/>
  <c r="CB124" i="17" s="1"/>
  <c r="W132" i="12"/>
  <c r="CB125" i="17" s="1"/>
  <c r="W133" i="12"/>
  <c r="CB126" i="17" s="1"/>
  <c r="W134" i="12"/>
  <c r="CB127" i="17" s="1"/>
  <c r="W135" i="12"/>
  <c r="CB128" i="17" s="1"/>
  <c r="W136" i="12"/>
  <c r="CB129" i="17" s="1"/>
  <c r="W137" i="12"/>
  <c r="CB130" i="17" s="1"/>
  <c r="W138" i="12"/>
  <c r="CB131" i="17" s="1"/>
  <c r="W139" i="12"/>
  <c r="CB132" i="17" s="1"/>
  <c r="W140" i="12"/>
  <c r="W141" i="12"/>
  <c r="CB133" i="17" s="1"/>
  <c r="W142" i="12"/>
  <c r="CB134" i="17" s="1"/>
  <c r="W143" i="12"/>
  <c r="CB135" i="17" s="1"/>
  <c r="W144" i="12"/>
  <c r="CB136" i="17" s="1"/>
  <c r="W145" i="12"/>
  <c r="CB137" i="17" s="1"/>
  <c r="W146" i="12"/>
  <c r="CB138" i="17" s="1"/>
  <c r="W147" i="12"/>
  <c r="CB139" i="17" s="1"/>
  <c r="W148" i="12"/>
  <c r="CB140" i="17" s="1"/>
  <c r="W149" i="12"/>
  <c r="CB141" i="17" s="1"/>
  <c r="W150" i="12"/>
  <c r="CB142" i="17" s="1"/>
  <c r="W151" i="12"/>
  <c r="CB143" i="17" s="1"/>
  <c r="W152" i="12"/>
  <c r="CB144" i="17" s="1"/>
  <c r="W153" i="12"/>
  <c r="CB145" i="17" s="1"/>
  <c r="W154" i="12"/>
  <c r="CB146" i="17" s="1"/>
  <c r="W155" i="12"/>
  <c r="CB147" i="17" s="1"/>
  <c r="W156" i="12"/>
  <c r="CB148" i="17" s="1"/>
  <c r="W157" i="12"/>
  <c r="CB149" i="17" s="1"/>
  <c r="W158" i="12"/>
  <c r="CB150" i="17" s="1"/>
  <c r="W159" i="12"/>
  <c r="CB151" i="17" s="1"/>
  <c r="W160" i="12"/>
  <c r="W161" i="12"/>
  <c r="CB152" i="17" s="1"/>
  <c r="W162" i="12"/>
  <c r="CB153" i="17" s="1"/>
  <c r="W163" i="12"/>
  <c r="CB154" i="17" s="1"/>
  <c r="W164" i="12"/>
  <c r="CB155" i="17" s="1"/>
  <c r="W165" i="12"/>
  <c r="CB156" i="17" s="1"/>
  <c r="W166" i="12"/>
  <c r="CB157" i="17" s="1"/>
  <c r="W167" i="12"/>
  <c r="CB158" i="17" s="1"/>
  <c r="W168" i="12"/>
  <c r="CB159" i="17" s="1"/>
  <c r="W169" i="12"/>
  <c r="CB160" i="17" s="1"/>
  <c r="W170" i="12"/>
  <c r="CB161" i="17" s="1"/>
  <c r="W171" i="12"/>
  <c r="CB162" i="17" s="1"/>
  <c r="W172" i="12"/>
  <c r="CB163" i="17" s="1"/>
  <c r="W173" i="12"/>
  <c r="CB164" i="17" s="1"/>
  <c r="W174" i="12"/>
  <c r="CB165" i="17" s="1"/>
  <c r="W175" i="12"/>
  <c r="CB166" i="17" s="1"/>
  <c r="W176" i="12"/>
  <c r="CB167" i="17" s="1"/>
  <c r="W177" i="12"/>
  <c r="CB168" i="17" s="1"/>
  <c r="W178" i="12"/>
  <c r="CB169" i="17" s="1"/>
  <c r="W179" i="12"/>
  <c r="CB170" i="17" s="1"/>
  <c r="W180" i="12"/>
  <c r="CB171" i="17" s="1"/>
  <c r="W181" i="12"/>
  <c r="CB172" i="17" s="1"/>
  <c r="W182" i="12"/>
  <c r="CB173" i="17" s="1"/>
  <c r="W183" i="12"/>
  <c r="CB174" i="17" s="1"/>
  <c r="W184" i="12"/>
  <c r="CB175" i="17" s="1"/>
  <c r="W185" i="12"/>
  <c r="CB176" i="17" s="1"/>
  <c r="W186" i="12"/>
  <c r="CB177" i="17" s="1"/>
  <c r="W187" i="12"/>
  <c r="CB178" i="17" s="1"/>
  <c r="W188" i="12"/>
  <c r="CB179" i="17" s="1"/>
  <c r="W189" i="12"/>
  <c r="CB180" i="17" s="1"/>
  <c r="W190" i="12"/>
  <c r="CB181" i="17" s="1"/>
  <c r="W191" i="12"/>
  <c r="CB182" i="17" s="1"/>
  <c r="W192" i="12"/>
  <c r="CB183" i="17" s="1"/>
  <c r="W193" i="12"/>
  <c r="CB184" i="17" s="1"/>
  <c r="W194" i="12"/>
  <c r="CB185" i="17" s="1"/>
  <c r="W195" i="12"/>
  <c r="CB186" i="17" s="1"/>
  <c r="W196" i="12"/>
  <c r="CB187" i="17" s="1"/>
  <c r="W197" i="12"/>
  <c r="CB188" i="17" s="1"/>
  <c r="W198" i="12"/>
  <c r="CB189" i="17" s="1"/>
  <c r="W199" i="12"/>
  <c r="CB190" i="17" s="1"/>
  <c r="W200" i="12"/>
  <c r="CB191" i="17" s="1"/>
  <c r="W201" i="12"/>
  <c r="CB192" i="17" s="1"/>
  <c r="W11" i="12"/>
  <c r="CB5" i="17" s="1"/>
  <c r="Y12" i="12"/>
  <c r="CD6" i="17" s="1"/>
  <c r="Y13" i="12"/>
  <c r="CD7" i="17" s="1"/>
  <c r="Y14" i="12"/>
  <c r="CD8" i="17" s="1"/>
  <c r="Y15" i="12"/>
  <c r="CD9" i="17" s="1"/>
  <c r="Y16" i="12"/>
  <c r="CD10" i="17" s="1"/>
  <c r="Y17" i="12"/>
  <c r="CD11" i="17" s="1"/>
  <c r="Y18" i="12"/>
  <c r="CD12" i="17" s="1"/>
  <c r="Y19" i="12"/>
  <c r="CD13" i="17" s="1"/>
  <c r="Y20" i="12"/>
  <c r="CD14" i="17" s="1"/>
  <c r="Y21" i="12"/>
  <c r="CD15" i="17" s="1"/>
  <c r="Y22" i="12"/>
  <c r="CD16" i="17" s="1"/>
  <c r="Y23" i="12"/>
  <c r="CD17" i="17" s="1"/>
  <c r="Y24" i="12"/>
  <c r="CD18" i="17" s="1"/>
  <c r="Y25" i="12"/>
  <c r="CD19" i="17" s="1"/>
  <c r="Y26" i="12"/>
  <c r="CD20" i="17" s="1"/>
  <c r="Y27" i="12"/>
  <c r="CD21" i="17" s="1"/>
  <c r="Y28" i="12"/>
  <c r="CD22" i="17" s="1"/>
  <c r="Y29" i="12"/>
  <c r="CD23" i="17" s="1"/>
  <c r="Y30" i="12"/>
  <c r="CD24" i="17" s="1"/>
  <c r="Y31" i="12"/>
  <c r="CD25" i="17" s="1"/>
  <c r="Y33" i="12"/>
  <c r="CD27" i="17" s="1"/>
  <c r="Y34" i="12"/>
  <c r="CD28" i="17" s="1"/>
  <c r="Y35" i="12"/>
  <c r="CD29" i="17" s="1"/>
  <c r="Y36" i="12"/>
  <c r="CD30" i="17" s="1"/>
  <c r="Y37" i="12"/>
  <c r="CD31" i="17" s="1"/>
  <c r="Y38" i="12"/>
  <c r="CD32" i="17" s="1"/>
  <c r="Y39" i="12"/>
  <c r="CD33" i="17" s="1"/>
  <c r="Y40" i="12"/>
  <c r="CD34" i="17" s="1"/>
  <c r="Y41" i="12"/>
  <c r="CD35" i="17" s="1"/>
  <c r="Y42" i="12"/>
  <c r="CD36" i="17" s="1"/>
  <c r="Y43" i="12"/>
  <c r="CD37" i="17" s="1"/>
  <c r="Y44" i="12"/>
  <c r="CD38" i="17" s="1"/>
  <c r="Y45" i="12"/>
  <c r="CD39" i="17" s="1"/>
  <c r="Y46" i="12"/>
  <c r="CD40" i="17" s="1"/>
  <c r="Y47" i="12"/>
  <c r="CD41" i="17" s="1"/>
  <c r="Y48" i="12"/>
  <c r="CD42" i="17" s="1"/>
  <c r="Y49" i="12"/>
  <c r="CD43" i="17" s="1"/>
  <c r="Y50" i="12"/>
  <c r="CD44" i="17" s="1"/>
  <c r="Y51" i="12"/>
  <c r="Y52" i="12"/>
  <c r="CD45" i="17" s="1"/>
  <c r="Y53" i="12"/>
  <c r="CD46" i="17" s="1"/>
  <c r="Y54" i="12"/>
  <c r="CD47" i="17" s="1"/>
  <c r="Y55" i="12"/>
  <c r="CD48" i="17" s="1"/>
  <c r="Y56" i="12"/>
  <c r="CD49" i="17" s="1"/>
  <c r="Y57" i="12"/>
  <c r="CD50" i="17" s="1"/>
  <c r="Y58" i="12"/>
  <c r="CD51" i="17" s="1"/>
  <c r="Y59" i="12"/>
  <c r="CD52" i="17" s="1"/>
  <c r="Y60" i="12"/>
  <c r="CD53" i="17" s="1"/>
  <c r="Y61" i="12"/>
  <c r="CD54" i="17" s="1"/>
  <c r="Y62" i="12"/>
  <c r="CD55" i="17" s="1"/>
  <c r="Y63" i="12"/>
  <c r="CD56" i="17" s="1"/>
  <c r="Y64" i="12"/>
  <c r="CD57" i="17" s="1"/>
  <c r="Y65" i="12"/>
  <c r="CD58" i="17" s="1"/>
  <c r="Y66" i="12"/>
  <c r="CD116" i="17" s="1"/>
  <c r="Y67" i="12"/>
  <c r="CD59" i="17" s="1"/>
  <c r="Y68" i="12"/>
  <c r="CD60" i="17" s="1"/>
  <c r="Y69" i="12"/>
  <c r="CD61" i="17" s="1"/>
  <c r="Y70" i="12"/>
  <c r="CD62" i="17" s="1"/>
  <c r="Y71" i="12"/>
  <c r="CD63" i="17" s="1"/>
  <c r="Y72" i="12"/>
  <c r="CD64" i="17" s="1"/>
  <c r="Y73" i="12"/>
  <c r="CD65" i="17" s="1"/>
  <c r="Y74" i="12"/>
  <c r="CD66" i="17" s="1"/>
  <c r="Y75" i="12"/>
  <c r="CD67" i="17" s="1"/>
  <c r="Y76" i="12"/>
  <c r="CD68" i="17" s="1"/>
  <c r="Y77" i="12"/>
  <c r="CD69" i="17" s="1"/>
  <c r="Y78" i="12"/>
  <c r="CD70" i="17" s="1"/>
  <c r="Y79" i="12"/>
  <c r="CD71" i="17" s="1"/>
  <c r="Y80" i="12"/>
  <c r="CD72" i="17" s="1"/>
  <c r="Y81" i="12"/>
  <c r="CD73" i="17" s="1"/>
  <c r="Y82" i="12"/>
  <c r="CD74" i="17" s="1"/>
  <c r="Y83" i="12"/>
  <c r="CD75" i="17" s="1"/>
  <c r="Y84" i="12"/>
  <c r="CD76" i="17" s="1"/>
  <c r="Y85" i="12"/>
  <c r="CD77" i="17" s="1"/>
  <c r="Y86" i="12"/>
  <c r="CD78" i="17" s="1"/>
  <c r="Y87" i="12"/>
  <c r="CD79" i="17" s="1"/>
  <c r="Y88" i="12"/>
  <c r="CD80" i="17" s="1"/>
  <c r="Y89" i="12"/>
  <c r="CD81" i="17" s="1"/>
  <c r="Y90" i="12"/>
  <c r="CD82" i="17" s="1"/>
  <c r="Y91" i="12"/>
  <c r="CD83" i="17" s="1"/>
  <c r="Y92" i="12"/>
  <c r="CD84" i="17" s="1"/>
  <c r="Y93" i="12"/>
  <c r="CD85" i="17" s="1"/>
  <c r="Y94" i="12"/>
  <c r="CD86" i="17" s="1"/>
  <c r="Y95" i="12"/>
  <c r="CD87" i="17" s="1"/>
  <c r="Y96" i="12"/>
  <c r="CD88" i="17" s="1"/>
  <c r="Y97" i="12"/>
  <c r="CD89" i="17" s="1"/>
  <c r="Y98" i="12"/>
  <c r="CD90" i="17" s="1"/>
  <c r="Y99" i="12"/>
  <c r="CD91" i="17" s="1"/>
  <c r="Y100" i="12"/>
  <c r="CD92" i="17" s="1"/>
  <c r="Y101" i="12"/>
  <c r="CD93" i="17" s="1"/>
  <c r="Y102" i="12"/>
  <c r="CD94" i="17" s="1"/>
  <c r="Y103" i="12"/>
  <c r="CD95" i="17" s="1"/>
  <c r="Y104" i="12"/>
  <c r="CD96" i="17" s="1"/>
  <c r="Y105" i="12"/>
  <c r="CD97" i="17" s="1"/>
  <c r="Y106" i="12"/>
  <c r="CD98" i="17" s="1"/>
  <c r="Y107" i="12"/>
  <c r="CD99" i="17" s="1"/>
  <c r="Y108" i="12"/>
  <c r="CD100" i="17" s="1"/>
  <c r="Y109" i="12"/>
  <c r="CD101" i="17" s="1"/>
  <c r="Y110" i="12"/>
  <c r="CD102" i="17" s="1"/>
  <c r="Y111" i="12"/>
  <c r="CD103" i="17" s="1"/>
  <c r="Y112" i="12"/>
  <c r="CD104" i="17" s="1"/>
  <c r="Y113" i="12"/>
  <c r="CD105" i="17" s="1"/>
  <c r="Y114" i="12"/>
  <c r="CD106" i="17" s="1"/>
  <c r="Y115" i="12"/>
  <c r="CD107" i="17" s="1"/>
  <c r="Y116" i="12"/>
  <c r="CD108" i="17" s="1"/>
  <c r="Y117" i="12"/>
  <c r="CD109" i="17" s="1"/>
  <c r="Y118" i="12"/>
  <c r="CD110" i="17" s="1"/>
  <c r="Y119" i="12"/>
  <c r="CD111" i="17" s="1"/>
  <c r="Y120" i="12"/>
  <c r="CD112" i="17" s="1"/>
  <c r="Y121" i="12"/>
  <c r="CD113" i="17" s="1"/>
  <c r="Y122" i="12"/>
  <c r="CD114" i="17" s="1"/>
  <c r="Y123" i="12"/>
  <c r="CD115" i="17" s="1"/>
  <c r="Y124" i="12"/>
  <c r="CD117" i="17" s="1"/>
  <c r="Y125" i="12"/>
  <c r="CD118" i="17" s="1"/>
  <c r="Y126" i="12"/>
  <c r="CD119" i="17" s="1"/>
  <c r="Y127" i="12"/>
  <c r="CD120" i="17" s="1"/>
  <c r="Y128" i="12"/>
  <c r="CD121" i="17" s="1"/>
  <c r="Y129" i="12"/>
  <c r="CD122" i="17" s="1"/>
  <c r="Y130" i="12"/>
  <c r="CD123" i="17" s="1"/>
  <c r="Y131" i="12"/>
  <c r="CD124" i="17" s="1"/>
  <c r="Y132" i="12"/>
  <c r="CD125" i="17" s="1"/>
  <c r="Y133" i="12"/>
  <c r="CD126" i="17" s="1"/>
  <c r="Y134" i="12"/>
  <c r="CD127" i="17" s="1"/>
  <c r="Y135" i="12"/>
  <c r="CD128" i="17" s="1"/>
  <c r="Y136" i="12"/>
  <c r="CD129" i="17" s="1"/>
  <c r="Y137" i="12"/>
  <c r="CD130" i="17" s="1"/>
  <c r="Y138" i="12"/>
  <c r="CD131" i="17" s="1"/>
  <c r="Y139" i="12"/>
  <c r="CD132" i="17" s="1"/>
  <c r="Y140" i="12"/>
  <c r="Y141" i="12"/>
  <c r="CD133" i="17" s="1"/>
  <c r="Y142" i="12"/>
  <c r="CD134" i="17" s="1"/>
  <c r="Y143" i="12"/>
  <c r="CD135" i="17" s="1"/>
  <c r="Y144" i="12"/>
  <c r="CD136" i="17" s="1"/>
  <c r="Y145" i="12"/>
  <c r="CD137" i="17" s="1"/>
  <c r="Y146" i="12"/>
  <c r="CD138" i="17" s="1"/>
  <c r="Y147" i="12"/>
  <c r="CD139" i="17" s="1"/>
  <c r="Y148" i="12"/>
  <c r="CD140" i="17" s="1"/>
  <c r="Y149" i="12"/>
  <c r="CD141" i="17" s="1"/>
  <c r="Y150" i="12"/>
  <c r="CD142" i="17" s="1"/>
  <c r="Y151" i="12"/>
  <c r="CD143" i="17" s="1"/>
  <c r="Y152" i="12"/>
  <c r="CD144" i="17" s="1"/>
  <c r="Y153" i="12"/>
  <c r="CD145" i="17" s="1"/>
  <c r="Y154" i="12"/>
  <c r="CD146" i="17" s="1"/>
  <c r="Y155" i="12"/>
  <c r="CD147" i="17" s="1"/>
  <c r="Y156" i="12"/>
  <c r="CD148" i="17" s="1"/>
  <c r="Y157" i="12"/>
  <c r="CD149" i="17" s="1"/>
  <c r="Y158" i="12"/>
  <c r="CD150" i="17" s="1"/>
  <c r="Y159" i="12"/>
  <c r="CD151" i="17" s="1"/>
  <c r="Y160" i="12"/>
  <c r="Y161" i="12"/>
  <c r="CD152" i="17" s="1"/>
  <c r="Y162" i="12"/>
  <c r="CD153" i="17" s="1"/>
  <c r="Y163" i="12"/>
  <c r="CD154" i="17" s="1"/>
  <c r="Y164" i="12"/>
  <c r="CD155" i="17" s="1"/>
  <c r="Y165" i="12"/>
  <c r="CD156" i="17" s="1"/>
  <c r="Y166" i="12"/>
  <c r="CD157" i="17" s="1"/>
  <c r="Y167" i="12"/>
  <c r="CD158" i="17" s="1"/>
  <c r="Y168" i="12"/>
  <c r="CD159" i="17" s="1"/>
  <c r="Y169" i="12"/>
  <c r="CD160" i="17" s="1"/>
  <c r="Y170" i="12"/>
  <c r="CD161" i="17" s="1"/>
  <c r="Y171" i="12"/>
  <c r="CD162" i="17" s="1"/>
  <c r="Y172" i="12"/>
  <c r="CD163" i="17" s="1"/>
  <c r="Y173" i="12"/>
  <c r="CD164" i="17" s="1"/>
  <c r="Y174" i="12"/>
  <c r="CD165" i="17" s="1"/>
  <c r="Y175" i="12"/>
  <c r="CD166" i="17" s="1"/>
  <c r="Y176" i="12"/>
  <c r="CD167" i="17" s="1"/>
  <c r="Y177" i="12"/>
  <c r="CD168" i="17" s="1"/>
  <c r="Y178" i="12"/>
  <c r="CD169" i="17" s="1"/>
  <c r="Y179" i="12"/>
  <c r="CD170" i="17" s="1"/>
  <c r="Y180" i="12"/>
  <c r="CD171" i="17" s="1"/>
  <c r="Y181" i="12"/>
  <c r="CD172" i="17" s="1"/>
  <c r="Y182" i="12"/>
  <c r="CD173" i="17" s="1"/>
  <c r="Y183" i="12"/>
  <c r="CD174" i="17" s="1"/>
  <c r="Y184" i="12"/>
  <c r="CD175" i="17" s="1"/>
  <c r="Y185" i="12"/>
  <c r="CD176" i="17" s="1"/>
  <c r="Y186" i="12"/>
  <c r="CD177" i="17" s="1"/>
  <c r="Y187" i="12"/>
  <c r="CD178" i="17" s="1"/>
  <c r="Y188" i="12"/>
  <c r="CD179" i="17" s="1"/>
  <c r="Y189" i="12"/>
  <c r="CD180" i="17" s="1"/>
  <c r="Y190" i="12"/>
  <c r="CD181" i="17" s="1"/>
  <c r="Y191" i="12"/>
  <c r="CD182" i="17" s="1"/>
  <c r="Y192" i="12"/>
  <c r="CD183" i="17" s="1"/>
  <c r="Y193" i="12"/>
  <c r="CD184" i="17" s="1"/>
  <c r="Y194" i="12"/>
  <c r="CD185" i="17" s="1"/>
  <c r="Y195" i="12"/>
  <c r="CD186" i="17" s="1"/>
  <c r="Y196" i="12"/>
  <c r="CD187" i="17" s="1"/>
  <c r="Y197" i="12"/>
  <c r="CD188" i="17" s="1"/>
  <c r="Y198" i="12"/>
  <c r="CD189" i="17" s="1"/>
  <c r="Y199" i="12"/>
  <c r="CD190" i="17" s="1"/>
  <c r="Y200" i="12"/>
  <c r="CD191" i="17" s="1"/>
  <c r="Y201" i="12"/>
  <c r="CD192" i="17" s="1"/>
  <c r="Y11" i="12"/>
  <c r="CD5" i="17" s="1"/>
  <c r="S202" i="12"/>
  <c r="S201" i="12"/>
  <c r="DO192" i="17" s="1"/>
  <c r="S200" i="12"/>
  <c r="S199" i="12"/>
  <c r="DO190" i="17" s="1"/>
  <c r="S198" i="12"/>
  <c r="DO189" i="17" s="1"/>
  <c r="S197" i="12"/>
  <c r="DO188" i="17" s="1"/>
  <c r="S196" i="12"/>
  <c r="DO187" i="17" s="1"/>
  <c r="S195" i="12"/>
  <c r="DO186" i="17" s="1"/>
  <c r="S194" i="12"/>
  <c r="S193" i="12"/>
  <c r="S192" i="12"/>
  <c r="S191" i="12"/>
  <c r="DO182" i="17" s="1"/>
  <c r="S190" i="12"/>
  <c r="S189" i="12"/>
  <c r="S188" i="12"/>
  <c r="S187" i="12"/>
  <c r="S186" i="12"/>
  <c r="S185" i="12"/>
  <c r="S184" i="12"/>
  <c r="DO175" i="17" s="1"/>
  <c r="S183" i="12"/>
  <c r="S182" i="12"/>
  <c r="S181" i="12"/>
  <c r="DO172" i="17" s="1"/>
  <c r="S180" i="12"/>
  <c r="S179" i="12"/>
  <c r="S178" i="12"/>
  <c r="S177" i="12"/>
  <c r="S176" i="12"/>
  <c r="DO167" i="17" s="1"/>
  <c r="S175" i="12"/>
  <c r="S174" i="12"/>
  <c r="S173" i="12"/>
  <c r="DO164" i="17" s="1"/>
  <c r="S172" i="12"/>
  <c r="S171" i="12"/>
  <c r="S170" i="12"/>
  <c r="S169" i="12"/>
  <c r="S168" i="12"/>
  <c r="DO159" i="17" s="1"/>
  <c r="S167" i="12"/>
  <c r="DO158" i="17" s="1"/>
  <c r="S166" i="12"/>
  <c r="S165" i="12"/>
  <c r="DO156" i="17" s="1"/>
  <c r="S164" i="12"/>
  <c r="DO155" i="17" s="1"/>
  <c r="S163" i="12"/>
  <c r="DO154" i="17" s="1"/>
  <c r="S162" i="12"/>
  <c r="S161" i="12"/>
  <c r="S160" i="12"/>
  <c r="S159" i="12"/>
  <c r="DO151" i="17" s="1"/>
  <c r="S158" i="12"/>
  <c r="DO150" i="17" s="1"/>
  <c r="S157" i="12"/>
  <c r="S156" i="12"/>
  <c r="S155" i="12"/>
  <c r="DO147" i="17" s="1"/>
  <c r="S154" i="12"/>
  <c r="S153" i="12"/>
  <c r="S152" i="12"/>
  <c r="DO144" i="17" s="1"/>
  <c r="S151" i="12"/>
  <c r="DO143" i="17" s="1"/>
  <c r="S150" i="12"/>
  <c r="DO142" i="17" s="1"/>
  <c r="S149" i="12"/>
  <c r="S148" i="12"/>
  <c r="DO140" i="17" s="1"/>
  <c r="S147" i="12"/>
  <c r="S146" i="12"/>
  <c r="DO138" i="17" s="1"/>
  <c r="S145" i="12"/>
  <c r="DO137" i="17" s="1"/>
  <c r="S144" i="12"/>
  <c r="DO136" i="17" s="1"/>
  <c r="S143" i="12"/>
  <c r="DO135" i="17" s="1"/>
  <c r="S142" i="12"/>
  <c r="DO134" i="17" s="1"/>
  <c r="S141" i="12"/>
  <c r="S140" i="12"/>
  <c r="S139" i="12"/>
  <c r="DO132" i="17" s="1"/>
  <c r="S138" i="12"/>
  <c r="DO131" i="17" s="1"/>
  <c r="S137" i="12"/>
  <c r="S136" i="12"/>
  <c r="S135" i="12"/>
  <c r="DO128" i="17" s="1"/>
  <c r="S134" i="12"/>
  <c r="S133" i="12"/>
  <c r="S132" i="12"/>
  <c r="DO125" i="17" s="1"/>
  <c r="S131" i="12"/>
  <c r="S130" i="12"/>
  <c r="S129" i="12"/>
  <c r="S128" i="12"/>
  <c r="S127" i="12"/>
  <c r="S126" i="12"/>
  <c r="S125" i="12"/>
  <c r="S124" i="12"/>
  <c r="DO117" i="17" s="1"/>
  <c r="S123" i="12"/>
  <c r="DO115" i="17" s="1"/>
  <c r="S122" i="12"/>
  <c r="DO114" i="17" s="1"/>
  <c r="S121" i="12"/>
  <c r="DO113" i="17" s="1"/>
  <c r="S120" i="12"/>
  <c r="DO112" i="17" s="1"/>
  <c r="S119" i="12"/>
  <c r="DO111" i="17" s="1"/>
  <c r="S118" i="12"/>
  <c r="DO110" i="17" s="1"/>
  <c r="S117" i="12"/>
  <c r="DO109" i="17" s="1"/>
  <c r="S116" i="12"/>
  <c r="S115" i="12"/>
  <c r="DO107" i="17" s="1"/>
  <c r="S114" i="12"/>
  <c r="DO106" i="17" s="1"/>
  <c r="S113" i="12"/>
  <c r="DO105" i="17" s="1"/>
  <c r="S112" i="12"/>
  <c r="S111" i="12"/>
  <c r="DO103" i="17" s="1"/>
  <c r="S110" i="12"/>
  <c r="DO102" i="17" s="1"/>
  <c r="S109" i="12"/>
  <c r="S108" i="12"/>
  <c r="S107" i="12"/>
  <c r="DO99" i="17" s="1"/>
  <c r="S106" i="12"/>
  <c r="DO98" i="17" s="1"/>
  <c r="S105" i="12"/>
  <c r="S104" i="12"/>
  <c r="DO96" i="17" s="1"/>
  <c r="S103" i="12"/>
  <c r="S102" i="12"/>
  <c r="S101" i="12"/>
  <c r="DO93" i="17" s="1"/>
  <c r="S100" i="12"/>
  <c r="S99" i="12"/>
  <c r="DO91" i="17" s="1"/>
  <c r="S98" i="12"/>
  <c r="DO90" i="17" s="1"/>
  <c r="S97" i="12"/>
  <c r="DO89" i="17" s="1"/>
  <c r="S96" i="12"/>
  <c r="S95" i="12"/>
  <c r="DO87" i="17" s="1"/>
  <c r="S94" i="12"/>
  <c r="DO86" i="17" s="1"/>
  <c r="S93" i="12"/>
  <c r="DO85" i="17" s="1"/>
  <c r="S92" i="12"/>
  <c r="DO84" i="17" s="1"/>
  <c r="S91" i="12"/>
  <c r="S90" i="12"/>
  <c r="DO82" i="17" s="1"/>
  <c r="S89" i="12"/>
  <c r="DO81" i="17" s="1"/>
  <c r="S88" i="12"/>
  <c r="DO80" i="17" s="1"/>
  <c r="S87" i="12"/>
  <c r="DO79" i="17" s="1"/>
  <c r="S86" i="12"/>
  <c r="S85" i="12"/>
  <c r="DO77" i="17" s="1"/>
  <c r="S84" i="12"/>
  <c r="DO76" i="17" s="1"/>
  <c r="S83" i="12"/>
  <c r="S82" i="12"/>
  <c r="DO74" i="17" s="1"/>
  <c r="S81" i="12"/>
  <c r="DO73" i="17" s="1"/>
  <c r="S80" i="12"/>
  <c r="DO72" i="17" s="1"/>
  <c r="S79" i="12"/>
  <c r="S78" i="12"/>
  <c r="DO70" i="17" s="1"/>
  <c r="S77" i="12"/>
  <c r="DO69" i="17" s="1"/>
  <c r="S76" i="12"/>
  <c r="DO68" i="17" s="1"/>
  <c r="S75" i="12"/>
  <c r="S74" i="12"/>
  <c r="DO66" i="17" s="1"/>
  <c r="S73" i="12"/>
  <c r="DO65" i="17" s="1"/>
  <c r="S72" i="12"/>
  <c r="DO64" i="17" s="1"/>
  <c r="S71" i="12"/>
  <c r="DO63" i="17" s="1"/>
  <c r="S70" i="12"/>
  <c r="DO62" i="17" s="1"/>
  <c r="S69" i="12"/>
  <c r="DO61" i="17" s="1"/>
  <c r="S68" i="12"/>
  <c r="DO60" i="17" s="1"/>
  <c r="S67" i="12"/>
  <c r="DO59" i="17" s="1"/>
  <c r="S66" i="12"/>
  <c r="DO116" i="17" s="1"/>
  <c r="S65" i="12"/>
  <c r="DO58" i="17" s="1"/>
  <c r="S64" i="12"/>
  <c r="DO57" i="17" s="1"/>
  <c r="S63" i="12"/>
  <c r="S62" i="12"/>
  <c r="S61" i="12"/>
  <c r="DO54" i="17" s="1"/>
  <c r="S60" i="12"/>
  <c r="DO53" i="17" s="1"/>
  <c r="S59" i="12"/>
  <c r="DO52" i="17" s="1"/>
  <c r="S58" i="12"/>
  <c r="DO51" i="17" s="1"/>
  <c r="S57" i="12"/>
  <c r="DO50" i="17" s="1"/>
  <c r="S56" i="12"/>
  <c r="S55" i="12"/>
  <c r="S54" i="12"/>
  <c r="DO47" i="17" s="1"/>
  <c r="S53" i="12"/>
  <c r="S52" i="12"/>
  <c r="DO45" i="17" s="1"/>
  <c r="S51" i="12"/>
  <c r="S50" i="12"/>
  <c r="DO44" i="17" s="1"/>
  <c r="S49" i="12"/>
  <c r="DO43" i="17" s="1"/>
  <c r="S48" i="12"/>
  <c r="S47" i="12"/>
  <c r="DO41" i="17" s="1"/>
  <c r="S46" i="12"/>
  <c r="DO40" i="17" s="1"/>
  <c r="S45" i="12"/>
  <c r="DO39" i="17" s="1"/>
  <c r="S44" i="12"/>
  <c r="S43" i="12"/>
  <c r="S42" i="12"/>
  <c r="S41" i="12"/>
  <c r="S40" i="12"/>
  <c r="S39" i="12"/>
  <c r="S38" i="12"/>
  <c r="DO32" i="17" s="1"/>
  <c r="S37" i="12"/>
  <c r="S36" i="12"/>
  <c r="S35" i="12"/>
  <c r="S34" i="12"/>
  <c r="S33" i="12"/>
  <c r="S32" i="12"/>
  <c r="S31" i="12"/>
  <c r="S30" i="12"/>
  <c r="S29" i="12"/>
  <c r="S28" i="12"/>
  <c r="S27" i="12"/>
  <c r="S26" i="12"/>
  <c r="S25" i="12"/>
  <c r="S24" i="12"/>
  <c r="S23" i="12"/>
  <c r="S22" i="12"/>
  <c r="S21" i="12"/>
  <c r="S20" i="12"/>
  <c r="S19" i="12"/>
  <c r="S18" i="12"/>
  <c r="S17" i="12"/>
  <c r="S16" i="12"/>
  <c r="S15" i="12"/>
  <c r="S14" i="12"/>
  <c r="S13" i="12"/>
  <c r="S12" i="12"/>
  <c r="S11" i="12"/>
  <c r="X12" i="12"/>
  <c r="CC6" i="17" s="1"/>
  <c r="Z12" i="12"/>
  <c r="CE6" i="17" s="1"/>
  <c r="DB6" i="17" s="1"/>
  <c r="DP6" i="17" s="1"/>
  <c r="CF6" i="17"/>
  <c r="AB12" i="12"/>
  <c r="AC12" i="12"/>
  <c r="AD12" i="12"/>
  <c r="X13" i="12"/>
  <c r="CC7" i="17" s="1"/>
  <c r="Z13" i="12"/>
  <c r="CE7" i="17" s="1"/>
  <c r="DB7" i="17" s="1"/>
  <c r="DP7" i="17" s="1"/>
  <c r="CF7" i="17"/>
  <c r="AB13" i="12"/>
  <c r="AC13" i="12"/>
  <c r="AD13" i="12"/>
  <c r="X14" i="12"/>
  <c r="CC8" i="17" s="1"/>
  <c r="Z14" i="12"/>
  <c r="CE8" i="17" s="1"/>
  <c r="DB8" i="17" s="1"/>
  <c r="DP8" i="17" s="1"/>
  <c r="CF8" i="17"/>
  <c r="AB14" i="12"/>
  <c r="AC14" i="12"/>
  <c r="AD14" i="12"/>
  <c r="X15" i="12"/>
  <c r="CC9" i="17" s="1"/>
  <c r="Z15" i="12"/>
  <c r="CE9" i="17" s="1"/>
  <c r="DB9" i="17" s="1"/>
  <c r="DP9" i="17" s="1"/>
  <c r="CF9" i="17"/>
  <c r="AB15" i="12"/>
  <c r="AC15" i="12"/>
  <c r="AD15" i="12"/>
  <c r="X16" i="12"/>
  <c r="CC10" i="17" s="1"/>
  <c r="Z16" i="12"/>
  <c r="CE10" i="17" s="1"/>
  <c r="DB10" i="17" s="1"/>
  <c r="DP10" i="17" s="1"/>
  <c r="CF10" i="17"/>
  <c r="AB16" i="12"/>
  <c r="AC16" i="12"/>
  <c r="AD16" i="12"/>
  <c r="X17" i="12"/>
  <c r="CC11" i="17" s="1"/>
  <c r="Z17" i="12"/>
  <c r="CE11" i="17" s="1"/>
  <c r="DB11" i="17" s="1"/>
  <c r="DP11" i="17" s="1"/>
  <c r="CF11" i="17"/>
  <c r="AB17" i="12"/>
  <c r="AC17" i="12"/>
  <c r="AD17" i="12"/>
  <c r="X18" i="12"/>
  <c r="CC12" i="17" s="1"/>
  <c r="Z18" i="12"/>
  <c r="CE12" i="17" s="1"/>
  <c r="DB12" i="17" s="1"/>
  <c r="DP12" i="17" s="1"/>
  <c r="CF12" i="17"/>
  <c r="AB18" i="12"/>
  <c r="AC18" i="12"/>
  <c r="AD18" i="12"/>
  <c r="X19" i="12"/>
  <c r="CC13" i="17" s="1"/>
  <c r="Z19" i="12"/>
  <c r="CE13" i="17" s="1"/>
  <c r="DB13" i="17" s="1"/>
  <c r="DP13" i="17" s="1"/>
  <c r="CF13" i="17"/>
  <c r="AB19" i="12"/>
  <c r="AC19" i="12"/>
  <c r="AD19" i="12"/>
  <c r="X20" i="12"/>
  <c r="CC14" i="17" s="1"/>
  <c r="Z20" i="12"/>
  <c r="CE14" i="17" s="1"/>
  <c r="DB14" i="17" s="1"/>
  <c r="DP14" i="17" s="1"/>
  <c r="CF14" i="17"/>
  <c r="AB20" i="12"/>
  <c r="AC20" i="12"/>
  <c r="AD20" i="12"/>
  <c r="X21" i="12"/>
  <c r="CC15" i="17" s="1"/>
  <c r="Z21" i="12"/>
  <c r="CE15" i="17" s="1"/>
  <c r="DB15" i="17" s="1"/>
  <c r="DP15" i="17" s="1"/>
  <c r="CF15" i="17"/>
  <c r="AB21" i="12"/>
  <c r="AC21" i="12"/>
  <c r="AD21" i="12"/>
  <c r="X22" i="12"/>
  <c r="CC16" i="17" s="1"/>
  <c r="Z22" i="12"/>
  <c r="CE16" i="17" s="1"/>
  <c r="DB16" i="17" s="1"/>
  <c r="DP16" i="17" s="1"/>
  <c r="CF16" i="17"/>
  <c r="AB22" i="12"/>
  <c r="AC22" i="12"/>
  <c r="AD22" i="12"/>
  <c r="X23" i="12"/>
  <c r="CC17" i="17" s="1"/>
  <c r="Z23" i="12"/>
  <c r="CE17" i="17" s="1"/>
  <c r="DB17" i="17" s="1"/>
  <c r="DP17" i="17" s="1"/>
  <c r="CF17" i="17"/>
  <c r="AB23" i="12"/>
  <c r="AC23" i="12"/>
  <c r="AD23" i="12"/>
  <c r="X24" i="12"/>
  <c r="CC18" i="17" s="1"/>
  <c r="Z24" i="12"/>
  <c r="CE18" i="17" s="1"/>
  <c r="DB18" i="17" s="1"/>
  <c r="DP18" i="17" s="1"/>
  <c r="CF18" i="17"/>
  <c r="AB24" i="12"/>
  <c r="AC24" i="12"/>
  <c r="AD24" i="12"/>
  <c r="X25" i="12"/>
  <c r="CC19" i="17" s="1"/>
  <c r="CF19" i="17"/>
  <c r="AB25" i="12"/>
  <c r="AC25" i="12"/>
  <c r="AD25" i="12"/>
  <c r="X26" i="12"/>
  <c r="CC20" i="17" s="1"/>
  <c r="Z26" i="12"/>
  <c r="CE20" i="17" s="1"/>
  <c r="DB20" i="17" s="1"/>
  <c r="DP20" i="17" s="1"/>
  <c r="CF20" i="17"/>
  <c r="AB26" i="12"/>
  <c r="AC26" i="12"/>
  <c r="AD26" i="12"/>
  <c r="X27" i="12"/>
  <c r="CC21" i="17" s="1"/>
  <c r="Z27" i="12"/>
  <c r="CE21" i="17" s="1"/>
  <c r="DB21" i="17" s="1"/>
  <c r="DP21" i="17" s="1"/>
  <c r="CF21" i="17"/>
  <c r="AB27" i="12"/>
  <c r="AC27" i="12"/>
  <c r="AD27" i="12"/>
  <c r="X28" i="12"/>
  <c r="CC22" i="17" s="1"/>
  <c r="Z28" i="12"/>
  <c r="CE22" i="17" s="1"/>
  <c r="DB22" i="17" s="1"/>
  <c r="DP22" i="17" s="1"/>
  <c r="CF22" i="17"/>
  <c r="AB28" i="12"/>
  <c r="AC28" i="12"/>
  <c r="AD28" i="12"/>
  <c r="X29" i="12"/>
  <c r="CC23" i="17" s="1"/>
  <c r="Z29" i="12"/>
  <c r="CE23" i="17" s="1"/>
  <c r="DB23" i="17" s="1"/>
  <c r="DP23" i="17" s="1"/>
  <c r="CF23" i="17"/>
  <c r="AB29" i="12"/>
  <c r="AC29" i="12"/>
  <c r="AD29" i="12"/>
  <c r="X30" i="12"/>
  <c r="CC24" i="17" s="1"/>
  <c r="Z30" i="12"/>
  <c r="CE24" i="17" s="1"/>
  <c r="DB24" i="17" s="1"/>
  <c r="DP24" i="17" s="1"/>
  <c r="CF24" i="17"/>
  <c r="AB30" i="12"/>
  <c r="AC30" i="12"/>
  <c r="AD30" i="12"/>
  <c r="X31" i="12"/>
  <c r="CC25" i="17" s="1"/>
  <c r="Z31" i="12"/>
  <c r="CE25" i="17" s="1"/>
  <c r="DB25" i="17" s="1"/>
  <c r="DP25" i="17" s="1"/>
  <c r="CF25" i="17"/>
  <c r="AB31" i="12"/>
  <c r="AC31" i="12"/>
  <c r="AD31" i="12"/>
  <c r="X33" i="12"/>
  <c r="CC27" i="17" s="1"/>
  <c r="Z33" i="12"/>
  <c r="CE27" i="17" s="1"/>
  <c r="DB27" i="17" s="1"/>
  <c r="DP27" i="17" s="1"/>
  <c r="CF27" i="17"/>
  <c r="AB33" i="12"/>
  <c r="AC33" i="12"/>
  <c r="AD33" i="12"/>
  <c r="X34" i="12"/>
  <c r="CC28" i="17" s="1"/>
  <c r="Z34" i="12"/>
  <c r="CE28" i="17" s="1"/>
  <c r="DB28" i="17" s="1"/>
  <c r="DP28" i="17" s="1"/>
  <c r="CF28" i="17"/>
  <c r="AB34" i="12"/>
  <c r="AC34" i="12"/>
  <c r="AD34" i="12"/>
  <c r="X35" i="12"/>
  <c r="CC29" i="17" s="1"/>
  <c r="Z35" i="12"/>
  <c r="CE29" i="17" s="1"/>
  <c r="DB29" i="17" s="1"/>
  <c r="DP29" i="17" s="1"/>
  <c r="CF29" i="17"/>
  <c r="AB35" i="12"/>
  <c r="AC35" i="12"/>
  <c r="AD35" i="12"/>
  <c r="X36" i="12"/>
  <c r="CC30" i="17" s="1"/>
  <c r="Z36" i="12"/>
  <c r="CF30" i="17"/>
  <c r="AB36" i="12"/>
  <c r="AC36" i="12"/>
  <c r="AD36" i="12"/>
  <c r="X37" i="12"/>
  <c r="CC31" i="17" s="1"/>
  <c r="Z37" i="12"/>
  <c r="CE31" i="17" s="1"/>
  <c r="DB31" i="17" s="1"/>
  <c r="DP31" i="17" s="1"/>
  <c r="CF31" i="17"/>
  <c r="AB37" i="12"/>
  <c r="AC37" i="12"/>
  <c r="AD37" i="12"/>
  <c r="X38" i="12"/>
  <c r="CC32" i="17" s="1"/>
  <c r="Z38" i="12"/>
  <c r="CE32" i="17" s="1"/>
  <c r="DB32" i="17" s="1"/>
  <c r="DP32" i="17" s="1"/>
  <c r="CF32" i="17"/>
  <c r="AB38" i="12"/>
  <c r="AC38" i="12"/>
  <c r="AD38" i="12"/>
  <c r="X39" i="12"/>
  <c r="CC33" i="17" s="1"/>
  <c r="Z39" i="12"/>
  <c r="CE33" i="17" s="1"/>
  <c r="DB33" i="17" s="1"/>
  <c r="DP33" i="17" s="1"/>
  <c r="CF33" i="17"/>
  <c r="AB39" i="12"/>
  <c r="AC39" i="12"/>
  <c r="AD39" i="12"/>
  <c r="X40" i="12"/>
  <c r="CC34" i="17" s="1"/>
  <c r="Z40" i="12"/>
  <c r="CE34" i="17" s="1"/>
  <c r="DB34" i="17" s="1"/>
  <c r="DP34" i="17" s="1"/>
  <c r="CF34" i="17"/>
  <c r="AB40" i="12"/>
  <c r="AC40" i="12"/>
  <c r="AD40" i="12"/>
  <c r="X41" i="12"/>
  <c r="CC35" i="17" s="1"/>
  <c r="Z41" i="12"/>
  <c r="CE35" i="17" s="1"/>
  <c r="DB35" i="17" s="1"/>
  <c r="DP35" i="17" s="1"/>
  <c r="CF35" i="17"/>
  <c r="AB41" i="12"/>
  <c r="AC41" i="12"/>
  <c r="AD41" i="12"/>
  <c r="X42" i="12"/>
  <c r="CC36" i="17" s="1"/>
  <c r="Z42" i="12"/>
  <c r="CE36" i="17" s="1"/>
  <c r="DB36" i="17" s="1"/>
  <c r="DP36" i="17" s="1"/>
  <c r="CF36" i="17"/>
  <c r="AB42" i="12"/>
  <c r="AC42" i="12"/>
  <c r="AD42" i="12"/>
  <c r="X43" i="12"/>
  <c r="CC37" i="17" s="1"/>
  <c r="Z43" i="12"/>
  <c r="CE37" i="17" s="1"/>
  <c r="DB37" i="17" s="1"/>
  <c r="DP37" i="17" s="1"/>
  <c r="CF37" i="17"/>
  <c r="AB43" i="12"/>
  <c r="AC43" i="12"/>
  <c r="AD43" i="12"/>
  <c r="X44" i="12"/>
  <c r="CC38" i="17" s="1"/>
  <c r="Z44" i="12"/>
  <c r="CE38" i="17" s="1"/>
  <c r="DB38" i="17" s="1"/>
  <c r="DP38" i="17" s="1"/>
  <c r="CF38" i="17"/>
  <c r="AB44" i="12"/>
  <c r="AC44" i="12"/>
  <c r="AD44" i="12"/>
  <c r="X45" i="12"/>
  <c r="CC39" i="17" s="1"/>
  <c r="Z45" i="12"/>
  <c r="CE39" i="17" s="1"/>
  <c r="DB39" i="17" s="1"/>
  <c r="DP39" i="17" s="1"/>
  <c r="CF39" i="17"/>
  <c r="AB45" i="12"/>
  <c r="AC45" i="12"/>
  <c r="AD45" i="12"/>
  <c r="X46" i="12"/>
  <c r="CC40" i="17" s="1"/>
  <c r="Z46" i="12"/>
  <c r="CE40" i="17" s="1"/>
  <c r="DB40" i="17" s="1"/>
  <c r="DP40" i="17" s="1"/>
  <c r="CF40" i="17"/>
  <c r="AB46" i="12"/>
  <c r="AC46" i="12"/>
  <c r="AD46" i="12"/>
  <c r="X47" i="12"/>
  <c r="CC41" i="17" s="1"/>
  <c r="Z47" i="12"/>
  <c r="CE41" i="17" s="1"/>
  <c r="DB41" i="17" s="1"/>
  <c r="DP41" i="17" s="1"/>
  <c r="CF41" i="17"/>
  <c r="AB47" i="12"/>
  <c r="AC47" i="12"/>
  <c r="AD47" i="12"/>
  <c r="X48" i="12"/>
  <c r="CC42" i="17" s="1"/>
  <c r="Z48" i="12"/>
  <c r="CE42" i="17" s="1"/>
  <c r="DB42" i="17" s="1"/>
  <c r="DP42" i="17" s="1"/>
  <c r="CF42" i="17"/>
  <c r="AB48" i="12"/>
  <c r="AC48" i="12"/>
  <c r="AD48" i="12"/>
  <c r="X49" i="12"/>
  <c r="CC43" i="17" s="1"/>
  <c r="Z49" i="12"/>
  <c r="CE43" i="17" s="1"/>
  <c r="DB43" i="17" s="1"/>
  <c r="DP43" i="17" s="1"/>
  <c r="CF43" i="17"/>
  <c r="AB49" i="12"/>
  <c r="AC49" i="12"/>
  <c r="AD49" i="12"/>
  <c r="X50" i="12"/>
  <c r="CC44" i="17" s="1"/>
  <c r="Z50" i="12"/>
  <c r="CE44" i="17" s="1"/>
  <c r="DB44" i="17" s="1"/>
  <c r="DP44" i="17" s="1"/>
  <c r="CF44" i="17"/>
  <c r="AB50" i="12"/>
  <c r="AC50" i="12"/>
  <c r="AD50" i="12"/>
  <c r="X51" i="12"/>
  <c r="Z51" i="12"/>
  <c r="AB51" i="12"/>
  <c r="AC51" i="12"/>
  <c r="AD51" i="12"/>
  <c r="X52" i="12"/>
  <c r="CC45" i="17" s="1"/>
  <c r="Z52" i="12"/>
  <c r="CE45" i="17" s="1"/>
  <c r="DB45" i="17" s="1"/>
  <c r="DP45" i="17" s="1"/>
  <c r="CF45" i="17"/>
  <c r="AB52" i="12"/>
  <c r="AC52" i="12"/>
  <c r="AD52" i="12"/>
  <c r="X53" i="12"/>
  <c r="CC46" i="17" s="1"/>
  <c r="Z53" i="12"/>
  <c r="CE46" i="17" s="1"/>
  <c r="DB46" i="17" s="1"/>
  <c r="DP46" i="17" s="1"/>
  <c r="CF46" i="17"/>
  <c r="AB53" i="12"/>
  <c r="AC53" i="12"/>
  <c r="AD53" i="12"/>
  <c r="X54" i="12"/>
  <c r="CC47" i="17" s="1"/>
  <c r="Z54" i="12"/>
  <c r="CE47" i="17" s="1"/>
  <c r="DB47" i="17" s="1"/>
  <c r="DP47" i="17" s="1"/>
  <c r="CF47" i="17"/>
  <c r="AB54" i="12"/>
  <c r="AC54" i="12"/>
  <c r="AD54" i="12"/>
  <c r="X55" i="12"/>
  <c r="CC48" i="17" s="1"/>
  <c r="Z55" i="12"/>
  <c r="CE48" i="17" s="1"/>
  <c r="DB48" i="17" s="1"/>
  <c r="DP48" i="17" s="1"/>
  <c r="CF48" i="17"/>
  <c r="AB55" i="12"/>
  <c r="AC55" i="12"/>
  <c r="AD55" i="12"/>
  <c r="X56" i="12"/>
  <c r="CC49" i="17" s="1"/>
  <c r="Z56" i="12"/>
  <c r="CE49" i="17" s="1"/>
  <c r="DB49" i="17" s="1"/>
  <c r="DP49" i="17" s="1"/>
  <c r="CF49" i="17"/>
  <c r="AB56" i="12"/>
  <c r="AC56" i="12"/>
  <c r="AD56" i="12"/>
  <c r="X57" i="12"/>
  <c r="CC50" i="17" s="1"/>
  <c r="Z57" i="12"/>
  <c r="CE50" i="17" s="1"/>
  <c r="DB50" i="17" s="1"/>
  <c r="DP50" i="17" s="1"/>
  <c r="CF50" i="17"/>
  <c r="AB57" i="12"/>
  <c r="AC57" i="12"/>
  <c r="AD57" i="12"/>
  <c r="X58" i="12"/>
  <c r="CC51" i="17" s="1"/>
  <c r="Z58" i="12"/>
  <c r="CE51" i="17" s="1"/>
  <c r="DB51" i="17" s="1"/>
  <c r="DP51" i="17" s="1"/>
  <c r="CF51" i="17"/>
  <c r="AB58" i="12"/>
  <c r="AC58" i="12"/>
  <c r="AD58" i="12"/>
  <c r="X59" i="12"/>
  <c r="CC52" i="17" s="1"/>
  <c r="Z59" i="12"/>
  <c r="CE52" i="17" s="1"/>
  <c r="DB52" i="17" s="1"/>
  <c r="DP52" i="17" s="1"/>
  <c r="CF52" i="17"/>
  <c r="AB59" i="12"/>
  <c r="AC59" i="12"/>
  <c r="AD59" i="12"/>
  <c r="X60" i="12"/>
  <c r="CC53" i="17" s="1"/>
  <c r="Z60" i="12"/>
  <c r="CE53" i="17" s="1"/>
  <c r="DB53" i="17" s="1"/>
  <c r="DP53" i="17" s="1"/>
  <c r="CF53" i="17"/>
  <c r="AB60" i="12"/>
  <c r="AC60" i="12"/>
  <c r="AD60" i="12"/>
  <c r="X61" i="12"/>
  <c r="CC54" i="17" s="1"/>
  <c r="Z61" i="12"/>
  <c r="CE54" i="17" s="1"/>
  <c r="DB54" i="17" s="1"/>
  <c r="DP54" i="17" s="1"/>
  <c r="CF54" i="17"/>
  <c r="AB61" i="12"/>
  <c r="AC61" i="12"/>
  <c r="AD61" i="12"/>
  <c r="X62" i="12"/>
  <c r="CC55" i="17" s="1"/>
  <c r="Z62" i="12"/>
  <c r="CE55" i="17" s="1"/>
  <c r="DB55" i="17" s="1"/>
  <c r="DP55" i="17" s="1"/>
  <c r="CF55" i="17"/>
  <c r="AB62" i="12"/>
  <c r="AC62" i="12"/>
  <c r="AD62" i="12"/>
  <c r="X63" i="12"/>
  <c r="CC56" i="17" s="1"/>
  <c r="Z63" i="12"/>
  <c r="CE56" i="17" s="1"/>
  <c r="DB56" i="17" s="1"/>
  <c r="DP56" i="17" s="1"/>
  <c r="CF56" i="17"/>
  <c r="AB63" i="12"/>
  <c r="AC63" i="12"/>
  <c r="AD63" i="12"/>
  <c r="X64" i="12"/>
  <c r="CC57" i="17" s="1"/>
  <c r="Z64" i="12"/>
  <c r="CE57" i="17" s="1"/>
  <c r="DB57" i="17" s="1"/>
  <c r="DP57" i="17" s="1"/>
  <c r="CF57" i="17"/>
  <c r="AB64" i="12"/>
  <c r="AC64" i="12"/>
  <c r="AD64" i="12"/>
  <c r="X65" i="12"/>
  <c r="CC58" i="17" s="1"/>
  <c r="Z65" i="12"/>
  <c r="CE58" i="17" s="1"/>
  <c r="DB58" i="17" s="1"/>
  <c r="DP58" i="17" s="1"/>
  <c r="CF58" i="17"/>
  <c r="AB65" i="12"/>
  <c r="AC65" i="12"/>
  <c r="AD65" i="12"/>
  <c r="X66" i="12"/>
  <c r="CC116" i="17" s="1"/>
  <c r="Z66" i="12"/>
  <c r="CE116" i="17" s="1"/>
  <c r="DB116" i="17" s="1"/>
  <c r="DP116" i="17" s="1"/>
  <c r="CF116" i="17"/>
  <c r="AB66" i="12"/>
  <c r="AC66" i="12"/>
  <c r="AD66" i="12"/>
  <c r="X67" i="12"/>
  <c r="CC59" i="17" s="1"/>
  <c r="Z67" i="12"/>
  <c r="CE59" i="17" s="1"/>
  <c r="DB59" i="17" s="1"/>
  <c r="DP59" i="17" s="1"/>
  <c r="CF59" i="17"/>
  <c r="AB67" i="12"/>
  <c r="AC67" i="12"/>
  <c r="AD67" i="12"/>
  <c r="X68" i="12"/>
  <c r="CC60" i="17" s="1"/>
  <c r="Z68" i="12"/>
  <c r="CE60" i="17" s="1"/>
  <c r="DB60" i="17" s="1"/>
  <c r="DP60" i="17" s="1"/>
  <c r="CF60" i="17"/>
  <c r="AB68" i="12"/>
  <c r="AC68" i="12"/>
  <c r="AD68" i="12"/>
  <c r="X69" i="12"/>
  <c r="CC61" i="17" s="1"/>
  <c r="Z69" i="12"/>
  <c r="CE61" i="17" s="1"/>
  <c r="DB61" i="17" s="1"/>
  <c r="DP61" i="17" s="1"/>
  <c r="CF61" i="17"/>
  <c r="AB69" i="12"/>
  <c r="AC69" i="12"/>
  <c r="AD69" i="12"/>
  <c r="X70" i="12"/>
  <c r="CC62" i="17" s="1"/>
  <c r="Z70" i="12"/>
  <c r="CE62" i="17" s="1"/>
  <c r="DB62" i="17" s="1"/>
  <c r="DP62" i="17" s="1"/>
  <c r="CF62" i="17"/>
  <c r="AB70" i="12"/>
  <c r="AC70" i="12"/>
  <c r="AD70" i="12"/>
  <c r="X71" i="12"/>
  <c r="CC63" i="17" s="1"/>
  <c r="Z71" i="12"/>
  <c r="CE63" i="17" s="1"/>
  <c r="DB63" i="17" s="1"/>
  <c r="DP63" i="17" s="1"/>
  <c r="CF63" i="17"/>
  <c r="AB71" i="12"/>
  <c r="AC71" i="12"/>
  <c r="AD71" i="12"/>
  <c r="X72" i="12"/>
  <c r="CC64" i="17" s="1"/>
  <c r="Z72" i="12"/>
  <c r="CE64" i="17" s="1"/>
  <c r="DB64" i="17" s="1"/>
  <c r="DP64" i="17" s="1"/>
  <c r="CF64" i="17"/>
  <c r="AB72" i="12"/>
  <c r="AC72" i="12"/>
  <c r="AD72" i="12"/>
  <c r="X73" i="12"/>
  <c r="CC65" i="17" s="1"/>
  <c r="Z73" i="12"/>
  <c r="CE65" i="17" s="1"/>
  <c r="DB65" i="17" s="1"/>
  <c r="DP65" i="17" s="1"/>
  <c r="CF65" i="17"/>
  <c r="AB73" i="12"/>
  <c r="AC73" i="12"/>
  <c r="AD73" i="12"/>
  <c r="X74" i="12"/>
  <c r="CC66" i="17" s="1"/>
  <c r="Z74" i="12"/>
  <c r="CE66" i="17" s="1"/>
  <c r="DB66" i="17" s="1"/>
  <c r="DP66" i="17" s="1"/>
  <c r="CF66" i="17"/>
  <c r="AB74" i="12"/>
  <c r="AC74" i="12"/>
  <c r="AD74" i="12"/>
  <c r="X75" i="12"/>
  <c r="CC67" i="17" s="1"/>
  <c r="Z75" i="12"/>
  <c r="CE67" i="17" s="1"/>
  <c r="DB67" i="17" s="1"/>
  <c r="DP67" i="17" s="1"/>
  <c r="CF67" i="17"/>
  <c r="AB75" i="12"/>
  <c r="AC75" i="12"/>
  <c r="AD75" i="12"/>
  <c r="X76" i="12"/>
  <c r="CC68" i="17" s="1"/>
  <c r="Z76" i="12"/>
  <c r="CE68" i="17" s="1"/>
  <c r="DB68" i="17" s="1"/>
  <c r="DP68" i="17" s="1"/>
  <c r="CF68" i="17"/>
  <c r="AB76" i="12"/>
  <c r="AC76" i="12"/>
  <c r="AD76" i="12"/>
  <c r="X77" i="12"/>
  <c r="CC69" i="17" s="1"/>
  <c r="Z77" i="12"/>
  <c r="CE69" i="17" s="1"/>
  <c r="DB69" i="17" s="1"/>
  <c r="DP69" i="17" s="1"/>
  <c r="CF69" i="17"/>
  <c r="AB77" i="12"/>
  <c r="AC77" i="12"/>
  <c r="AD77" i="12"/>
  <c r="X78" i="12"/>
  <c r="CC70" i="17" s="1"/>
  <c r="Z78" i="12"/>
  <c r="CE70" i="17" s="1"/>
  <c r="DB70" i="17" s="1"/>
  <c r="DP70" i="17" s="1"/>
  <c r="CF70" i="17"/>
  <c r="AB78" i="12"/>
  <c r="AC78" i="12"/>
  <c r="AD78" i="12"/>
  <c r="X79" i="12"/>
  <c r="CC71" i="17" s="1"/>
  <c r="Z79" i="12"/>
  <c r="CE71" i="17" s="1"/>
  <c r="DB71" i="17" s="1"/>
  <c r="DP71" i="17" s="1"/>
  <c r="CF71" i="17"/>
  <c r="AB79" i="12"/>
  <c r="AC79" i="12"/>
  <c r="AD79" i="12"/>
  <c r="X80" i="12"/>
  <c r="CC72" i="17" s="1"/>
  <c r="Z80" i="12"/>
  <c r="CE72" i="17" s="1"/>
  <c r="DB72" i="17" s="1"/>
  <c r="DP72" i="17" s="1"/>
  <c r="CF72" i="17"/>
  <c r="AB80" i="12"/>
  <c r="AC80" i="12"/>
  <c r="AD80" i="12"/>
  <c r="X81" i="12"/>
  <c r="CC73" i="17" s="1"/>
  <c r="Z81" i="12"/>
  <c r="CE73" i="17" s="1"/>
  <c r="DB73" i="17" s="1"/>
  <c r="DP73" i="17" s="1"/>
  <c r="CF73" i="17"/>
  <c r="AB81" i="12"/>
  <c r="AC81" i="12"/>
  <c r="AD81" i="12"/>
  <c r="X82" i="12"/>
  <c r="CC74" i="17" s="1"/>
  <c r="Z82" i="12"/>
  <c r="CE74" i="17" s="1"/>
  <c r="DB74" i="17" s="1"/>
  <c r="DP74" i="17" s="1"/>
  <c r="CF74" i="17"/>
  <c r="AB82" i="12"/>
  <c r="AC82" i="12"/>
  <c r="AD82" i="12"/>
  <c r="X83" i="12"/>
  <c r="CC75" i="17" s="1"/>
  <c r="Z83" i="12"/>
  <c r="CE75" i="17" s="1"/>
  <c r="DB75" i="17" s="1"/>
  <c r="DP75" i="17" s="1"/>
  <c r="CF75" i="17"/>
  <c r="AB83" i="12"/>
  <c r="AC83" i="12"/>
  <c r="AD83" i="12"/>
  <c r="X84" i="12"/>
  <c r="CC76" i="17" s="1"/>
  <c r="Z84" i="12"/>
  <c r="CE76" i="17" s="1"/>
  <c r="DB76" i="17" s="1"/>
  <c r="DP76" i="17" s="1"/>
  <c r="CF76" i="17"/>
  <c r="AB84" i="12"/>
  <c r="AC84" i="12"/>
  <c r="AD84" i="12"/>
  <c r="X85" i="12"/>
  <c r="CC77" i="17" s="1"/>
  <c r="Z85" i="12"/>
  <c r="CE77" i="17" s="1"/>
  <c r="DB77" i="17" s="1"/>
  <c r="DP77" i="17" s="1"/>
  <c r="CF77" i="17"/>
  <c r="AB85" i="12"/>
  <c r="AC85" i="12"/>
  <c r="AD85" i="12"/>
  <c r="X86" i="12"/>
  <c r="CC78" i="17" s="1"/>
  <c r="Z86" i="12"/>
  <c r="CE78" i="17" s="1"/>
  <c r="DB78" i="17" s="1"/>
  <c r="DP78" i="17" s="1"/>
  <c r="CF78" i="17"/>
  <c r="AB86" i="12"/>
  <c r="AC86" i="12"/>
  <c r="AD86" i="12"/>
  <c r="X87" i="12"/>
  <c r="CC79" i="17" s="1"/>
  <c r="Z87" i="12"/>
  <c r="CE79" i="17" s="1"/>
  <c r="DB79" i="17" s="1"/>
  <c r="DP79" i="17" s="1"/>
  <c r="CF79" i="17"/>
  <c r="AB87" i="12"/>
  <c r="AC87" i="12"/>
  <c r="AD87" i="12"/>
  <c r="X88" i="12"/>
  <c r="CC80" i="17" s="1"/>
  <c r="Z88" i="12"/>
  <c r="CE80" i="17" s="1"/>
  <c r="DB80" i="17" s="1"/>
  <c r="DP80" i="17" s="1"/>
  <c r="CF80" i="17"/>
  <c r="AB88" i="12"/>
  <c r="AC88" i="12"/>
  <c r="AD88" i="12"/>
  <c r="X89" i="12"/>
  <c r="CC81" i="17" s="1"/>
  <c r="Z89" i="12"/>
  <c r="CE81" i="17" s="1"/>
  <c r="DB81" i="17" s="1"/>
  <c r="DP81" i="17" s="1"/>
  <c r="CF81" i="17"/>
  <c r="AB89" i="12"/>
  <c r="AC89" i="12"/>
  <c r="AD89" i="12"/>
  <c r="X90" i="12"/>
  <c r="CC82" i="17" s="1"/>
  <c r="Z90" i="12"/>
  <c r="CE82" i="17" s="1"/>
  <c r="DB82" i="17" s="1"/>
  <c r="DP82" i="17" s="1"/>
  <c r="CF82" i="17"/>
  <c r="AB90" i="12"/>
  <c r="AC90" i="12"/>
  <c r="AD90" i="12"/>
  <c r="X91" i="12"/>
  <c r="CC83" i="17" s="1"/>
  <c r="Z91" i="12"/>
  <c r="CE83" i="17" s="1"/>
  <c r="DB83" i="17" s="1"/>
  <c r="DP83" i="17" s="1"/>
  <c r="CF83" i="17"/>
  <c r="AB91" i="12"/>
  <c r="AC91" i="12"/>
  <c r="AD91" i="12"/>
  <c r="X92" i="12"/>
  <c r="CC84" i="17" s="1"/>
  <c r="Z92" i="12"/>
  <c r="CE84" i="17" s="1"/>
  <c r="DB84" i="17" s="1"/>
  <c r="DP84" i="17" s="1"/>
  <c r="CF84" i="17"/>
  <c r="AB92" i="12"/>
  <c r="AC92" i="12"/>
  <c r="AD92" i="12"/>
  <c r="X93" i="12"/>
  <c r="CC85" i="17" s="1"/>
  <c r="Z93" i="12"/>
  <c r="CE85" i="17" s="1"/>
  <c r="DB85" i="17" s="1"/>
  <c r="DP85" i="17" s="1"/>
  <c r="CF85" i="17"/>
  <c r="AB93" i="12"/>
  <c r="AC93" i="12"/>
  <c r="AD93" i="12"/>
  <c r="X94" i="12"/>
  <c r="CC86" i="17" s="1"/>
  <c r="Z94" i="12"/>
  <c r="CE86" i="17" s="1"/>
  <c r="DB86" i="17" s="1"/>
  <c r="DP86" i="17" s="1"/>
  <c r="CF86" i="17"/>
  <c r="AB94" i="12"/>
  <c r="AC94" i="12"/>
  <c r="AD94" i="12"/>
  <c r="X95" i="12"/>
  <c r="CC87" i="17" s="1"/>
  <c r="Z95" i="12"/>
  <c r="CE87" i="17" s="1"/>
  <c r="DB87" i="17" s="1"/>
  <c r="DP87" i="17" s="1"/>
  <c r="CF87" i="17"/>
  <c r="AB95" i="12"/>
  <c r="AC95" i="12"/>
  <c r="AD95" i="12"/>
  <c r="X96" i="12"/>
  <c r="CC88" i="17" s="1"/>
  <c r="Z96" i="12"/>
  <c r="CE88" i="17" s="1"/>
  <c r="DB88" i="17" s="1"/>
  <c r="DP88" i="17" s="1"/>
  <c r="CF88" i="17"/>
  <c r="AB96" i="12"/>
  <c r="AC96" i="12"/>
  <c r="AD96" i="12"/>
  <c r="X97" i="12"/>
  <c r="CC89" i="17" s="1"/>
  <c r="Z97" i="12"/>
  <c r="CE89" i="17" s="1"/>
  <c r="DB89" i="17" s="1"/>
  <c r="DP89" i="17" s="1"/>
  <c r="CF89" i="17"/>
  <c r="AB97" i="12"/>
  <c r="AC97" i="12"/>
  <c r="AD97" i="12"/>
  <c r="X98" i="12"/>
  <c r="CC90" i="17" s="1"/>
  <c r="Z98" i="12"/>
  <c r="CE90" i="17" s="1"/>
  <c r="DB90" i="17" s="1"/>
  <c r="DP90" i="17" s="1"/>
  <c r="CF90" i="17"/>
  <c r="AB98" i="12"/>
  <c r="AC98" i="12"/>
  <c r="AD98" i="12"/>
  <c r="X99" i="12"/>
  <c r="CC91" i="17" s="1"/>
  <c r="Z99" i="12"/>
  <c r="CE91" i="17" s="1"/>
  <c r="DB91" i="17" s="1"/>
  <c r="DP91" i="17" s="1"/>
  <c r="CF91" i="17"/>
  <c r="AB99" i="12"/>
  <c r="AC99" i="12"/>
  <c r="AD99" i="12"/>
  <c r="X100" i="12"/>
  <c r="CC92" i="17" s="1"/>
  <c r="Z100" i="12"/>
  <c r="CE92" i="17" s="1"/>
  <c r="DB92" i="17" s="1"/>
  <c r="DP92" i="17" s="1"/>
  <c r="CF92" i="17"/>
  <c r="AB100" i="12"/>
  <c r="AC100" i="12"/>
  <c r="AD100" i="12"/>
  <c r="X101" i="12"/>
  <c r="CC93" i="17" s="1"/>
  <c r="Z101" i="12"/>
  <c r="CE93" i="17" s="1"/>
  <c r="DB93" i="17" s="1"/>
  <c r="DP93" i="17" s="1"/>
  <c r="CF93" i="17"/>
  <c r="AB101" i="12"/>
  <c r="AC101" i="12"/>
  <c r="AD101" i="12"/>
  <c r="X102" i="12"/>
  <c r="CC94" i="17" s="1"/>
  <c r="Z102" i="12"/>
  <c r="CE94" i="17" s="1"/>
  <c r="DB94" i="17" s="1"/>
  <c r="DP94" i="17" s="1"/>
  <c r="CF94" i="17"/>
  <c r="AB102" i="12"/>
  <c r="AC102" i="12"/>
  <c r="AD102" i="12"/>
  <c r="X103" i="12"/>
  <c r="CC95" i="17" s="1"/>
  <c r="Z103" i="12"/>
  <c r="CE95" i="17" s="1"/>
  <c r="DB95" i="17" s="1"/>
  <c r="DP95" i="17" s="1"/>
  <c r="CF95" i="17"/>
  <c r="AB103" i="12"/>
  <c r="AC103" i="12"/>
  <c r="AD103" i="12"/>
  <c r="X104" i="12"/>
  <c r="CC96" i="17" s="1"/>
  <c r="Z104" i="12"/>
  <c r="CE96" i="17" s="1"/>
  <c r="DB96" i="17" s="1"/>
  <c r="DP96" i="17" s="1"/>
  <c r="CF96" i="17"/>
  <c r="AB104" i="12"/>
  <c r="AC104" i="12"/>
  <c r="AD104" i="12"/>
  <c r="X105" i="12"/>
  <c r="CC97" i="17" s="1"/>
  <c r="Z105" i="12"/>
  <c r="CE97" i="17" s="1"/>
  <c r="DB97" i="17" s="1"/>
  <c r="DP97" i="17" s="1"/>
  <c r="CF97" i="17"/>
  <c r="AB105" i="12"/>
  <c r="AC105" i="12"/>
  <c r="AD105" i="12"/>
  <c r="X106" i="12"/>
  <c r="CC98" i="17" s="1"/>
  <c r="Z106" i="12"/>
  <c r="CE98" i="17" s="1"/>
  <c r="DB98" i="17" s="1"/>
  <c r="DP98" i="17" s="1"/>
  <c r="CF98" i="17"/>
  <c r="AB106" i="12"/>
  <c r="AC106" i="12"/>
  <c r="AD106" i="12"/>
  <c r="X107" i="12"/>
  <c r="CC99" i="17" s="1"/>
  <c r="Z107" i="12"/>
  <c r="CE99" i="17" s="1"/>
  <c r="DB99" i="17" s="1"/>
  <c r="DP99" i="17" s="1"/>
  <c r="CF99" i="17"/>
  <c r="AB107" i="12"/>
  <c r="AC107" i="12"/>
  <c r="AD107" i="12"/>
  <c r="X108" i="12"/>
  <c r="CC100" i="17" s="1"/>
  <c r="Z108" i="12"/>
  <c r="CE100" i="17" s="1"/>
  <c r="DB100" i="17" s="1"/>
  <c r="DP100" i="17" s="1"/>
  <c r="CF100" i="17"/>
  <c r="AB108" i="12"/>
  <c r="AC108" i="12"/>
  <c r="AD108" i="12"/>
  <c r="X109" i="12"/>
  <c r="CC101" i="17" s="1"/>
  <c r="Z109" i="12"/>
  <c r="CE101" i="17" s="1"/>
  <c r="DB101" i="17" s="1"/>
  <c r="DP101" i="17" s="1"/>
  <c r="CF101" i="17"/>
  <c r="AB109" i="12"/>
  <c r="AC109" i="12"/>
  <c r="AD109" i="12"/>
  <c r="X110" i="12"/>
  <c r="CC102" i="17" s="1"/>
  <c r="Z110" i="12"/>
  <c r="CE102" i="17" s="1"/>
  <c r="DB102" i="17" s="1"/>
  <c r="DP102" i="17" s="1"/>
  <c r="CF102" i="17"/>
  <c r="AB110" i="12"/>
  <c r="AC110" i="12"/>
  <c r="AD110" i="12"/>
  <c r="X111" i="12"/>
  <c r="CC103" i="17" s="1"/>
  <c r="Z111" i="12"/>
  <c r="CE103" i="17" s="1"/>
  <c r="DB103" i="17" s="1"/>
  <c r="DP103" i="17" s="1"/>
  <c r="CF103" i="17"/>
  <c r="AB111" i="12"/>
  <c r="AC111" i="12"/>
  <c r="AD111" i="12"/>
  <c r="X112" i="12"/>
  <c r="CC104" i="17" s="1"/>
  <c r="Z112" i="12"/>
  <c r="CE104" i="17" s="1"/>
  <c r="DB104" i="17" s="1"/>
  <c r="DP104" i="17" s="1"/>
  <c r="CF104" i="17"/>
  <c r="AB112" i="12"/>
  <c r="AC112" i="12"/>
  <c r="AD112" i="12"/>
  <c r="X113" i="12"/>
  <c r="CC105" i="17" s="1"/>
  <c r="Z113" i="12"/>
  <c r="CE105" i="17" s="1"/>
  <c r="DB105" i="17" s="1"/>
  <c r="DP105" i="17" s="1"/>
  <c r="CF105" i="17"/>
  <c r="AB113" i="12"/>
  <c r="AC113" i="12"/>
  <c r="AD113" i="12"/>
  <c r="X114" i="12"/>
  <c r="CC106" i="17" s="1"/>
  <c r="Z114" i="12"/>
  <c r="CE106" i="17" s="1"/>
  <c r="DB106" i="17" s="1"/>
  <c r="DP106" i="17" s="1"/>
  <c r="CF106" i="17"/>
  <c r="AB114" i="12"/>
  <c r="AC114" i="12"/>
  <c r="AD114" i="12"/>
  <c r="X115" i="12"/>
  <c r="CC107" i="17" s="1"/>
  <c r="Z115" i="12"/>
  <c r="CE107" i="17" s="1"/>
  <c r="DB107" i="17" s="1"/>
  <c r="DP107" i="17" s="1"/>
  <c r="CF107" i="17"/>
  <c r="AB115" i="12"/>
  <c r="AC115" i="12"/>
  <c r="AD115" i="12"/>
  <c r="X116" i="12"/>
  <c r="CC108" i="17" s="1"/>
  <c r="Z116" i="12"/>
  <c r="CE108" i="17" s="1"/>
  <c r="DB108" i="17" s="1"/>
  <c r="DP108" i="17" s="1"/>
  <c r="CF108" i="17"/>
  <c r="AB116" i="12"/>
  <c r="AC116" i="12"/>
  <c r="AD116" i="12"/>
  <c r="X117" i="12"/>
  <c r="CC109" i="17" s="1"/>
  <c r="Z117" i="12"/>
  <c r="CE109" i="17" s="1"/>
  <c r="DB109" i="17" s="1"/>
  <c r="DP109" i="17" s="1"/>
  <c r="CF109" i="17"/>
  <c r="AB117" i="12"/>
  <c r="AC117" i="12"/>
  <c r="AD117" i="12"/>
  <c r="X118" i="12"/>
  <c r="CC110" i="17" s="1"/>
  <c r="Z118" i="12"/>
  <c r="CE110" i="17" s="1"/>
  <c r="DB110" i="17" s="1"/>
  <c r="DP110" i="17" s="1"/>
  <c r="CF110" i="17"/>
  <c r="AB118" i="12"/>
  <c r="AC118" i="12"/>
  <c r="AD118" i="12"/>
  <c r="X119" i="12"/>
  <c r="CC111" i="17" s="1"/>
  <c r="Z119" i="12"/>
  <c r="CE111" i="17" s="1"/>
  <c r="DB111" i="17" s="1"/>
  <c r="DP111" i="17" s="1"/>
  <c r="CF111" i="17"/>
  <c r="AB119" i="12"/>
  <c r="AC119" i="12"/>
  <c r="AD119" i="12"/>
  <c r="X120" i="12"/>
  <c r="CC112" i="17" s="1"/>
  <c r="Z120" i="12"/>
  <c r="CE112" i="17" s="1"/>
  <c r="DB112" i="17" s="1"/>
  <c r="DP112" i="17" s="1"/>
  <c r="CF112" i="17"/>
  <c r="AB120" i="12"/>
  <c r="AC120" i="12"/>
  <c r="AD120" i="12"/>
  <c r="X121" i="12"/>
  <c r="CC113" i="17" s="1"/>
  <c r="Z121" i="12"/>
  <c r="CE113" i="17" s="1"/>
  <c r="DB113" i="17" s="1"/>
  <c r="DP113" i="17" s="1"/>
  <c r="CF113" i="17"/>
  <c r="AB121" i="12"/>
  <c r="AC121" i="12"/>
  <c r="AD121" i="12"/>
  <c r="X122" i="12"/>
  <c r="CC114" i="17" s="1"/>
  <c r="Z122" i="12"/>
  <c r="CE114" i="17" s="1"/>
  <c r="DB114" i="17" s="1"/>
  <c r="DP114" i="17" s="1"/>
  <c r="CF114" i="17"/>
  <c r="AB122" i="12"/>
  <c r="AC122" i="12"/>
  <c r="AD122" i="12"/>
  <c r="X123" i="12"/>
  <c r="CC115" i="17" s="1"/>
  <c r="Z123" i="12"/>
  <c r="CE115" i="17" s="1"/>
  <c r="DB115" i="17" s="1"/>
  <c r="DP115" i="17" s="1"/>
  <c r="CF115" i="17"/>
  <c r="AB123" i="12"/>
  <c r="AC123" i="12"/>
  <c r="AD123" i="12"/>
  <c r="X124" i="12"/>
  <c r="CC117" i="17" s="1"/>
  <c r="Z124" i="12"/>
  <c r="CE117" i="17" s="1"/>
  <c r="DB117" i="17" s="1"/>
  <c r="DP117" i="17" s="1"/>
  <c r="CF117" i="17"/>
  <c r="AB124" i="12"/>
  <c r="AC124" i="12"/>
  <c r="AD124" i="12"/>
  <c r="X125" i="12"/>
  <c r="CC118" i="17" s="1"/>
  <c r="Z125" i="12"/>
  <c r="CE118" i="17" s="1"/>
  <c r="DB118" i="17" s="1"/>
  <c r="DP118" i="17" s="1"/>
  <c r="CF118" i="17"/>
  <c r="AB125" i="12"/>
  <c r="AC125" i="12"/>
  <c r="AD125" i="12"/>
  <c r="X126" i="12"/>
  <c r="CC119" i="17" s="1"/>
  <c r="Z126" i="12"/>
  <c r="CE119" i="17" s="1"/>
  <c r="DB119" i="17" s="1"/>
  <c r="DP119" i="17" s="1"/>
  <c r="CF119" i="17"/>
  <c r="AB126" i="12"/>
  <c r="AC126" i="12"/>
  <c r="AD126" i="12"/>
  <c r="X127" i="12"/>
  <c r="CC120" i="17" s="1"/>
  <c r="Z127" i="12"/>
  <c r="CE120" i="17" s="1"/>
  <c r="DB120" i="17" s="1"/>
  <c r="DP120" i="17" s="1"/>
  <c r="CF120" i="17"/>
  <c r="AB127" i="12"/>
  <c r="AC127" i="12"/>
  <c r="AD127" i="12"/>
  <c r="X128" i="12"/>
  <c r="CC121" i="17" s="1"/>
  <c r="Z128" i="12"/>
  <c r="CE121" i="17" s="1"/>
  <c r="DB121" i="17" s="1"/>
  <c r="DP121" i="17" s="1"/>
  <c r="CF121" i="17"/>
  <c r="AB128" i="12"/>
  <c r="AC128" i="12"/>
  <c r="AD128" i="12"/>
  <c r="X129" i="12"/>
  <c r="CC122" i="17" s="1"/>
  <c r="Z129" i="12"/>
  <c r="CE122" i="17" s="1"/>
  <c r="DB122" i="17" s="1"/>
  <c r="DP122" i="17" s="1"/>
  <c r="CF122" i="17"/>
  <c r="AB129" i="12"/>
  <c r="AC129" i="12"/>
  <c r="AD129" i="12"/>
  <c r="X130" i="12"/>
  <c r="CC123" i="17" s="1"/>
  <c r="Z130" i="12"/>
  <c r="CE123" i="17" s="1"/>
  <c r="DB123" i="17" s="1"/>
  <c r="DP123" i="17" s="1"/>
  <c r="CF123" i="17"/>
  <c r="AB130" i="12"/>
  <c r="AC130" i="12"/>
  <c r="AD130" i="12"/>
  <c r="X131" i="12"/>
  <c r="CC124" i="17" s="1"/>
  <c r="Z131" i="12"/>
  <c r="CE124" i="17" s="1"/>
  <c r="DB124" i="17" s="1"/>
  <c r="DP124" i="17" s="1"/>
  <c r="CF124" i="17"/>
  <c r="AB131" i="12"/>
  <c r="AC131" i="12"/>
  <c r="AD131" i="12"/>
  <c r="X132" i="12"/>
  <c r="CC125" i="17" s="1"/>
  <c r="Z132" i="12"/>
  <c r="CE125" i="17" s="1"/>
  <c r="DB125" i="17" s="1"/>
  <c r="DP125" i="17" s="1"/>
  <c r="CF125" i="17"/>
  <c r="AB132" i="12"/>
  <c r="AC132" i="12"/>
  <c r="AD132" i="12"/>
  <c r="X133" i="12"/>
  <c r="CC126" i="17" s="1"/>
  <c r="Z133" i="12"/>
  <c r="CE126" i="17" s="1"/>
  <c r="DB126" i="17" s="1"/>
  <c r="DP126" i="17" s="1"/>
  <c r="CF126" i="17"/>
  <c r="AB133" i="12"/>
  <c r="AC133" i="12"/>
  <c r="AD133" i="12"/>
  <c r="X134" i="12"/>
  <c r="CC127" i="17" s="1"/>
  <c r="Z134" i="12"/>
  <c r="CE127" i="17" s="1"/>
  <c r="DB127" i="17" s="1"/>
  <c r="DP127" i="17" s="1"/>
  <c r="CF127" i="17"/>
  <c r="AB134" i="12"/>
  <c r="AC134" i="12"/>
  <c r="AD134" i="12"/>
  <c r="X135" i="12"/>
  <c r="CC128" i="17" s="1"/>
  <c r="Z135" i="12"/>
  <c r="CE128" i="17" s="1"/>
  <c r="DB128" i="17" s="1"/>
  <c r="DP128" i="17" s="1"/>
  <c r="CF128" i="17"/>
  <c r="AB135" i="12"/>
  <c r="AC135" i="12"/>
  <c r="AD135" i="12"/>
  <c r="X136" i="12"/>
  <c r="CC129" i="17" s="1"/>
  <c r="Z136" i="12"/>
  <c r="CE129" i="17" s="1"/>
  <c r="DB129" i="17" s="1"/>
  <c r="DP129" i="17" s="1"/>
  <c r="CF129" i="17"/>
  <c r="AB136" i="12"/>
  <c r="AC136" i="12"/>
  <c r="AD136" i="12"/>
  <c r="X137" i="12"/>
  <c r="CC130" i="17" s="1"/>
  <c r="Z137" i="12"/>
  <c r="CE130" i="17" s="1"/>
  <c r="DB130" i="17" s="1"/>
  <c r="DP130" i="17" s="1"/>
  <c r="CF130" i="17"/>
  <c r="AB137" i="12"/>
  <c r="AC137" i="12"/>
  <c r="AD137" i="12"/>
  <c r="X138" i="12"/>
  <c r="CC131" i="17" s="1"/>
  <c r="Z138" i="12"/>
  <c r="CE131" i="17" s="1"/>
  <c r="DB131" i="17" s="1"/>
  <c r="DP131" i="17" s="1"/>
  <c r="CF131" i="17"/>
  <c r="AB138" i="12"/>
  <c r="AC138" i="12"/>
  <c r="AD138" i="12"/>
  <c r="X139" i="12"/>
  <c r="CC132" i="17" s="1"/>
  <c r="Z139" i="12"/>
  <c r="CE132" i="17" s="1"/>
  <c r="DB132" i="17" s="1"/>
  <c r="DP132" i="17" s="1"/>
  <c r="CF132" i="17"/>
  <c r="AB139" i="12"/>
  <c r="AC139" i="12"/>
  <c r="AD139" i="12"/>
  <c r="X140" i="12"/>
  <c r="Z140" i="12"/>
  <c r="AB140" i="12"/>
  <c r="AC140" i="12"/>
  <c r="AD140" i="12"/>
  <c r="X141" i="12"/>
  <c r="CC133" i="17" s="1"/>
  <c r="Z141" i="12"/>
  <c r="CE133" i="17" s="1"/>
  <c r="DB133" i="17" s="1"/>
  <c r="DP133" i="17" s="1"/>
  <c r="CF133" i="17"/>
  <c r="AB141" i="12"/>
  <c r="AC141" i="12"/>
  <c r="AD141" i="12"/>
  <c r="X142" i="12"/>
  <c r="CC134" i="17" s="1"/>
  <c r="Z142" i="12"/>
  <c r="CE134" i="17" s="1"/>
  <c r="DB134" i="17" s="1"/>
  <c r="DP134" i="17" s="1"/>
  <c r="CF134" i="17"/>
  <c r="AB142" i="12"/>
  <c r="AC142" i="12"/>
  <c r="AD142" i="12"/>
  <c r="X143" i="12"/>
  <c r="CC135" i="17" s="1"/>
  <c r="Z143" i="12"/>
  <c r="CE135" i="17" s="1"/>
  <c r="DB135" i="17" s="1"/>
  <c r="DP135" i="17" s="1"/>
  <c r="CF135" i="17"/>
  <c r="AB143" i="12"/>
  <c r="AC143" i="12"/>
  <c r="AD143" i="12"/>
  <c r="X144" i="12"/>
  <c r="CC136" i="17" s="1"/>
  <c r="Z144" i="12"/>
  <c r="CE136" i="17" s="1"/>
  <c r="DB136" i="17" s="1"/>
  <c r="DP136" i="17" s="1"/>
  <c r="CF136" i="17"/>
  <c r="AB144" i="12"/>
  <c r="AC144" i="12"/>
  <c r="AD144" i="12"/>
  <c r="X145" i="12"/>
  <c r="CC137" i="17" s="1"/>
  <c r="Z145" i="12"/>
  <c r="CE137" i="17" s="1"/>
  <c r="DB137" i="17" s="1"/>
  <c r="DP137" i="17" s="1"/>
  <c r="CF137" i="17"/>
  <c r="AB145" i="12"/>
  <c r="AC145" i="12"/>
  <c r="AD145" i="12"/>
  <c r="X146" i="12"/>
  <c r="CC138" i="17" s="1"/>
  <c r="Z146" i="12"/>
  <c r="CE138" i="17" s="1"/>
  <c r="DB138" i="17" s="1"/>
  <c r="DP138" i="17" s="1"/>
  <c r="CF138" i="17"/>
  <c r="AB146" i="12"/>
  <c r="AC146" i="12"/>
  <c r="AD146" i="12"/>
  <c r="X147" i="12"/>
  <c r="CC139" i="17" s="1"/>
  <c r="Z147" i="12"/>
  <c r="CE139" i="17" s="1"/>
  <c r="DB139" i="17" s="1"/>
  <c r="DP139" i="17" s="1"/>
  <c r="CF139" i="17"/>
  <c r="AB147" i="12"/>
  <c r="AC147" i="12"/>
  <c r="AD147" i="12"/>
  <c r="X148" i="12"/>
  <c r="CC140" i="17" s="1"/>
  <c r="Z148" i="12"/>
  <c r="CE140" i="17" s="1"/>
  <c r="DB140" i="17" s="1"/>
  <c r="DP140" i="17" s="1"/>
  <c r="CF140" i="17"/>
  <c r="AB148" i="12"/>
  <c r="AC148" i="12"/>
  <c r="AD148" i="12"/>
  <c r="X149" i="12"/>
  <c r="CC141" i="17" s="1"/>
  <c r="Z149" i="12"/>
  <c r="CE141" i="17" s="1"/>
  <c r="DB141" i="17" s="1"/>
  <c r="DP141" i="17" s="1"/>
  <c r="CF141" i="17"/>
  <c r="AB149" i="12"/>
  <c r="AC149" i="12"/>
  <c r="AD149" i="12"/>
  <c r="X150" i="12"/>
  <c r="CC142" i="17" s="1"/>
  <c r="Z150" i="12"/>
  <c r="CE142" i="17" s="1"/>
  <c r="DB142" i="17" s="1"/>
  <c r="DP142" i="17" s="1"/>
  <c r="CF142" i="17"/>
  <c r="AB150" i="12"/>
  <c r="AC150" i="12"/>
  <c r="AD150" i="12"/>
  <c r="X151" i="12"/>
  <c r="CC143" i="17" s="1"/>
  <c r="Z151" i="12"/>
  <c r="CE143" i="17" s="1"/>
  <c r="DB143" i="17" s="1"/>
  <c r="DP143" i="17" s="1"/>
  <c r="CF143" i="17"/>
  <c r="AB151" i="12"/>
  <c r="AC151" i="12"/>
  <c r="AD151" i="12"/>
  <c r="X152" i="12"/>
  <c r="CC144" i="17" s="1"/>
  <c r="Z152" i="12"/>
  <c r="CE144" i="17" s="1"/>
  <c r="DB144" i="17" s="1"/>
  <c r="DP144" i="17" s="1"/>
  <c r="CF144" i="17"/>
  <c r="AB152" i="12"/>
  <c r="AC152" i="12"/>
  <c r="AD152" i="12"/>
  <c r="X153" i="12"/>
  <c r="CC145" i="17" s="1"/>
  <c r="Z153" i="12"/>
  <c r="CE145" i="17" s="1"/>
  <c r="DB145" i="17" s="1"/>
  <c r="DP145" i="17" s="1"/>
  <c r="CF145" i="17"/>
  <c r="AB153" i="12"/>
  <c r="AC153" i="12"/>
  <c r="AD153" i="12"/>
  <c r="X154" i="12"/>
  <c r="CC146" i="17" s="1"/>
  <c r="Z154" i="12"/>
  <c r="CE146" i="17" s="1"/>
  <c r="DB146" i="17" s="1"/>
  <c r="DP146" i="17" s="1"/>
  <c r="CF146" i="17"/>
  <c r="AB154" i="12"/>
  <c r="AC154" i="12"/>
  <c r="AD154" i="12"/>
  <c r="X155" i="12"/>
  <c r="CC147" i="17" s="1"/>
  <c r="Z155" i="12"/>
  <c r="CE147" i="17" s="1"/>
  <c r="DB147" i="17" s="1"/>
  <c r="DP147" i="17" s="1"/>
  <c r="CF147" i="17"/>
  <c r="AB155" i="12"/>
  <c r="AC155" i="12"/>
  <c r="AD155" i="12"/>
  <c r="X156" i="12"/>
  <c r="CC148" i="17" s="1"/>
  <c r="Z156" i="12"/>
  <c r="CE148" i="17" s="1"/>
  <c r="DB148" i="17" s="1"/>
  <c r="DP148" i="17" s="1"/>
  <c r="CF148" i="17"/>
  <c r="AB156" i="12"/>
  <c r="AC156" i="12"/>
  <c r="AD156" i="12"/>
  <c r="X157" i="12"/>
  <c r="CC149" i="17" s="1"/>
  <c r="Z157" i="12"/>
  <c r="CE149" i="17" s="1"/>
  <c r="DB149" i="17" s="1"/>
  <c r="DP149" i="17" s="1"/>
  <c r="CF149" i="17"/>
  <c r="AB157" i="12"/>
  <c r="AC157" i="12"/>
  <c r="AD157" i="12"/>
  <c r="X158" i="12"/>
  <c r="CC150" i="17" s="1"/>
  <c r="Z158" i="12"/>
  <c r="CE150" i="17" s="1"/>
  <c r="DB150" i="17" s="1"/>
  <c r="DP150" i="17" s="1"/>
  <c r="CF150" i="17"/>
  <c r="AB158" i="12"/>
  <c r="AC158" i="12"/>
  <c r="AD158" i="12"/>
  <c r="X159" i="12"/>
  <c r="CC151" i="17" s="1"/>
  <c r="Z159" i="12"/>
  <c r="CE151" i="17" s="1"/>
  <c r="DB151" i="17" s="1"/>
  <c r="DP151" i="17" s="1"/>
  <c r="CF151" i="17"/>
  <c r="AB159" i="12"/>
  <c r="AC159" i="12"/>
  <c r="AD159" i="12"/>
  <c r="X160" i="12"/>
  <c r="Z160" i="12"/>
  <c r="AB160" i="12"/>
  <c r="AC160" i="12"/>
  <c r="AD160" i="12"/>
  <c r="X161" i="12"/>
  <c r="CC152" i="17" s="1"/>
  <c r="Z161" i="12"/>
  <c r="CE152" i="17" s="1"/>
  <c r="DB152" i="17" s="1"/>
  <c r="DP152" i="17" s="1"/>
  <c r="CF152" i="17"/>
  <c r="AB161" i="12"/>
  <c r="AC161" i="12"/>
  <c r="AD161" i="12"/>
  <c r="X162" i="12"/>
  <c r="CC153" i="17" s="1"/>
  <c r="Z162" i="12"/>
  <c r="CE153" i="17" s="1"/>
  <c r="DB153" i="17" s="1"/>
  <c r="DP153" i="17" s="1"/>
  <c r="CF153" i="17"/>
  <c r="AB162" i="12"/>
  <c r="AC162" i="12"/>
  <c r="AD162" i="12"/>
  <c r="X163" i="12"/>
  <c r="CC154" i="17" s="1"/>
  <c r="Z163" i="12"/>
  <c r="CE154" i="17" s="1"/>
  <c r="DB154" i="17" s="1"/>
  <c r="DP154" i="17" s="1"/>
  <c r="CF154" i="17"/>
  <c r="AB163" i="12"/>
  <c r="AC163" i="12"/>
  <c r="AD163" i="12"/>
  <c r="X164" i="12"/>
  <c r="CC155" i="17" s="1"/>
  <c r="Z164" i="12"/>
  <c r="CE155" i="17" s="1"/>
  <c r="DB155" i="17" s="1"/>
  <c r="DP155" i="17" s="1"/>
  <c r="CF155" i="17"/>
  <c r="AB164" i="12"/>
  <c r="AC164" i="12"/>
  <c r="AD164" i="12"/>
  <c r="X165" i="12"/>
  <c r="CC156" i="17" s="1"/>
  <c r="Z165" i="12"/>
  <c r="CE156" i="17" s="1"/>
  <c r="DB156" i="17" s="1"/>
  <c r="DP156" i="17" s="1"/>
  <c r="CF156" i="17"/>
  <c r="AB165" i="12"/>
  <c r="AC165" i="12"/>
  <c r="AD165" i="12"/>
  <c r="X166" i="12"/>
  <c r="CC157" i="17" s="1"/>
  <c r="Z166" i="12"/>
  <c r="CE157" i="17" s="1"/>
  <c r="DB157" i="17" s="1"/>
  <c r="DP157" i="17" s="1"/>
  <c r="CF157" i="17"/>
  <c r="AB166" i="12"/>
  <c r="AC166" i="12"/>
  <c r="AD166" i="12"/>
  <c r="X167" i="12"/>
  <c r="CC158" i="17" s="1"/>
  <c r="Z167" i="12"/>
  <c r="CE158" i="17" s="1"/>
  <c r="DB158" i="17" s="1"/>
  <c r="DP158" i="17" s="1"/>
  <c r="CF158" i="17"/>
  <c r="AB167" i="12"/>
  <c r="AC167" i="12"/>
  <c r="AD167" i="12"/>
  <c r="X168" i="12"/>
  <c r="CC159" i="17" s="1"/>
  <c r="Z168" i="12"/>
  <c r="CE159" i="17" s="1"/>
  <c r="DB159" i="17" s="1"/>
  <c r="DP159" i="17" s="1"/>
  <c r="CF159" i="17"/>
  <c r="AB168" i="12"/>
  <c r="AC168" i="12"/>
  <c r="AD168" i="12"/>
  <c r="X169" i="12"/>
  <c r="CC160" i="17" s="1"/>
  <c r="Z169" i="12"/>
  <c r="CE160" i="17" s="1"/>
  <c r="DB160" i="17" s="1"/>
  <c r="DP160" i="17" s="1"/>
  <c r="CF160" i="17"/>
  <c r="AB169" i="12"/>
  <c r="AC169" i="12"/>
  <c r="AD169" i="12"/>
  <c r="X170" i="12"/>
  <c r="CC161" i="17" s="1"/>
  <c r="Z170" i="12"/>
  <c r="CE161" i="17" s="1"/>
  <c r="DB161" i="17" s="1"/>
  <c r="DP161" i="17" s="1"/>
  <c r="CF161" i="17"/>
  <c r="AB170" i="12"/>
  <c r="AC170" i="12"/>
  <c r="AD170" i="12"/>
  <c r="X171" i="12"/>
  <c r="CC162" i="17" s="1"/>
  <c r="Z171" i="12"/>
  <c r="CE162" i="17" s="1"/>
  <c r="DB162" i="17" s="1"/>
  <c r="DP162" i="17" s="1"/>
  <c r="CF162" i="17"/>
  <c r="AB171" i="12"/>
  <c r="AC171" i="12"/>
  <c r="AD171" i="12"/>
  <c r="X172" i="12"/>
  <c r="CC163" i="17" s="1"/>
  <c r="Z172" i="12"/>
  <c r="CE163" i="17" s="1"/>
  <c r="DB163" i="17" s="1"/>
  <c r="DP163" i="17" s="1"/>
  <c r="CF163" i="17"/>
  <c r="AB172" i="12"/>
  <c r="AC172" i="12"/>
  <c r="AD172" i="12"/>
  <c r="X173" i="12"/>
  <c r="CC164" i="17" s="1"/>
  <c r="Z173" i="12"/>
  <c r="CE164" i="17" s="1"/>
  <c r="DB164" i="17" s="1"/>
  <c r="DP164" i="17" s="1"/>
  <c r="CF164" i="17"/>
  <c r="AB173" i="12"/>
  <c r="AC173" i="12"/>
  <c r="AD173" i="12"/>
  <c r="X174" i="12"/>
  <c r="CC165" i="17" s="1"/>
  <c r="Z174" i="12"/>
  <c r="CE165" i="17" s="1"/>
  <c r="DB165" i="17" s="1"/>
  <c r="DP165" i="17" s="1"/>
  <c r="CF165" i="17"/>
  <c r="AB174" i="12"/>
  <c r="AC174" i="12"/>
  <c r="AD174" i="12"/>
  <c r="X175" i="12"/>
  <c r="CC166" i="17" s="1"/>
  <c r="Z175" i="12"/>
  <c r="CE166" i="17" s="1"/>
  <c r="DB166" i="17" s="1"/>
  <c r="DP166" i="17" s="1"/>
  <c r="CF166" i="17"/>
  <c r="AB175" i="12"/>
  <c r="AC175" i="12"/>
  <c r="AD175" i="12"/>
  <c r="X176" i="12"/>
  <c r="CC167" i="17" s="1"/>
  <c r="Z176" i="12"/>
  <c r="CE167" i="17" s="1"/>
  <c r="DB167" i="17" s="1"/>
  <c r="DP167" i="17" s="1"/>
  <c r="CF167" i="17"/>
  <c r="AB176" i="12"/>
  <c r="AC176" i="12"/>
  <c r="AD176" i="12"/>
  <c r="X177" i="12"/>
  <c r="CC168" i="17" s="1"/>
  <c r="Z177" i="12"/>
  <c r="CE168" i="17" s="1"/>
  <c r="DB168" i="17" s="1"/>
  <c r="DP168" i="17" s="1"/>
  <c r="CF168" i="17"/>
  <c r="AB177" i="12"/>
  <c r="AC177" i="12"/>
  <c r="AD177" i="12"/>
  <c r="X178" i="12"/>
  <c r="CC169" i="17" s="1"/>
  <c r="Z178" i="12"/>
  <c r="CE169" i="17" s="1"/>
  <c r="DB169" i="17" s="1"/>
  <c r="DP169" i="17" s="1"/>
  <c r="CF169" i="17"/>
  <c r="AB178" i="12"/>
  <c r="AC178" i="12"/>
  <c r="AD178" i="12"/>
  <c r="X179" i="12"/>
  <c r="CC170" i="17" s="1"/>
  <c r="Z179" i="12"/>
  <c r="CE170" i="17" s="1"/>
  <c r="DB170" i="17" s="1"/>
  <c r="DP170" i="17" s="1"/>
  <c r="CF170" i="17"/>
  <c r="AB179" i="12"/>
  <c r="AC179" i="12"/>
  <c r="AD179" i="12"/>
  <c r="X180" i="12"/>
  <c r="CC171" i="17" s="1"/>
  <c r="Z180" i="12"/>
  <c r="CE171" i="17" s="1"/>
  <c r="DB171" i="17" s="1"/>
  <c r="DP171" i="17" s="1"/>
  <c r="CF171" i="17"/>
  <c r="AB180" i="12"/>
  <c r="AC180" i="12"/>
  <c r="AD180" i="12"/>
  <c r="X181" i="12"/>
  <c r="CC172" i="17" s="1"/>
  <c r="Z181" i="12"/>
  <c r="CE172" i="17" s="1"/>
  <c r="DB172" i="17" s="1"/>
  <c r="DP172" i="17" s="1"/>
  <c r="CF172" i="17"/>
  <c r="AB181" i="12"/>
  <c r="AC181" i="12"/>
  <c r="AD181" i="12"/>
  <c r="X182" i="12"/>
  <c r="CC173" i="17" s="1"/>
  <c r="Z182" i="12"/>
  <c r="CE173" i="17" s="1"/>
  <c r="DB173" i="17" s="1"/>
  <c r="DP173" i="17" s="1"/>
  <c r="CF173" i="17"/>
  <c r="AB182" i="12"/>
  <c r="AC182" i="12"/>
  <c r="AD182" i="12"/>
  <c r="X183" i="12"/>
  <c r="CC174" i="17" s="1"/>
  <c r="Z183" i="12"/>
  <c r="CE174" i="17" s="1"/>
  <c r="DB174" i="17" s="1"/>
  <c r="DP174" i="17" s="1"/>
  <c r="CF174" i="17"/>
  <c r="AB183" i="12"/>
  <c r="AC183" i="12"/>
  <c r="AD183" i="12"/>
  <c r="X184" i="12"/>
  <c r="CC175" i="17" s="1"/>
  <c r="Z184" i="12"/>
  <c r="CE175" i="17" s="1"/>
  <c r="DB175" i="17" s="1"/>
  <c r="DP175" i="17" s="1"/>
  <c r="CF175" i="17"/>
  <c r="AB184" i="12"/>
  <c r="AC184" i="12"/>
  <c r="AD184" i="12"/>
  <c r="X185" i="12"/>
  <c r="CC176" i="17" s="1"/>
  <c r="Z185" i="12"/>
  <c r="CE176" i="17" s="1"/>
  <c r="DB176" i="17" s="1"/>
  <c r="DP176" i="17" s="1"/>
  <c r="CF176" i="17"/>
  <c r="AB185" i="12"/>
  <c r="AC185" i="12"/>
  <c r="AD185" i="12"/>
  <c r="X186" i="12"/>
  <c r="CC177" i="17" s="1"/>
  <c r="Z186" i="12"/>
  <c r="CE177" i="17" s="1"/>
  <c r="DB177" i="17" s="1"/>
  <c r="DP177" i="17" s="1"/>
  <c r="CF177" i="17"/>
  <c r="AB186" i="12"/>
  <c r="AC186" i="12"/>
  <c r="AD186" i="12"/>
  <c r="X187" i="12"/>
  <c r="CC178" i="17" s="1"/>
  <c r="Z187" i="12"/>
  <c r="CE178" i="17" s="1"/>
  <c r="DB178" i="17" s="1"/>
  <c r="DP178" i="17" s="1"/>
  <c r="CF178" i="17"/>
  <c r="AB187" i="12"/>
  <c r="AC187" i="12"/>
  <c r="AD187" i="12"/>
  <c r="X188" i="12"/>
  <c r="CC179" i="17" s="1"/>
  <c r="Z188" i="12"/>
  <c r="CE179" i="17" s="1"/>
  <c r="DB179" i="17" s="1"/>
  <c r="DP179" i="17" s="1"/>
  <c r="CF179" i="17"/>
  <c r="AB188" i="12"/>
  <c r="AC188" i="12"/>
  <c r="AD188" i="12"/>
  <c r="X189" i="12"/>
  <c r="CC180" i="17" s="1"/>
  <c r="Z189" i="12"/>
  <c r="CE180" i="17" s="1"/>
  <c r="DB180" i="17" s="1"/>
  <c r="DP180" i="17" s="1"/>
  <c r="CF180" i="17"/>
  <c r="AB189" i="12"/>
  <c r="AC189" i="12"/>
  <c r="AD189" i="12"/>
  <c r="X190" i="12"/>
  <c r="CC181" i="17" s="1"/>
  <c r="Z190" i="12"/>
  <c r="CE181" i="17" s="1"/>
  <c r="DB181" i="17" s="1"/>
  <c r="DP181" i="17" s="1"/>
  <c r="CF181" i="17"/>
  <c r="AB190" i="12"/>
  <c r="AC190" i="12"/>
  <c r="AD190" i="12"/>
  <c r="X191" i="12"/>
  <c r="CC182" i="17" s="1"/>
  <c r="Z191" i="12"/>
  <c r="CE182" i="17" s="1"/>
  <c r="DB182" i="17" s="1"/>
  <c r="DP182" i="17" s="1"/>
  <c r="CF182" i="17"/>
  <c r="AB191" i="12"/>
  <c r="AC191" i="12"/>
  <c r="AD191" i="12"/>
  <c r="X192" i="12"/>
  <c r="CC183" i="17" s="1"/>
  <c r="Z192" i="12"/>
  <c r="CE183" i="17" s="1"/>
  <c r="DB183" i="17" s="1"/>
  <c r="DP183" i="17" s="1"/>
  <c r="CF183" i="17"/>
  <c r="AB192" i="12"/>
  <c r="AC192" i="12"/>
  <c r="AD192" i="12"/>
  <c r="X193" i="12"/>
  <c r="CC184" i="17" s="1"/>
  <c r="Z193" i="12"/>
  <c r="CE184" i="17" s="1"/>
  <c r="DB184" i="17" s="1"/>
  <c r="DP184" i="17" s="1"/>
  <c r="CF184" i="17"/>
  <c r="AB193" i="12"/>
  <c r="AC193" i="12"/>
  <c r="AD193" i="12"/>
  <c r="X194" i="12"/>
  <c r="CC185" i="17" s="1"/>
  <c r="Z194" i="12"/>
  <c r="CE185" i="17" s="1"/>
  <c r="DB185" i="17" s="1"/>
  <c r="DP185" i="17" s="1"/>
  <c r="CF185" i="17"/>
  <c r="AB194" i="12"/>
  <c r="AC194" i="12"/>
  <c r="AD194" i="12"/>
  <c r="X195" i="12"/>
  <c r="CC186" i="17" s="1"/>
  <c r="Z195" i="12"/>
  <c r="CE186" i="17" s="1"/>
  <c r="DB186" i="17" s="1"/>
  <c r="DP186" i="17" s="1"/>
  <c r="CF186" i="17"/>
  <c r="AB195" i="12"/>
  <c r="AC195" i="12"/>
  <c r="AD195" i="12"/>
  <c r="X196" i="12"/>
  <c r="CC187" i="17" s="1"/>
  <c r="Z196" i="12"/>
  <c r="CE187" i="17" s="1"/>
  <c r="DB187" i="17" s="1"/>
  <c r="DP187" i="17" s="1"/>
  <c r="CF187" i="17"/>
  <c r="AB196" i="12"/>
  <c r="AC196" i="12"/>
  <c r="AD196" i="12"/>
  <c r="X197" i="12"/>
  <c r="CC188" i="17" s="1"/>
  <c r="Z197" i="12"/>
  <c r="CE188" i="17" s="1"/>
  <c r="DB188" i="17" s="1"/>
  <c r="DP188" i="17" s="1"/>
  <c r="CF188" i="17"/>
  <c r="AB197" i="12"/>
  <c r="AC197" i="12"/>
  <c r="AD197" i="12"/>
  <c r="X198" i="12"/>
  <c r="CC189" i="17" s="1"/>
  <c r="Z198" i="12"/>
  <c r="CE189" i="17" s="1"/>
  <c r="DB189" i="17" s="1"/>
  <c r="DP189" i="17" s="1"/>
  <c r="CF189" i="17"/>
  <c r="AB198" i="12"/>
  <c r="AC198" i="12"/>
  <c r="AD198" i="12"/>
  <c r="X199" i="12"/>
  <c r="CC190" i="17" s="1"/>
  <c r="Z199" i="12"/>
  <c r="CE190" i="17" s="1"/>
  <c r="DB190" i="17" s="1"/>
  <c r="DP190" i="17" s="1"/>
  <c r="CF190" i="17"/>
  <c r="AB199" i="12"/>
  <c r="AC199" i="12"/>
  <c r="AD199" i="12"/>
  <c r="X200" i="12"/>
  <c r="CC191" i="17" s="1"/>
  <c r="Z200" i="12"/>
  <c r="CE191" i="17" s="1"/>
  <c r="DB191" i="17" s="1"/>
  <c r="DP191" i="17" s="1"/>
  <c r="CF191" i="17"/>
  <c r="AB200" i="12"/>
  <c r="AC200" i="12"/>
  <c r="AD200" i="12"/>
  <c r="X201" i="12"/>
  <c r="CC192" i="17" s="1"/>
  <c r="Z201" i="12"/>
  <c r="CE192" i="17" s="1"/>
  <c r="DB192" i="17" s="1"/>
  <c r="DP192" i="17" s="1"/>
  <c r="CF192" i="17"/>
  <c r="AB201" i="12"/>
  <c r="AC201" i="12"/>
  <c r="AD201" i="12"/>
  <c r="AD11" i="12"/>
  <c r="AC11" i="12"/>
  <c r="AB11" i="12"/>
  <c r="CF5" i="17"/>
  <c r="CE5" i="17"/>
  <c r="X11" i="12"/>
  <c r="CC5" i="17" s="1"/>
  <c r="G210" i="12"/>
  <c r="T201" i="12"/>
  <c r="T200" i="12"/>
  <c r="T199" i="12"/>
  <c r="T198" i="12"/>
  <c r="T197" i="12"/>
  <c r="T195" i="12"/>
  <c r="T194" i="12"/>
  <c r="T193" i="12"/>
  <c r="T191" i="12"/>
  <c r="T190" i="12"/>
  <c r="T189" i="12"/>
  <c r="T187" i="12"/>
  <c r="T186" i="12"/>
  <c r="T185" i="12"/>
  <c r="T182" i="12"/>
  <c r="T181" i="12"/>
  <c r="T180" i="12"/>
  <c r="T179" i="12"/>
  <c r="T178" i="12"/>
  <c r="T176" i="12"/>
  <c r="T174" i="12"/>
  <c r="T173" i="12"/>
  <c r="T172" i="12"/>
  <c r="T170" i="12"/>
  <c r="T169" i="12"/>
  <c r="T168" i="12"/>
  <c r="T166" i="12"/>
  <c r="T165" i="12"/>
  <c r="T164" i="12"/>
  <c r="T161" i="12"/>
  <c r="T160" i="12"/>
  <c r="T159" i="12"/>
  <c r="T157" i="12"/>
  <c r="T154" i="12"/>
  <c r="T153" i="12"/>
  <c r="T152" i="12"/>
  <c r="T150" i="12"/>
  <c r="T149" i="12"/>
  <c r="T148" i="12"/>
  <c r="T145" i="12"/>
  <c r="T143" i="12"/>
  <c r="T142" i="12"/>
  <c r="T141" i="12"/>
  <c r="T140" i="12"/>
  <c r="T139" i="12"/>
  <c r="T138" i="12"/>
  <c r="T136" i="12"/>
  <c r="T133" i="12"/>
  <c r="T132" i="12"/>
  <c r="T130" i="12"/>
  <c r="T128" i="12"/>
  <c r="T125" i="12"/>
  <c r="T124" i="12"/>
  <c r="T123" i="12"/>
  <c r="T122" i="12"/>
  <c r="T121" i="12"/>
  <c r="T119" i="12"/>
  <c r="T118" i="12"/>
  <c r="T113" i="12"/>
  <c r="T112" i="12"/>
  <c r="T108" i="12"/>
  <c r="T105" i="12"/>
  <c r="T104" i="12"/>
  <c r="T100" i="12"/>
  <c r="T99" i="12"/>
  <c r="T98" i="12"/>
  <c r="T97" i="12"/>
  <c r="T96" i="12"/>
  <c r="T95" i="12"/>
  <c r="T94" i="12"/>
  <c r="T93" i="12"/>
  <c r="T92" i="12"/>
  <c r="T91" i="12"/>
  <c r="T90" i="12"/>
  <c r="T88" i="12"/>
  <c r="T86" i="12"/>
  <c r="T84" i="12"/>
  <c r="T82" i="12"/>
  <c r="T80" i="12"/>
  <c r="T78" i="12"/>
  <c r="T74" i="12"/>
  <c r="T73" i="12"/>
  <c r="T63" i="12"/>
  <c r="T61" i="12"/>
  <c r="T60" i="12"/>
  <c r="T59" i="12"/>
  <c r="T58" i="12"/>
  <c r="T57" i="12"/>
  <c r="T56" i="12"/>
  <c r="T55" i="12"/>
  <c r="T54" i="12"/>
  <c r="T53" i="12"/>
  <c r="T52" i="12"/>
  <c r="T51" i="12"/>
  <c r="T50" i="12"/>
  <c r="T49" i="12"/>
  <c r="T48" i="12"/>
  <c r="T47" i="12"/>
  <c r="T46" i="12"/>
  <c r="T45" i="12"/>
  <c r="T44" i="12"/>
  <c r="T43" i="12"/>
  <c r="T42" i="12"/>
  <c r="T41" i="12"/>
  <c r="T40" i="12"/>
  <c r="T39" i="12"/>
  <c r="T38" i="12"/>
  <c r="T37" i="12"/>
  <c r="T36" i="12"/>
  <c r="T34" i="12"/>
  <c r="T31" i="12"/>
  <c r="T30" i="12"/>
  <c r="T29" i="12"/>
  <c r="T28" i="12"/>
  <c r="T27" i="12"/>
  <c r="T22" i="12"/>
  <c r="T20" i="12"/>
  <c r="T19" i="12"/>
  <c r="T18" i="12"/>
  <c r="T15" i="12"/>
  <c r="N8" i="12"/>
  <c r="L8" i="12"/>
  <c r="L2" i="12" s="1"/>
  <c r="Q8" i="12"/>
  <c r="T13" i="12"/>
  <c r="T12" i="12"/>
  <c r="R8" i="12"/>
  <c r="O8" i="12"/>
  <c r="O2" i="12" s="1"/>
  <c r="T11" i="12"/>
  <c r="J8" i="12"/>
  <c r="K8" i="12"/>
  <c r="K2" i="12" s="1"/>
  <c r="DB5" i="17" l="1"/>
  <c r="CA68" i="19"/>
  <c r="DI68" i="19" s="1"/>
  <c r="DO11" i="17"/>
  <c r="CA206" i="19"/>
  <c r="DI206" i="19" s="1"/>
  <c r="DO19" i="17"/>
  <c r="CA191" i="19"/>
  <c r="DI191" i="19" s="1"/>
  <c r="DO27" i="17"/>
  <c r="CA113" i="19"/>
  <c r="DI113" i="19" s="1"/>
  <c r="DO35" i="17"/>
  <c r="CA112" i="19"/>
  <c r="DI112" i="19" s="1"/>
  <c r="DO97" i="17"/>
  <c r="CA155" i="19"/>
  <c r="DI155" i="19" s="1"/>
  <c r="DO122" i="17"/>
  <c r="CA23" i="19"/>
  <c r="DI23" i="19" s="1"/>
  <c r="DO130" i="17"/>
  <c r="CA32" i="19"/>
  <c r="DI32" i="19" s="1"/>
  <c r="DO145" i="17"/>
  <c r="CA54" i="19"/>
  <c r="DI54" i="19" s="1"/>
  <c r="DO152" i="17"/>
  <c r="CA74" i="19"/>
  <c r="DI74" i="19" s="1"/>
  <c r="DO160" i="17"/>
  <c r="CA124" i="19"/>
  <c r="DI124" i="19" s="1"/>
  <c r="DO168" i="17"/>
  <c r="CA128" i="19"/>
  <c r="DI128" i="19" s="1"/>
  <c r="DO176" i="17"/>
  <c r="CA190" i="19"/>
  <c r="DI190" i="19" s="1"/>
  <c r="DO184" i="17"/>
  <c r="CA97" i="19"/>
  <c r="DI97" i="19" s="1"/>
  <c r="DO88" i="17"/>
  <c r="CA114" i="19"/>
  <c r="DI114" i="19" s="1"/>
  <c r="DO28" i="17"/>
  <c r="CA196" i="19"/>
  <c r="DI196" i="19" s="1"/>
  <c r="DO5" i="17"/>
  <c r="CA156" i="19"/>
  <c r="DI156" i="19" s="1"/>
  <c r="DO13" i="17"/>
  <c r="CA61" i="19"/>
  <c r="DI61" i="19" s="1"/>
  <c r="DO21" i="17"/>
  <c r="CA34" i="19"/>
  <c r="DI34" i="19" s="1"/>
  <c r="DO29" i="17"/>
  <c r="CA176" i="19"/>
  <c r="DI176" i="19" s="1"/>
  <c r="DO37" i="17"/>
  <c r="CA64" i="19"/>
  <c r="DI64" i="19" s="1"/>
  <c r="DO67" i="17"/>
  <c r="CA152" i="19"/>
  <c r="DI152" i="19" s="1"/>
  <c r="DO75" i="17"/>
  <c r="CA85" i="19"/>
  <c r="DI85" i="19" s="1"/>
  <c r="DO83" i="17"/>
  <c r="CA160" i="19"/>
  <c r="DI160" i="19" s="1"/>
  <c r="DO124" i="17"/>
  <c r="CA50" i="19"/>
  <c r="DI50" i="19" s="1"/>
  <c r="DO139" i="17"/>
  <c r="CA91" i="19"/>
  <c r="DI91" i="19" s="1"/>
  <c r="DO162" i="17"/>
  <c r="CA101" i="19"/>
  <c r="DI101" i="19" s="1"/>
  <c r="DO170" i="17"/>
  <c r="CA131" i="19"/>
  <c r="DI131" i="19" s="1"/>
  <c r="DO178" i="17"/>
  <c r="CA203" i="19"/>
  <c r="DI203" i="19" s="1"/>
  <c r="DO10" i="17"/>
  <c r="CA187" i="19"/>
  <c r="DI187" i="19" s="1"/>
  <c r="DO34" i="17"/>
  <c r="CA163" i="19"/>
  <c r="DI163" i="19" s="1"/>
  <c r="DO129" i="17"/>
  <c r="CA150" i="19"/>
  <c r="DI150" i="19" s="1"/>
  <c r="DO191" i="17"/>
  <c r="CA40" i="19"/>
  <c r="DI40" i="19" s="1"/>
  <c r="DO161" i="17"/>
  <c r="CA42" i="19"/>
  <c r="DI42" i="19" s="1"/>
  <c r="DO185" i="17"/>
  <c r="CA169" i="19"/>
  <c r="DI169" i="19" s="1"/>
  <c r="DO6" i="17"/>
  <c r="CA60" i="19"/>
  <c r="DI60" i="19" s="1"/>
  <c r="DO14" i="17"/>
  <c r="CA75" i="19"/>
  <c r="DI75" i="19" s="1"/>
  <c r="DO22" i="17"/>
  <c r="CA99" i="19"/>
  <c r="DI99" i="19" s="1"/>
  <c r="DO30" i="17"/>
  <c r="CA76" i="19"/>
  <c r="DI76" i="19" s="1"/>
  <c r="DO38" i="17"/>
  <c r="CA192" i="19"/>
  <c r="DI192" i="19" s="1"/>
  <c r="DO92" i="17"/>
  <c r="CA116" i="19"/>
  <c r="DI116" i="19" s="1"/>
  <c r="DO100" i="17"/>
  <c r="CA171" i="19"/>
  <c r="DI171" i="19" s="1"/>
  <c r="DO108" i="17"/>
  <c r="CA159" i="19"/>
  <c r="DI159" i="19" s="1"/>
  <c r="DO148" i="17"/>
  <c r="CA145" i="19"/>
  <c r="DI145" i="19" s="1"/>
  <c r="DO163" i="17"/>
  <c r="CA186" i="19"/>
  <c r="DI186" i="19" s="1"/>
  <c r="DO171" i="17"/>
  <c r="CA125" i="19"/>
  <c r="DI125" i="19" s="1"/>
  <c r="DO179" i="17"/>
  <c r="CA174" i="19"/>
  <c r="DI174" i="19" s="1"/>
  <c r="DO18" i="17"/>
  <c r="CA49" i="19"/>
  <c r="DI49" i="19" s="1"/>
  <c r="DO49" i="17"/>
  <c r="CA19" i="19"/>
  <c r="DI19" i="19" s="1"/>
  <c r="DO121" i="17"/>
  <c r="CA139" i="19"/>
  <c r="DI139" i="19" s="1"/>
  <c r="DO183" i="17"/>
  <c r="CA63" i="19"/>
  <c r="DI63" i="19" s="1"/>
  <c r="DO146" i="17"/>
  <c r="CA29" i="19"/>
  <c r="DI29" i="19" s="1"/>
  <c r="DO7" i="17"/>
  <c r="CA78" i="19"/>
  <c r="DI78" i="19" s="1"/>
  <c r="DO15" i="17"/>
  <c r="CA188" i="19"/>
  <c r="DI188" i="19" s="1"/>
  <c r="DO23" i="17"/>
  <c r="CA180" i="19"/>
  <c r="DI180" i="19" s="1"/>
  <c r="DO31" i="17"/>
  <c r="CA37" i="19"/>
  <c r="DI37" i="19" s="1"/>
  <c r="DO46" i="17"/>
  <c r="CA141" i="19"/>
  <c r="DI141" i="19" s="1"/>
  <c r="DO101" i="17"/>
  <c r="CA167" i="19"/>
  <c r="DI167" i="19" s="1"/>
  <c r="DO118" i="17"/>
  <c r="CA15" i="19"/>
  <c r="DI15" i="19" s="1"/>
  <c r="DO126" i="17"/>
  <c r="CA80" i="19"/>
  <c r="DI80" i="19" s="1"/>
  <c r="DO133" i="17"/>
  <c r="CA96" i="19"/>
  <c r="DI96" i="19" s="1"/>
  <c r="DO141" i="17"/>
  <c r="CA14" i="19"/>
  <c r="DI14" i="19" s="1"/>
  <c r="DO149" i="17"/>
  <c r="CA198" i="19"/>
  <c r="DI198" i="19" s="1"/>
  <c r="DO180" i="17"/>
  <c r="CA8" i="19"/>
  <c r="DI8" i="19" s="1"/>
  <c r="DO26" i="17"/>
  <c r="CA26" i="19"/>
  <c r="DI26" i="19" s="1"/>
  <c r="DO42" i="17"/>
  <c r="CA44" i="19"/>
  <c r="DI44" i="19" s="1"/>
  <c r="DO104" i="17"/>
  <c r="CA89" i="19"/>
  <c r="DI89" i="19" s="1"/>
  <c r="DO12" i="17"/>
  <c r="CA69" i="19"/>
  <c r="DI69" i="19" s="1"/>
  <c r="DO20" i="17"/>
  <c r="CA157" i="19"/>
  <c r="DI157" i="19" s="1"/>
  <c r="DO36" i="17"/>
  <c r="CA39" i="19"/>
  <c r="DI39" i="19" s="1"/>
  <c r="DO153" i="17"/>
  <c r="CA201" i="19"/>
  <c r="DI201" i="19" s="1"/>
  <c r="DO169" i="17"/>
  <c r="CA122" i="19"/>
  <c r="DI122" i="19" s="1"/>
  <c r="DO177" i="17"/>
  <c r="CA57" i="19"/>
  <c r="DI57" i="19" s="1"/>
  <c r="DO8" i="17"/>
  <c r="CA11" i="19"/>
  <c r="DI11" i="19" s="1"/>
  <c r="DO16" i="17"/>
  <c r="CA22" i="19"/>
  <c r="DI22" i="19" s="1"/>
  <c r="DO24" i="17"/>
  <c r="CA13" i="19"/>
  <c r="DI13" i="19" s="1"/>
  <c r="DO55" i="17"/>
  <c r="CA79" i="19"/>
  <c r="DI79" i="19" s="1"/>
  <c r="DO78" i="17"/>
  <c r="CA195" i="19"/>
  <c r="DI195" i="19" s="1"/>
  <c r="DO94" i="17"/>
  <c r="CA168" i="19"/>
  <c r="DI168" i="19" s="1"/>
  <c r="DO119" i="17"/>
  <c r="CA154" i="19"/>
  <c r="DI154" i="19" s="1"/>
  <c r="DO127" i="17"/>
  <c r="CA204" i="19"/>
  <c r="DI204" i="19" s="1"/>
  <c r="DO157" i="17"/>
  <c r="CA102" i="19"/>
  <c r="DI102" i="19" s="1"/>
  <c r="DO165" i="17"/>
  <c r="CA134" i="19"/>
  <c r="DI134" i="19" s="1"/>
  <c r="DO173" i="17"/>
  <c r="CA72" i="19"/>
  <c r="DI72" i="19" s="1"/>
  <c r="DO181" i="17"/>
  <c r="CA38" i="19"/>
  <c r="DI38" i="19" s="1"/>
  <c r="DO123" i="17"/>
  <c r="CA103" i="19"/>
  <c r="DI103" i="19" s="1"/>
  <c r="DO9" i="17"/>
  <c r="CA109" i="19"/>
  <c r="DI109" i="19" s="1"/>
  <c r="DO17" i="17"/>
  <c r="CA52" i="19"/>
  <c r="DI52" i="19" s="1"/>
  <c r="DO25" i="17"/>
  <c r="CA189" i="19"/>
  <c r="DI189" i="19" s="1"/>
  <c r="DO33" i="17"/>
  <c r="CA46" i="19"/>
  <c r="DI46" i="19" s="1"/>
  <c r="DO48" i="17"/>
  <c r="CA108" i="19"/>
  <c r="DI108" i="19" s="1"/>
  <c r="DO56" i="17"/>
  <c r="CA67" i="19"/>
  <c r="DI67" i="19" s="1"/>
  <c r="DO71" i="17"/>
  <c r="CA106" i="19"/>
  <c r="DI106" i="19" s="1"/>
  <c r="DO95" i="17"/>
  <c r="DO120" i="17"/>
  <c r="CA30" i="19"/>
  <c r="DI30" i="19" s="1"/>
  <c r="CA197" i="19"/>
  <c r="DI197" i="19" s="1"/>
  <c r="DO166" i="17"/>
  <c r="CA126" i="19"/>
  <c r="DI126" i="19" s="1"/>
  <c r="DO174" i="17"/>
  <c r="CJ30" i="17"/>
  <c r="L26" i="1"/>
  <c r="L21" i="1"/>
  <c r="E21" i="21" s="1"/>
  <c r="CE30" i="17"/>
  <c r="DB30" i="17" s="1"/>
  <c r="DP30" i="17" s="1"/>
  <c r="L28" i="1"/>
  <c r="CL26" i="17"/>
  <c r="CJ16" i="17"/>
  <c r="L18" i="1"/>
  <c r="E18" i="21" s="1"/>
  <c r="CB26" i="17"/>
  <c r="CM16" i="17"/>
  <c r="L29" i="1"/>
  <c r="L45" i="1" s="1"/>
  <c r="E45" i="21" s="1"/>
  <c r="L19" i="1"/>
  <c r="E19" i="21" s="1"/>
  <c r="L20" i="1"/>
  <c r="E20" i="21" s="1"/>
  <c r="L22" i="1"/>
  <c r="U13" i="12"/>
  <c r="U49" i="12"/>
  <c r="U98" i="12"/>
  <c r="U189" i="12"/>
  <c r="U12" i="12"/>
  <c r="U42" i="12"/>
  <c r="U145" i="12"/>
  <c r="U142" i="12"/>
  <c r="U58" i="12"/>
  <c r="U39" i="12"/>
  <c r="U181" i="12"/>
  <c r="U193" i="12"/>
  <c r="U143" i="12"/>
  <c r="U60" i="12"/>
  <c r="U122" i="12"/>
  <c r="U133" i="12"/>
  <c r="U50" i="12"/>
  <c r="U119" i="12"/>
  <c r="U140" i="12"/>
  <c r="U18" i="12"/>
  <c r="U141" i="12"/>
  <c r="U37" i="12"/>
  <c r="U40" i="12"/>
  <c r="U201" i="12"/>
  <c r="Q2" i="12"/>
  <c r="J2" i="12"/>
  <c r="R2" i="12"/>
  <c r="U27" i="12"/>
  <c r="N2" i="12"/>
  <c r="U15" i="12"/>
  <c r="U47" i="12"/>
  <c r="T16" i="12"/>
  <c r="U16" i="12" s="1"/>
  <c r="U31" i="12"/>
  <c r="U74" i="12"/>
  <c r="T21" i="12"/>
  <c r="U21" i="12" s="1"/>
  <c r="I8" i="12"/>
  <c r="I2" i="12" s="1"/>
  <c r="P8" i="12"/>
  <c r="P2" i="12" s="1"/>
  <c r="T17" i="12"/>
  <c r="U29" i="12"/>
  <c r="T35" i="12"/>
  <c r="U35" i="12" s="1"/>
  <c r="U44" i="12"/>
  <c r="U56" i="12"/>
  <c r="T24" i="12"/>
  <c r="T26" i="12"/>
  <c r="U26" i="12" s="1"/>
  <c r="U46" i="12"/>
  <c r="T65" i="12"/>
  <c r="U65" i="12" s="1"/>
  <c r="T81" i="12"/>
  <c r="M8" i="12"/>
  <c r="M2" i="12" s="1"/>
  <c r="U36" i="12"/>
  <c r="U53" i="12"/>
  <c r="U28" i="12"/>
  <c r="U30" i="12"/>
  <c r="T33" i="12"/>
  <c r="T8" i="12" s="1"/>
  <c r="U34" i="12"/>
  <c r="U41" i="12"/>
  <c r="U43" i="12"/>
  <c r="U55" i="12"/>
  <c r="U97" i="12"/>
  <c r="U54" i="12"/>
  <c r="T196" i="12"/>
  <c r="U196" i="12" s="1"/>
  <c r="U51" i="12"/>
  <c r="T14" i="12"/>
  <c r="T202" i="12" s="1"/>
  <c r="U19" i="12"/>
  <c r="T23" i="12"/>
  <c r="U23" i="12" s="1"/>
  <c r="T32" i="12"/>
  <c r="U48" i="12"/>
  <c r="U52" i="12"/>
  <c r="U59" i="12"/>
  <c r="T69" i="12"/>
  <c r="U69" i="12" s="1"/>
  <c r="T183" i="12"/>
  <c r="U183" i="12" s="1"/>
  <c r="U20" i="12"/>
  <c r="U22" i="12"/>
  <c r="T25" i="12"/>
  <c r="U45" i="12"/>
  <c r="U57" i="12"/>
  <c r="T76" i="12"/>
  <c r="U91" i="12"/>
  <c r="U61" i="12"/>
  <c r="U63" i="12"/>
  <c r="T75" i="12"/>
  <c r="T79" i="12"/>
  <c r="T89" i="12"/>
  <c r="U96" i="12"/>
  <c r="T66" i="12"/>
  <c r="T205" i="12" s="1"/>
  <c r="T70" i="12"/>
  <c r="U70" i="12" s="1"/>
  <c r="U78" i="12"/>
  <c r="U90" i="12"/>
  <c r="U95" i="12"/>
  <c r="T107" i="12"/>
  <c r="T85" i="12"/>
  <c r="U94" i="12"/>
  <c r="T103" i="12"/>
  <c r="T146" i="12"/>
  <c r="U146" i="12" s="1"/>
  <c r="T67" i="12"/>
  <c r="T71" i="12"/>
  <c r="T77" i="12"/>
  <c r="U93" i="12"/>
  <c r="U125" i="12"/>
  <c r="U130" i="12"/>
  <c r="T101" i="12"/>
  <c r="T62" i="12"/>
  <c r="T64" i="12"/>
  <c r="T68" i="12"/>
  <c r="T72" i="12"/>
  <c r="U73" i="12"/>
  <c r="U80" i="12"/>
  <c r="T83" i="12"/>
  <c r="U92" i="12"/>
  <c r="U99" i="12"/>
  <c r="U100" i="12"/>
  <c r="U86" i="12"/>
  <c r="T106" i="12"/>
  <c r="U106" i="12" s="1"/>
  <c r="T115" i="12"/>
  <c r="U124" i="12"/>
  <c r="T126" i="12"/>
  <c r="U128" i="12"/>
  <c r="U136" i="12"/>
  <c r="U139" i="12"/>
  <c r="T102" i="12"/>
  <c r="T114" i="12"/>
  <c r="U132" i="12"/>
  <c r="T155" i="12"/>
  <c r="U155" i="12" s="1"/>
  <c r="U194" i="12"/>
  <c r="U195" i="12"/>
  <c r="U84" i="12"/>
  <c r="T111" i="12"/>
  <c r="U111" i="12" s="1"/>
  <c r="T129" i="12"/>
  <c r="U129" i="12" s="1"/>
  <c r="T144" i="12"/>
  <c r="U108" i="12"/>
  <c r="T109" i="12"/>
  <c r="T110" i="12"/>
  <c r="T117" i="12"/>
  <c r="U118" i="12"/>
  <c r="U82" i="12"/>
  <c r="T87" i="12"/>
  <c r="U104" i="12"/>
  <c r="U88" i="12"/>
  <c r="U149" i="12"/>
  <c r="U150" i="12"/>
  <c r="T131" i="12"/>
  <c r="U131" i="12" s="1"/>
  <c r="T135" i="12"/>
  <c r="U135" i="12" s="1"/>
  <c r="T147" i="12"/>
  <c r="U154" i="12"/>
  <c r="U105" i="12"/>
  <c r="U113" i="12"/>
  <c r="U138" i="12"/>
  <c r="U153" i="12"/>
  <c r="U178" i="12"/>
  <c r="T116" i="12"/>
  <c r="T127" i="12"/>
  <c r="U152" i="12"/>
  <c r="U123" i="12"/>
  <c r="U173" i="12"/>
  <c r="T120" i="12"/>
  <c r="U121" i="12"/>
  <c r="T151" i="12"/>
  <c r="U166" i="12"/>
  <c r="T177" i="12"/>
  <c r="U198" i="12"/>
  <c r="U112" i="12"/>
  <c r="T134" i="12"/>
  <c r="T137" i="12"/>
  <c r="U137" i="12" s="1"/>
  <c r="U160" i="12"/>
  <c r="U170" i="12"/>
  <c r="U157" i="12"/>
  <c r="U161" i="12"/>
  <c r="T175" i="12"/>
  <c r="U187" i="12"/>
  <c r="T163" i="12"/>
  <c r="U165" i="12"/>
  <c r="U168" i="12"/>
  <c r="U176" i="12"/>
  <c r="U190" i="12"/>
  <c r="U148" i="12"/>
  <c r="T158" i="12"/>
  <c r="T171" i="12"/>
  <c r="U185" i="12"/>
  <c r="T192" i="12"/>
  <c r="U199" i="12"/>
  <c r="U200" i="12"/>
  <c r="T162" i="12"/>
  <c r="U179" i="12"/>
  <c r="U186" i="12"/>
  <c r="T188" i="12"/>
  <c r="T156" i="12"/>
  <c r="U159" i="12"/>
  <c r="U169" i="12"/>
  <c r="U174" i="12"/>
  <c r="T167" i="12"/>
  <c r="U172" i="12"/>
  <c r="U180" i="12"/>
  <c r="U182" i="12"/>
  <c r="T184" i="12"/>
  <c r="U191" i="12"/>
  <c r="U197" i="12"/>
  <c r="U164" i="12"/>
  <c r="L42" i="1" l="1"/>
  <c r="E42" i="21" s="1"/>
  <c r="CR201" i="17"/>
  <c r="DP5" i="17"/>
  <c r="DP201" i="17" s="1"/>
  <c r="DB201" i="17"/>
  <c r="DO201" i="17"/>
  <c r="E22" i="21"/>
  <c r="S22" i="21" s="1"/>
  <c r="V22" i="21" s="1"/>
  <c r="L38" i="1"/>
  <c r="E38" i="21" s="1"/>
  <c r="S18" i="21"/>
  <c r="V18" i="21" s="1"/>
  <c r="H18" i="21"/>
  <c r="S20" i="21"/>
  <c r="V20" i="21" s="1"/>
  <c r="H20" i="21"/>
  <c r="L44" i="1"/>
  <c r="E44" i="21" s="1"/>
  <c r="E28" i="21"/>
  <c r="E28" i="15"/>
  <c r="H28" i="15" s="1"/>
  <c r="H19" i="21"/>
  <c r="S19" i="21"/>
  <c r="V19" i="21" s="1"/>
  <c r="E29" i="21"/>
  <c r="E29" i="15"/>
  <c r="S21" i="21"/>
  <c r="V21" i="21" s="1"/>
  <c r="H21" i="21"/>
  <c r="E26" i="21"/>
  <c r="E26" i="15"/>
  <c r="E42" i="15" s="1"/>
  <c r="S42" i="15" s="1"/>
  <c r="O26" i="1"/>
  <c r="U89" i="12"/>
  <c r="U184" i="12"/>
  <c r="U177" i="12"/>
  <c r="U147" i="12"/>
  <c r="U24" i="12"/>
  <c r="U68" i="12"/>
  <c r="U14" i="12"/>
  <c r="U171" i="12"/>
  <c r="U162" i="12"/>
  <c r="U79" i="12"/>
  <c r="U188" i="12"/>
  <c r="U87" i="12"/>
  <c r="U163" i="12"/>
  <c r="U17" i="12"/>
  <c r="U72" i="12"/>
  <c r="U110" i="12"/>
  <c r="U114" i="12"/>
  <c r="U116" i="12"/>
  <c r="U85" i="12"/>
  <c r="U76" i="12"/>
  <c r="U62" i="12"/>
  <c r="U77" i="12"/>
  <c r="U127" i="12"/>
  <c r="U71" i="12"/>
  <c r="S205" i="12"/>
  <c r="U38" i="12"/>
  <c r="U115" i="12"/>
  <c r="S204" i="12"/>
  <c r="U11" i="12"/>
  <c r="S8" i="12"/>
  <c r="T204" i="12"/>
  <c r="T206" i="12" s="1"/>
  <c r="U120" i="12"/>
  <c r="U167" i="12"/>
  <c r="U156" i="12"/>
  <c r="U134" i="12"/>
  <c r="U175" i="12"/>
  <c r="G211" i="12" s="1"/>
  <c r="U101" i="12"/>
  <c r="U66" i="12"/>
  <c r="U64" i="12"/>
  <c r="U67" i="12"/>
  <c r="U144" i="12"/>
  <c r="U33" i="12"/>
  <c r="U126" i="12"/>
  <c r="U25" i="12"/>
  <c r="U32" i="12"/>
  <c r="U75" i="12"/>
  <c r="U109" i="12"/>
  <c r="U151" i="12"/>
  <c r="U83" i="12"/>
  <c r="U103" i="12"/>
  <c r="U192" i="12"/>
  <c r="U158" i="12"/>
  <c r="U117" i="12"/>
  <c r="U81" i="12"/>
  <c r="U102" i="12"/>
  <c r="U107" i="12"/>
  <c r="S42" i="1" l="1"/>
  <c r="V42" i="1" s="1"/>
  <c r="H38" i="21"/>
  <c r="H22" i="21"/>
  <c r="S26" i="21"/>
  <c r="V26" i="21" s="1"/>
  <c r="H26" i="21"/>
  <c r="H26" i="15"/>
  <c r="S38" i="21"/>
  <c r="V38" i="21" s="1"/>
  <c r="H28" i="21"/>
  <c r="S28" i="21"/>
  <c r="V28" i="21" s="1"/>
  <c r="S29" i="21"/>
  <c r="V29" i="21" s="1"/>
  <c r="H29" i="21"/>
  <c r="E45" i="15"/>
  <c r="S29" i="15"/>
  <c r="H29" i="15"/>
  <c r="S206" i="12"/>
  <c r="U202" i="12"/>
  <c r="G209" i="12"/>
  <c r="G212" i="12" s="1"/>
  <c r="G205" i="12"/>
  <c r="U204" i="12"/>
  <c r="U8" i="12"/>
  <c r="G204" i="12"/>
  <c r="U205" i="12"/>
  <c r="S44" i="21" l="1"/>
  <c r="V44" i="21" s="1"/>
  <c r="H44" i="21"/>
  <c r="H42" i="21"/>
  <c r="S42" i="21"/>
  <c r="V42" i="21" s="1"/>
  <c r="S45" i="21"/>
  <c r="V45" i="21" s="1"/>
  <c r="H45" i="21"/>
  <c r="G206" i="12"/>
  <c r="H206" i="12" s="1"/>
  <c r="U206" i="12"/>
  <c r="P32" i="11" l="1"/>
  <c r="AJ205" i="11" l="1"/>
  <c r="O201" i="11"/>
  <c r="N201" i="11"/>
  <c r="M201" i="11"/>
  <c r="L201" i="11"/>
  <c r="K201" i="11"/>
  <c r="J201" i="11"/>
  <c r="I201" i="11"/>
  <c r="H201" i="11"/>
  <c r="G201" i="11"/>
  <c r="W200" i="11"/>
  <c r="AA200" i="11" s="1"/>
  <c r="V200" i="11"/>
  <c r="Z200" i="11" s="1"/>
  <c r="U200" i="11"/>
  <c r="R200" i="11"/>
  <c r="Q200" i="11"/>
  <c r="P200" i="11"/>
  <c r="AK199" i="11"/>
  <c r="W199" i="11"/>
  <c r="AA199" i="11" s="1"/>
  <c r="V199" i="11"/>
  <c r="Z199" i="11" s="1"/>
  <c r="U199" i="11"/>
  <c r="Y199" i="11" s="1"/>
  <c r="R199" i="11"/>
  <c r="Q199" i="11"/>
  <c r="P199" i="11"/>
  <c r="AD198" i="11"/>
  <c r="W198" i="11"/>
  <c r="AA198" i="11" s="1"/>
  <c r="V198" i="11"/>
  <c r="Z198" i="11" s="1"/>
  <c r="U198" i="11"/>
  <c r="AK198" i="11" s="1"/>
  <c r="R198" i="11"/>
  <c r="Q198" i="11"/>
  <c r="P198" i="11"/>
  <c r="Z197" i="11"/>
  <c r="W197" i="11"/>
  <c r="AA197" i="11" s="1"/>
  <c r="V197" i="11"/>
  <c r="U197" i="11"/>
  <c r="R197" i="11"/>
  <c r="Q197" i="11"/>
  <c r="P197" i="11"/>
  <c r="W196" i="11"/>
  <c r="AA196" i="11" s="1"/>
  <c r="V196" i="11"/>
  <c r="Z196" i="11" s="1"/>
  <c r="U196" i="11"/>
  <c r="R196" i="11"/>
  <c r="Q196" i="11"/>
  <c r="P196" i="11"/>
  <c r="W195" i="11"/>
  <c r="AA195" i="11" s="1"/>
  <c r="V195" i="11"/>
  <c r="Z195" i="11" s="1"/>
  <c r="U195" i="11"/>
  <c r="R195" i="11"/>
  <c r="Q195" i="11"/>
  <c r="P195" i="11"/>
  <c r="W194" i="11"/>
  <c r="AA194" i="11" s="1"/>
  <c r="V194" i="11"/>
  <c r="Z194" i="11" s="1"/>
  <c r="U194" i="11"/>
  <c r="R194" i="11"/>
  <c r="Q194" i="11"/>
  <c r="P194" i="11"/>
  <c r="W193" i="11"/>
  <c r="AA193" i="11" s="1"/>
  <c r="V193" i="11"/>
  <c r="Z193" i="11" s="1"/>
  <c r="U193" i="11"/>
  <c r="Y193" i="11" s="1"/>
  <c r="R193" i="11"/>
  <c r="Q193" i="11"/>
  <c r="P193" i="11"/>
  <c r="AA192" i="11"/>
  <c r="W192" i="11"/>
  <c r="V192" i="11"/>
  <c r="Z192" i="11" s="1"/>
  <c r="U192" i="11"/>
  <c r="R192" i="11"/>
  <c r="Q192" i="11"/>
  <c r="P192" i="11"/>
  <c r="AK191" i="11"/>
  <c r="W191" i="11"/>
  <c r="AA191" i="11" s="1"/>
  <c r="V191" i="11"/>
  <c r="Z191" i="11" s="1"/>
  <c r="U191" i="11"/>
  <c r="Y191" i="11" s="1"/>
  <c r="R191" i="11"/>
  <c r="Q191" i="11"/>
  <c r="P191" i="11"/>
  <c r="W190" i="11"/>
  <c r="AA190" i="11" s="1"/>
  <c r="V190" i="11"/>
  <c r="Z190" i="11" s="1"/>
  <c r="U190" i="11"/>
  <c r="R190" i="11"/>
  <c r="Q190" i="11"/>
  <c r="P190" i="11"/>
  <c r="W189" i="11"/>
  <c r="AA189" i="11" s="1"/>
  <c r="V189" i="11"/>
  <c r="Z189" i="11" s="1"/>
  <c r="U189" i="11"/>
  <c r="R189" i="11"/>
  <c r="Q189" i="11"/>
  <c r="P189" i="11"/>
  <c r="W188" i="11"/>
  <c r="AA188" i="11" s="1"/>
  <c r="V188" i="11"/>
  <c r="Z188" i="11" s="1"/>
  <c r="U188" i="11"/>
  <c r="R188" i="11"/>
  <c r="Q188" i="11"/>
  <c r="P188" i="11"/>
  <c r="W187" i="11"/>
  <c r="AA187" i="11" s="1"/>
  <c r="V187" i="11"/>
  <c r="Z187" i="11" s="1"/>
  <c r="U187" i="11"/>
  <c r="R187" i="11"/>
  <c r="Q187" i="11"/>
  <c r="P187" i="11"/>
  <c r="W186" i="11"/>
  <c r="AA186" i="11" s="1"/>
  <c r="V186" i="11"/>
  <c r="Z186" i="11" s="1"/>
  <c r="U186" i="11"/>
  <c r="Y186" i="11" s="1"/>
  <c r="R186" i="11"/>
  <c r="Q186" i="11"/>
  <c r="P186" i="11"/>
  <c r="W185" i="11"/>
  <c r="AA185" i="11" s="1"/>
  <c r="V185" i="11"/>
  <c r="Z185" i="11" s="1"/>
  <c r="U185" i="11"/>
  <c r="R185" i="11"/>
  <c r="Q185" i="11"/>
  <c r="P185" i="11"/>
  <c r="W184" i="11"/>
  <c r="AA184" i="11" s="1"/>
  <c r="V184" i="11"/>
  <c r="Z184" i="11" s="1"/>
  <c r="U184" i="11"/>
  <c r="R184" i="11"/>
  <c r="Q184" i="11"/>
  <c r="P184" i="11"/>
  <c r="W183" i="11"/>
  <c r="AA183" i="11" s="1"/>
  <c r="V183" i="11"/>
  <c r="Z183" i="11" s="1"/>
  <c r="U183" i="11"/>
  <c r="R183" i="11"/>
  <c r="Q183" i="11"/>
  <c r="P183" i="11"/>
  <c r="AA182" i="11"/>
  <c r="W182" i="11"/>
  <c r="V182" i="11"/>
  <c r="Z182" i="11" s="1"/>
  <c r="U182" i="11"/>
  <c r="R182" i="11"/>
  <c r="Q182" i="11"/>
  <c r="P182" i="11"/>
  <c r="W181" i="11"/>
  <c r="AA181" i="11" s="1"/>
  <c r="V181" i="11"/>
  <c r="Z181" i="11" s="1"/>
  <c r="U181" i="11"/>
  <c r="S181" i="11"/>
  <c r="R181" i="11"/>
  <c r="Q181" i="11"/>
  <c r="P181" i="11"/>
  <c r="AD180" i="11"/>
  <c r="W180" i="11"/>
  <c r="AA180" i="11" s="1"/>
  <c r="V180" i="11"/>
  <c r="Z180" i="11" s="1"/>
  <c r="U180" i="11"/>
  <c r="AK180" i="11" s="1"/>
  <c r="R180" i="11"/>
  <c r="Q180" i="11"/>
  <c r="P180" i="11"/>
  <c r="W179" i="11"/>
  <c r="AA179" i="11" s="1"/>
  <c r="V179" i="11"/>
  <c r="Z179" i="11" s="1"/>
  <c r="U179" i="11"/>
  <c r="Y179" i="11" s="1"/>
  <c r="R179" i="11"/>
  <c r="Q179" i="11"/>
  <c r="P179" i="11"/>
  <c r="W178" i="11"/>
  <c r="AA178" i="11" s="1"/>
  <c r="V178" i="11"/>
  <c r="Z178" i="11" s="1"/>
  <c r="U178" i="11"/>
  <c r="R178" i="11"/>
  <c r="S178" i="11" s="1"/>
  <c r="Q178" i="11"/>
  <c r="P178" i="11"/>
  <c r="W177" i="11"/>
  <c r="AA177" i="11" s="1"/>
  <c r="V177" i="11"/>
  <c r="Z177" i="11" s="1"/>
  <c r="U177" i="11"/>
  <c r="Y177" i="11" s="1"/>
  <c r="R177" i="11"/>
  <c r="Q177" i="11"/>
  <c r="P177" i="11"/>
  <c r="W176" i="11"/>
  <c r="AA176" i="11" s="1"/>
  <c r="V176" i="11"/>
  <c r="Z176" i="11" s="1"/>
  <c r="U176" i="11"/>
  <c r="R176" i="11"/>
  <c r="Q176" i="11"/>
  <c r="P176" i="11"/>
  <c r="W175" i="11"/>
  <c r="AA175" i="11" s="1"/>
  <c r="V175" i="11"/>
  <c r="Z175" i="11" s="1"/>
  <c r="U175" i="11"/>
  <c r="Y175" i="11" s="1"/>
  <c r="R175" i="11"/>
  <c r="Q175" i="11"/>
  <c r="P175" i="11"/>
  <c r="W174" i="11"/>
  <c r="AA174" i="11" s="1"/>
  <c r="V174" i="11"/>
  <c r="Z174" i="11" s="1"/>
  <c r="U174" i="11"/>
  <c r="Y174" i="11" s="1"/>
  <c r="R174" i="11"/>
  <c r="Q174" i="11"/>
  <c r="P174" i="11"/>
  <c r="AA173" i="11"/>
  <c r="W173" i="11"/>
  <c r="V173" i="11"/>
  <c r="Z173" i="11" s="1"/>
  <c r="U173" i="11"/>
  <c r="Y173" i="11" s="1"/>
  <c r="R173" i="11"/>
  <c r="Q173" i="11"/>
  <c r="P173" i="11"/>
  <c r="W172" i="11"/>
  <c r="AA172" i="11" s="1"/>
  <c r="V172" i="11"/>
  <c r="Z172" i="11" s="1"/>
  <c r="U172" i="11"/>
  <c r="AK172" i="11" s="1"/>
  <c r="R172" i="11"/>
  <c r="Q172" i="11"/>
  <c r="P172" i="11"/>
  <c r="W171" i="11"/>
  <c r="AA171" i="11" s="1"/>
  <c r="V171" i="11"/>
  <c r="Z171" i="11" s="1"/>
  <c r="U171" i="11"/>
  <c r="R171" i="11"/>
  <c r="Q171" i="11"/>
  <c r="P171" i="11"/>
  <c r="W170" i="11"/>
  <c r="AA170" i="11" s="1"/>
  <c r="V170" i="11"/>
  <c r="Z170" i="11" s="1"/>
  <c r="U170" i="11"/>
  <c r="Y170" i="11" s="1"/>
  <c r="R170" i="11"/>
  <c r="Q170" i="11"/>
  <c r="P170" i="11"/>
  <c r="W169" i="11"/>
  <c r="AA169" i="11" s="1"/>
  <c r="V169" i="11"/>
  <c r="Z169" i="11" s="1"/>
  <c r="U169" i="11"/>
  <c r="Y169" i="11" s="1"/>
  <c r="R169" i="11"/>
  <c r="S169" i="11" s="1"/>
  <c r="Q169" i="11"/>
  <c r="P169" i="11"/>
  <c r="W168" i="11"/>
  <c r="AA168" i="11" s="1"/>
  <c r="V168" i="11"/>
  <c r="Z168" i="11" s="1"/>
  <c r="U168" i="11"/>
  <c r="R168" i="11"/>
  <c r="Q168" i="11"/>
  <c r="P168" i="11"/>
  <c r="W167" i="11"/>
  <c r="AA167" i="11" s="1"/>
  <c r="V167" i="11"/>
  <c r="Z167" i="11" s="1"/>
  <c r="U167" i="11"/>
  <c r="R167" i="11"/>
  <c r="Q167" i="11"/>
  <c r="P167" i="11"/>
  <c r="W166" i="11"/>
  <c r="AA166" i="11" s="1"/>
  <c r="V166" i="11"/>
  <c r="Z166" i="11" s="1"/>
  <c r="U166" i="11"/>
  <c r="AD166" i="11" s="1"/>
  <c r="R166" i="11"/>
  <c r="S166" i="11" s="1"/>
  <c r="Q166" i="11"/>
  <c r="P166" i="11"/>
  <c r="W165" i="11"/>
  <c r="AA165" i="11" s="1"/>
  <c r="V165" i="11"/>
  <c r="Z165" i="11" s="1"/>
  <c r="U165" i="11"/>
  <c r="R165" i="11"/>
  <c r="Q165" i="11"/>
  <c r="P165" i="11"/>
  <c r="Y164" i="11"/>
  <c r="W164" i="11"/>
  <c r="AA164" i="11" s="1"/>
  <c r="V164" i="11"/>
  <c r="Z164" i="11" s="1"/>
  <c r="U164" i="11"/>
  <c r="R164" i="11"/>
  <c r="Q164" i="11"/>
  <c r="P164" i="11"/>
  <c r="W163" i="11"/>
  <c r="AA163" i="11" s="1"/>
  <c r="V163" i="11"/>
  <c r="Z163" i="11" s="1"/>
  <c r="U163" i="11"/>
  <c r="R163" i="11"/>
  <c r="Q163" i="11"/>
  <c r="P163" i="11"/>
  <c r="Z162" i="11"/>
  <c r="W162" i="11"/>
  <c r="AA162" i="11" s="1"/>
  <c r="V162" i="11"/>
  <c r="U162" i="11"/>
  <c r="R162" i="11"/>
  <c r="S162" i="11" s="1"/>
  <c r="Q162" i="11"/>
  <c r="P162" i="11"/>
  <c r="W161" i="11"/>
  <c r="AA161" i="11" s="1"/>
  <c r="V161" i="11"/>
  <c r="Z161" i="11" s="1"/>
  <c r="U161" i="11"/>
  <c r="R161" i="11"/>
  <c r="S161" i="11" s="1"/>
  <c r="Q161" i="11"/>
  <c r="P161" i="11"/>
  <c r="W160" i="11"/>
  <c r="AA160" i="11" s="1"/>
  <c r="V160" i="11"/>
  <c r="Z160" i="11" s="1"/>
  <c r="U160" i="11"/>
  <c r="R160" i="11"/>
  <c r="Q160" i="11"/>
  <c r="P160" i="11"/>
  <c r="W159" i="11"/>
  <c r="AA159" i="11" s="1"/>
  <c r="V159" i="11"/>
  <c r="Z159" i="11" s="1"/>
  <c r="U159" i="11"/>
  <c r="AK159" i="11" s="1"/>
  <c r="R159" i="11"/>
  <c r="Q159" i="11"/>
  <c r="P159" i="11"/>
  <c r="AD158" i="11"/>
  <c r="W158" i="11"/>
  <c r="AA158" i="11" s="1"/>
  <c r="V158" i="11"/>
  <c r="Z158" i="11" s="1"/>
  <c r="U158" i="11"/>
  <c r="AK158" i="11" s="1"/>
  <c r="R158" i="11"/>
  <c r="Q158" i="11"/>
  <c r="P158" i="11"/>
  <c r="AA157" i="11"/>
  <c r="W157" i="11"/>
  <c r="V157" i="11"/>
  <c r="Z157" i="11" s="1"/>
  <c r="U157" i="11"/>
  <c r="R157" i="11"/>
  <c r="S157" i="11" s="1"/>
  <c r="Q157" i="11"/>
  <c r="P157" i="11"/>
  <c r="W156" i="11"/>
  <c r="AA156" i="11" s="1"/>
  <c r="V156" i="11"/>
  <c r="Z156" i="11" s="1"/>
  <c r="U156" i="11"/>
  <c r="Y156" i="11" s="1"/>
  <c r="R156" i="11"/>
  <c r="Q156" i="11"/>
  <c r="P156" i="11"/>
  <c r="W155" i="11"/>
  <c r="AA155" i="11" s="1"/>
  <c r="V155" i="11"/>
  <c r="Z155" i="11" s="1"/>
  <c r="U155" i="11"/>
  <c r="Y155" i="11" s="1"/>
  <c r="R155" i="11"/>
  <c r="Q155" i="11"/>
  <c r="P155" i="11"/>
  <c r="Y154" i="11"/>
  <c r="W154" i="11"/>
  <c r="AA154" i="11" s="1"/>
  <c r="V154" i="11"/>
  <c r="Z154" i="11" s="1"/>
  <c r="U154" i="11"/>
  <c r="AK154" i="11" s="1"/>
  <c r="R154" i="11"/>
  <c r="Q154" i="11"/>
  <c r="P154" i="11"/>
  <c r="W153" i="11"/>
  <c r="AA153" i="11" s="1"/>
  <c r="V153" i="11"/>
  <c r="Z153" i="11" s="1"/>
  <c r="U153" i="11"/>
  <c r="R153" i="11"/>
  <c r="Q153" i="11"/>
  <c r="P153" i="11"/>
  <c r="W152" i="11"/>
  <c r="AA152" i="11" s="1"/>
  <c r="V152" i="11"/>
  <c r="Z152" i="11" s="1"/>
  <c r="U152" i="11"/>
  <c r="Y152" i="11" s="1"/>
  <c r="R152" i="11"/>
  <c r="Q152" i="11"/>
  <c r="P152" i="11"/>
  <c r="W151" i="11"/>
  <c r="AA151" i="11" s="1"/>
  <c r="V151" i="11"/>
  <c r="Z151" i="11" s="1"/>
  <c r="U151" i="11"/>
  <c r="Y151" i="11" s="1"/>
  <c r="R151" i="11"/>
  <c r="Q151" i="11"/>
  <c r="P151" i="11"/>
  <c r="W150" i="11"/>
  <c r="AA150" i="11" s="1"/>
  <c r="V150" i="11"/>
  <c r="Z150" i="11" s="1"/>
  <c r="U150" i="11"/>
  <c r="R150" i="11"/>
  <c r="Q150" i="11"/>
  <c r="P150" i="11"/>
  <c r="W149" i="11"/>
  <c r="AA149" i="11" s="1"/>
  <c r="V149" i="11"/>
  <c r="Z149" i="11" s="1"/>
  <c r="U149" i="11"/>
  <c r="R149" i="11"/>
  <c r="Q149" i="11"/>
  <c r="P149" i="11"/>
  <c r="Z148" i="11"/>
  <c r="W148" i="11"/>
  <c r="AA148" i="11" s="1"/>
  <c r="V148" i="11"/>
  <c r="U148" i="11"/>
  <c r="Y148" i="11" s="1"/>
  <c r="R148" i="11"/>
  <c r="Q148" i="11"/>
  <c r="P148" i="11"/>
  <c r="W147" i="11"/>
  <c r="AA147" i="11" s="1"/>
  <c r="V147" i="11"/>
  <c r="Z147" i="11" s="1"/>
  <c r="U147" i="11"/>
  <c r="R147" i="11"/>
  <c r="Q147" i="11"/>
  <c r="P147" i="11"/>
  <c r="Y146" i="11"/>
  <c r="W146" i="11"/>
  <c r="AA146" i="11" s="1"/>
  <c r="V146" i="11"/>
  <c r="Z146" i="11" s="1"/>
  <c r="U146" i="11"/>
  <c r="R146" i="11"/>
  <c r="Q146" i="11"/>
  <c r="P146" i="11"/>
  <c r="W145" i="11"/>
  <c r="AA145" i="11" s="1"/>
  <c r="V145" i="11"/>
  <c r="Z145" i="11" s="1"/>
  <c r="U145" i="11"/>
  <c r="R145" i="11"/>
  <c r="S145" i="11" s="1"/>
  <c r="Q145" i="11"/>
  <c r="P145" i="11"/>
  <c r="W144" i="11"/>
  <c r="AA144" i="11" s="1"/>
  <c r="V144" i="11"/>
  <c r="Z144" i="11" s="1"/>
  <c r="U144" i="11"/>
  <c r="AK144" i="11" s="1"/>
  <c r="R144" i="11"/>
  <c r="Q144" i="11"/>
  <c r="P144" i="11"/>
  <c r="W143" i="11"/>
  <c r="AA143" i="11" s="1"/>
  <c r="V143" i="11"/>
  <c r="Z143" i="11" s="1"/>
  <c r="U143" i="11"/>
  <c r="Y143" i="11" s="1"/>
  <c r="R143" i="11"/>
  <c r="Q143" i="11"/>
  <c r="P143" i="11"/>
  <c r="W142" i="11"/>
  <c r="AA142" i="11" s="1"/>
  <c r="V142" i="11"/>
  <c r="Z142" i="11" s="1"/>
  <c r="U142" i="11"/>
  <c r="R142" i="11"/>
  <c r="Q142" i="11"/>
  <c r="P142" i="11"/>
  <c r="W141" i="11"/>
  <c r="AA141" i="11" s="1"/>
  <c r="V141" i="11"/>
  <c r="Z141" i="11" s="1"/>
  <c r="U141" i="11"/>
  <c r="Y141" i="11" s="1"/>
  <c r="R141" i="11"/>
  <c r="Q141" i="11"/>
  <c r="P141" i="11"/>
  <c r="W140" i="11"/>
  <c r="AA140" i="11" s="1"/>
  <c r="V140" i="11"/>
  <c r="Z140" i="11" s="1"/>
  <c r="U140" i="11"/>
  <c r="R140" i="11"/>
  <c r="Q140" i="11"/>
  <c r="P140" i="11"/>
  <c r="W139" i="11"/>
  <c r="AA139" i="11" s="1"/>
  <c r="V139" i="11"/>
  <c r="Z139" i="11" s="1"/>
  <c r="U139" i="11"/>
  <c r="R139" i="11"/>
  <c r="Q139" i="11"/>
  <c r="P139" i="11"/>
  <c r="W138" i="11"/>
  <c r="AA138" i="11" s="1"/>
  <c r="V138" i="11"/>
  <c r="Z138" i="11" s="1"/>
  <c r="U138" i="11"/>
  <c r="AK138" i="11" s="1"/>
  <c r="R138" i="11"/>
  <c r="Q138" i="11"/>
  <c r="P138" i="11"/>
  <c r="W137" i="11"/>
  <c r="AA137" i="11" s="1"/>
  <c r="V137" i="11"/>
  <c r="Z137" i="11" s="1"/>
  <c r="U137" i="11"/>
  <c r="Y137" i="11" s="1"/>
  <c r="R137" i="11"/>
  <c r="Q137" i="11"/>
  <c r="P137" i="11"/>
  <c r="W136" i="11"/>
  <c r="AA136" i="11" s="1"/>
  <c r="V136" i="11"/>
  <c r="Z136" i="11" s="1"/>
  <c r="U136" i="11"/>
  <c r="R136" i="11"/>
  <c r="Q136" i="11"/>
  <c r="P136" i="11"/>
  <c r="W135" i="11"/>
  <c r="AA135" i="11" s="1"/>
  <c r="V135" i="11"/>
  <c r="Z135" i="11" s="1"/>
  <c r="U135" i="11"/>
  <c r="R135" i="11"/>
  <c r="Q135" i="11"/>
  <c r="P135" i="11"/>
  <c r="AA134" i="11"/>
  <c r="W134" i="11"/>
  <c r="V134" i="11"/>
  <c r="Z134" i="11" s="1"/>
  <c r="U134" i="11"/>
  <c r="R134" i="11"/>
  <c r="Q134" i="11"/>
  <c r="P134" i="11"/>
  <c r="AK133" i="11"/>
  <c r="W133" i="11"/>
  <c r="AA133" i="11" s="1"/>
  <c r="V133" i="11"/>
  <c r="Z133" i="11" s="1"/>
  <c r="U133" i="11"/>
  <c r="Y133" i="11" s="1"/>
  <c r="R133" i="11"/>
  <c r="Q133" i="11"/>
  <c r="P133" i="11"/>
  <c r="W132" i="11"/>
  <c r="AA132" i="11" s="1"/>
  <c r="V132" i="11"/>
  <c r="Z132" i="11" s="1"/>
  <c r="U132" i="11"/>
  <c r="R132" i="11"/>
  <c r="Q132" i="11"/>
  <c r="P132" i="11"/>
  <c r="W131" i="11"/>
  <c r="AA131" i="11" s="1"/>
  <c r="V131" i="11"/>
  <c r="Z131" i="11" s="1"/>
  <c r="U131" i="11"/>
  <c r="Y131" i="11" s="1"/>
  <c r="R131" i="11"/>
  <c r="Q131" i="11"/>
  <c r="P131" i="11"/>
  <c r="W130" i="11"/>
  <c r="AA130" i="11" s="1"/>
  <c r="V130" i="11"/>
  <c r="Z130" i="11" s="1"/>
  <c r="U130" i="11"/>
  <c r="Y130" i="11" s="1"/>
  <c r="R130" i="11"/>
  <c r="Q130" i="11"/>
  <c r="P130" i="11"/>
  <c r="W129" i="11"/>
  <c r="AA129" i="11" s="1"/>
  <c r="V129" i="11"/>
  <c r="Z129" i="11" s="1"/>
  <c r="U129" i="11"/>
  <c r="S129" i="11"/>
  <c r="R129" i="11"/>
  <c r="Q129" i="11"/>
  <c r="P129" i="11"/>
  <c r="W128" i="11"/>
  <c r="AA128" i="11" s="1"/>
  <c r="V128" i="11"/>
  <c r="Z128" i="11" s="1"/>
  <c r="U128" i="11"/>
  <c r="AK128" i="11" s="1"/>
  <c r="R128" i="11"/>
  <c r="Q128" i="11"/>
  <c r="P128" i="11"/>
  <c r="W127" i="11"/>
  <c r="AA127" i="11" s="1"/>
  <c r="V127" i="11"/>
  <c r="Z127" i="11" s="1"/>
  <c r="U127" i="11"/>
  <c r="Y127" i="11" s="1"/>
  <c r="R127" i="11"/>
  <c r="Q127" i="11"/>
  <c r="P127" i="11"/>
  <c r="W126" i="11"/>
  <c r="AA126" i="11" s="1"/>
  <c r="V126" i="11"/>
  <c r="Z126" i="11" s="1"/>
  <c r="U126" i="11"/>
  <c r="R126" i="11"/>
  <c r="Q126" i="11"/>
  <c r="P126" i="11"/>
  <c r="W125" i="11"/>
  <c r="AA125" i="11" s="1"/>
  <c r="V125" i="11"/>
  <c r="Z125" i="11" s="1"/>
  <c r="U125" i="11"/>
  <c r="S125" i="11"/>
  <c r="R125" i="11"/>
  <c r="Q125" i="11"/>
  <c r="P125" i="11"/>
  <c r="W124" i="11"/>
  <c r="AA124" i="11" s="1"/>
  <c r="V124" i="11"/>
  <c r="Z124" i="11" s="1"/>
  <c r="U124" i="11"/>
  <c r="Y124" i="11" s="1"/>
  <c r="R124" i="11"/>
  <c r="Q124" i="11"/>
  <c r="P124" i="11"/>
  <c r="W123" i="11"/>
  <c r="AA123" i="11" s="1"/>
  <c r="V123" i="11"/>
  <c r="Z123" i="11" s="1"/>
  <c r="U123" i="11"/>
  <c r="AD123" i="11" s="1"/>
  <c r="R123" i="11"/>
  <c r="Q123" i="11"/>
  <c r="P123" i="11"/>
  <c r="W122" i="11"/>
  <c r="AA122" i="11" s="1"/>
  <c r="V122" i="11"/>
  <c r="Z122" i="11" s="1"/>
  <c r="U122" i="11"/>
  <c r="Y122" i="11" s="1"/>
  <c r="R122" i="11"/>
  <c r="Q122" i="11"/>
  <c r="P122" i="11"/>
  <c r="W121" i="11"/>
  <c r="AA121" i="11" s="1"/>
  <c r="V121" i="11"/>
  <c r="Z121" i="11" s="1"/>
  <c r="U121" i="11"/>
  <c r="Y121" i="11" s="1"/>
  <c r="R121" i="11"/>
  <c r="Q121" i="11"/>
  <c r="P121" i="11"/>
  <c r="W120" i="11"/>
  <c r="AA120" i="11" s="1"/>
  <c r="V120" i="11"/>
  <c r="Z120" i="11" s="1"/>
  <c r="U120" i="11"/>
  <c r="AD120" i="11" s="1"/>
  <c r="R120" i="11"/>
  <c r="Q120" i="11"/>
  <c r="P120" i="11"/>
  <c r="W119" i="11"/>
  <c r="AA119" i="11" s="1"/>
  <c r="V119" i="11"/>
  <c r="Z119" i="11" s="1"/>
  <c r="U119" i="11"/>
  <c r="R119" i="11"/>
  <c r="S119" i="11" s="1"/>
  <c r="Q119" i="11"/>
  <c r="P119" i="11"/>
  <c r="Z118" i="11"/>
  <c r="W118" i="11"/>
  <c r="AA118" i="11" s="1"/>
  <c r="V118" i="11"/>
  <c r="U118" i="11"/>
  <c r="R118" i="11"/>
  <c r="Q118" i="11"/>
  <c r="P118" i="11"/>
  <c r="AK117" i="11"/>
  <c r="AD117" i="11"/>
  <c r="W117" i="11"/>
  <c r="AA117" i="11" s="1"/>
  <c r="V117" i="11"/>
  <c r="Z117" i="11" s="1"/>
  <c r="U117" i="11"/>
  <c r="Y117" i="11" s="1"/>
  <c r="R117" i="11"/>
  <c r="Q117" i="11"/>
  <c r="P117" i="11"/>
  <c r="W116" i="11"/>
  <c r="AA116" i="11" s="1"/>
  <c r="V116" i="11"/>
  <c r="Z116" i="11" s="1"/>
  <c r="U116" i="11"/>
  <c r="R116" i="11"/>
  <c r="Q116" i="11"/>
  <c r="P116" i="11"/>
  <c r="W115" i="11"/>
  <c r="AA115" i="11" s="1"/>
  <c r="V115" i="11"/>
  <c r="Z115" i="11" s="1"/>
  <c r="U115" i="11"/>
  <c r="Y115" i="11" s="1"/>
  <c r="R115" i="11"/>
  <c r="Q115" i="11"/>
  <c r="P115" i="11"/>
  <c r="W114" i="11"/>
  <c r="AA114" i="11" s="1"/>
  <c r="V114" i="11"/>
  <c r="Z114" i="11" s="1"/>
  <c r="U114" i="11"/>
  <c r="AK114" i="11" s="1"/>
  <c r="R114" i="11"/>
  <c r="Q114" i="11"/>
  <c r="P114" i="11"/>
  <c r="W113" i="11"/>
  <c r="AA113" i="11" s="1"/>
  <c r="V113" i="11"/>
  <c r="Z113" i="11" s="1"/>
  <c r="U113" i="11"/>
  <c r="AK113" i="11" s="1"/>
  <c r="R113" i="11"/>
  <c r="S113" i="11" s="1"/>
  <c r="Q113" i="11"/>
  <c r="P113" i="11"/>
  <c r="AA112" i="11"/>
  <c r="W112" i="11"/>
  <c r="V112" i="11"/>
  <c r="Z112" i="11" s="1"/>
  <c r="U112" i="11"/>
  <c r="Y112" i="11" s="1"/>
  <c r="R112" i="11"/>
  <c r="Q112" i="11"/>
  <c r="P112" i="11"/>
  <c r="W111" i="11"/>
  <c r="AA111" i="11" s="1"/>
  <c r="V111" i="11"/>
  <c r="Z111" i="11" s="1"/>
  <c r="R111" i="11"/>
  <c r="Q111" i="11"/>
  <c r="P111" i="11"/>
  <c r="W110" i="11"/>
  <c r="AA110" i="11" s="1"/>
  <c r="V110" i="11"/>
  <c r="Z110" i="11" s="1"/>
  <c r="U110" i="11"/>
  <c r="R110" i="11"/>
  <c r="Q110" i="11"/>
  <c r="P110" i="11"/>
  <c r="AA109" i="11"/>
  <c r="W109" i="11"/>
  <c r="V109" i="11"/>
  <c r="Z109" i="11" s="1"/>
  <c r="U109" i="11"/>
  <c r="Y109" i="11" s="1"/>
  <c r="R109" i="11"/>
  <c r="Q109" i="11"/>
  <c r="P109" i="11"/>
  <c r="W108" i="11"/>
  <c r="AA108" i="11" s="1"/>
  <c r="V108" i="11"/>
  <c r="Z108" i="11" s="1"/>
  <c r="U108" i="11"/>
  <c r="R108" i="11"/>
  <c r="Q108" i="11"/>
  <c r="P108" i="11"/>
  <c r="Z107" i="11"/>
  <c r="W107" i="11"/>
  <c r="AA107" i="11" s="1"/>
  <c r="V107" i="11"/>
  <c r="U107" i="11"/>
  <c r="Y107" i="11" s="1"/>
  <c r="R107" i="11"/>
  <c r="Q107" i="11"/>
  <c r="P107" i="11"/>
  <c r="Y106" i="11"/>
  <c r="W106" i="11"/>
  <c r="AA106" i="11" s="1"/>
  <c r="V106" i="11"/>
  <c r="Z106" i="11" s="1"/>
  <c r="U106" i="11"/>
  <c r="R106" i="11"/>
  <c r="S106" i="11" s="1"/>
  <c r="Q106" i="11"/>
  <c r="P106" i="11"/>
  <c r="AK105" i="11"/>
  <c r="AD105" i="11"/>
  <c r="Y105" i="11"/>
  <c r="W105" i="11"/>
  <c r="AA105" i="11" s="1"/>
  <c r="V105" i="11"/>
  <c r="Z105" i="11" s="1"/>
  <c r="U105" i="11"/>
  <c r="R105" i="11"/>
  <c r="S105" i="11" s="1"/>
  <c r="Q105" i="11"/>
  <c r="P105" i="11"/>
  <c r="W104" i="11"/>
  <c r="AA104" i="11" s="1"/>
  <c r="V104" i="11"/>
  <c r="Z104" i="11" s="1"/>
  <c r="U104" i="11"/>
  <c r="R104" i="11"/>
  <c r="S104" i="11" s="1"/>
  <c r="Q104" i="11"/>
  <c r="P104" i="11"/>
  <c r="W103" i="11"/>
  <c r="AA103" i="11" s="1"/>
  <c r="V103" i="11"/>
  <c r="Z103" i="11" s="1"/>
  <c r="U103" i="11"/>
  <c r="AD103" i="11" s="1"/>
  <c r="R103" i="11"/>
  <c r="Q103" i="11"/>
  <c r="P103" i="11"/>
  <c r="W102" i="11"/>
  <c r="AA102" i="11" s="1"/>
  <c r="V102" i="11"/>
  <c r="Z102" i="11" s="1"/>
  <c r="U102" i="11"/>
  <c r="AK102" i="11" s="1"/>
  <c r="R102" i="11"/>
  <c r="S102" i="11" s="1"/>
  <c r="Q102" i="11"/>
  <c r="P102" i="11"/>
  <c r="W101" i="11"/>
  <c r="AA101" i="11" s="1"/>
  <c r="V101" i="11"/>
  <c r="Z101" i="11" s="1"/>
  <c r="U101" i="11"/>
  <c r="AK101" i="11" s="1"/>
  <c r="R101" i="11"/>
  <c r="Q101" i="11"/>
  <c r="P101" i="11"/>
  <c r="W100" i="11"/>
  <c r="AA100" i="11" s="1"/>
  <c r="V100" i="11"/>
  <c r="Z100" i="11" s="1"/>
  <c r="U100" i="11"/>
  <c r="Y100" i="11" s="1"/>
  <c r="R100" i="11"/>
  <c r="Q100" i="11"/>
  <c r="P100" i="11"/>
  <c r="W99" i="11"/>
  <c r="AA99" i="11" s="1"/>
  <c r="V99" i="11"/>
  <c r="Z99" i="11" s="1"/>
  <c r="U99" i="11"/>
  <c r="Y99" i="11" s="1"/>
  <c r="R99" i="11"/>
  <c r="Q99" i="11"/>
  <c r="P99" i="11"/>
  <c r="W98" i="11"/>
  <c r="AA98" i="11" s="1"/>
  <c r="V98" i="11"/>
  <c r="Z98" i="11" s="1"/>
  <c r="U98" i="11"/>
  <c r="Y98" i="11" s="1"/>
  <c r="R98" i="11"/>
  <c r="Q98" i="11"/>
  <c r="P98" i="11"/>
  <c r="W97" i="11"/>
  <c r="AA97" i="11" s="1"/>
  <c r="V97" i="11"/>
  <c r="Z97" i="11" s="1"/>
  <c r="U97" i="11"/>
  <c r="Y97" i="11" s="1"/>
  <c r="R97" i="11"/>
  <c r="Q97" i="11"/>
  <c r="P97" i="11"/>
  <c r="W96" i="11"/>
  <c r="AA96" i="11" s="1"/>
  <c r="V96" i="11"/>
  <c r="Z96" i="11" s="1"/>
  <c r="U96" i="11"/>
  <c r="Y96" i="11" s="1"/>
  <c r="R96" i="11"/>
  <c r="Q96" i="11"/>
  <c r="P96" i="11"/>
  <c r="W95" i="11"/>
  <c r="AA95" i="11" s="1"/>
  <c r="V95" i="11"/>
  <c r="Z95" i="11" s="1"/>
  <c r="U95" i="11"/>
  <c r="Y95" i="11" s="1"/>
  <c r="R95" i="11"/>
  <c r="Q95" i="11"/>
  <c r="P95" i="11"/>
  <c r="W94" i="11"/>
  <c r="AA94" i="11" s="1"/>
  <c r="V94" i="11"/>
  <c r="Z94" i="11" s="1"/>
  <c r="U94" i="11"/>
  <c r="Y94" i="11" s="1"/>
  <c r="R94" i="11"/>
  <c r="Q94" i="11"/>
  <c r="P94" i="11"/>
  <c r="AK93" i="11"/>
  <c r="Y93" i="11"/>
  <c r="W93" i="11"/>
  <c r="AA93" i="11" s="1"/>
  <c r="V93" i="11"/>
  <c r="Z93" i="11" s="1"/>
  <c r="U93" i="11"/>
  <c r="AD93" i="11" s="1"/>
  <c r="R93" i="11"/>
  <c r="S93" i="11" s="1"/>
  <c r="Q93" i="11"/>
  <c r="P93" i="11"/>
  <c r="W92" i="11"/>
  <c r="AA92" i="11" s="1"/>
  <c r="V92" i="11"/>
  <c r="Z92" i="11" s="1"/>
  <c r="U92" i="11"/>
  <c r="Y92" i="11" s="1"/>
  <c r="R92" i="11"/>
  <c r="Q92" i="11"/>
  <c r="P92" i="11"/>
  <c r="AA91" i="11"/>
  <c r="Z91" i="11"/>
  <c r="Y91" i="11"/>
  <c r="W91" i="11"/>
  <c r="V91" i="11"/>
  <c r="U91" i="11"/>
  <c r="AK91" i="11" s="1"/>
  <c r="R91" i="11"/>
  <c r="Q91" i="11"/>
  <c r="P91" i="11"/>
  <c r="W90" i="11"/>
  <c r="AA90" i="11" s="1"/>
  <c r="V90" i="11"/>
  <c r="Z90" i="11" s="1"/>
  <c r="U90" i="11"/>
  <c r="R90" i="11"/>
  <c r="Q90" i="11"/>
  <c r="P90" i="11"/>
  <c r="Z89" i="11"/>
  <c r="W89" i="11"/>
  <c r="AA89" i="11" s="1"/>
  <c r="V89" i="11"/>
  <c r="U89" i="11"/>
  <c r="Y89" i="11" s="1"/>
  <c r="R89" i="11"/>
  <c r="S89" i="11" s="1"/>
  <c r="Q89" i="11"/>
  <c r="P89" i="11"/>
  <c r="Y88" i="11"/>
  <c r="W88" i="11"/>
  <c r="AA88" i="11" s="1"/>
  <c r="V88" i="11"/>
  <c r="Z88" i="11" s="1"/>
  <c r="U88" i="11"/>
  <c r="R88" i="11"/>
  <c r="Q88" i="11"/>
  <c r="P88" i="11"/>
  <c r="W87" i="11"/>
  <c r="AA87" i="11" s="1"/>
  <c r="V87" i="11"/>
  <c r="Z87" i="11" s="1"/>
  <c r="U87" i="11"/>
  <c r="Y87" i="11" s="1"/>
  <c r="R87" i="11"/>
  <c r="S87" i="11" s="1"/>
  <c r="Q87" i="11"/>
  <c r="P87" i="11"/>
  <c r="W86" i="11"/>
  <c r="AA86" i="11" s="1"/>
  <c r="V86" i="11"/>
  <c r="Z86" i="11" s="1"/>
  <c r="U86" i="11"/>
  <c r="R86" i="11"/>
  <c r="Q86" i="11"/>
  <c r="P86" i="11"/>
  <c r="Z85" i="11"/>
  <c r="W85" i="11"/>
  <c r="AA85" i="11" s="1"/>
  <c r="V85" i="11"/>
  <c r="U85" i="11"/>
  <c r="AK85" i="11" s="1"/>
  <c r="R85" i="11"/>
  <c r="S85" i="11" s="1"/>
  <c r="Q85" i="11"/>
  <c r="P85" i="11"/>
  <c r="Y84" i="11"/>
  <c r="W84" i="11"/>
  <c r="AA84" i="11" s="1"/>
  <c r="V84" i="11"/>
  <c r="Z84" i="11" s="1"/>
  <c r="U84" i="11"/>
  <c r="AK84" i="11" s="1"/>
  <c r="R84" i="11"/>
  <c r="Q84" i="11"/>
  <c r="P84" i="11"/>
  <c r="W83" i="11"/>
  <c r="AA83" i="11" s="1"/>
  <c r="V83" i="11"/>
  <c r="Z83" i="11" s="1"/>
  <c r="U83" i="11"/>
  <c r="AK83" i="11" s="1"/>
  <c r="R83" i="11"/>
  <c r="Q83" i="11"/>
  <c r="P83" i="11"/>
  <c r="W82" i="11"/>
  <c r="AA82" i="11" s="1"/>
  <c r="V82" i="11"/>
  <c r="Z82" i="11" s="1"/>
  <c r="U82" i="11"/>
  <c r="Y82" i="11" s="1"/>
  <c r="R82" i="11"/>
  <c r="Q82" i="11"/>
  <c r="P82" i="11"/>
  <c r="W81" i="11"/>
  <c r="AA81" i="11" s="1"/>
  <c r="V81" i="11"/>
  <c r="Z81" i="11" s="1"/>
  <c r="U81" i="11"/>
  <c r="Y81" i="11" s="1"/>
  <c r="S81" i="11"/>
  <c r="R81" i="11"/>
  <c r="Q81" i="11"/>
  <c r="P81" i="11"/>
  <c r="W80" i="11"/>
  <c r="AA80" i="11" s="1"/>
  <c r="V80" i="11"/>
  <c r="Z80" i="11" s="1"/>
  <c r="U80" i="11"/>
  <c r="R80" i="11"/>
  <c r="Q80" i="11"/>
  <c r="P80" i="11"/>
  <c r="W79" i="11"/>
  <c r="AA79" i="11" s="1"/>
  <c r="V79" i="11"/>
  <c r="Z79" i="11" s="1"/>
  <c r="U79" i="11"/>
  <c r="R79" i="11"/>
  <c r="Q79" i="11"/>
  <c r="P79" i="11"/>
  <c r="W78" i="11"/>
  <c r="AA78" i="11" s="1"/>
  <c r="V78" i="11"/>
  <c r="Z78" i="11" s="1"/>
  <c r="U78" i="11"/>
  <c r="Y78" i="11" s="1"/>
  <c r="R78" i="11"/>
  <c r="Q78" i="11"/>
  <c r="P78" i="11"/>
  <c r="AK77" i="11"/>
  <c r="AD77" i="11"/>
  <c r="Z77" i="11"/>
  <c r="Y77" i="11"/>
  <c r="W77" i="11"/>
  <c r="AA77" i="11" s="1"/>
  <c r="V77" i="11"/>
  <c r="U77" i="11"/>
  <c r="R77" i="11"/>
  <c r="Q77" i="11"/>
  <c r="P77" i="11"/>
  <c r="Y76" i="11"/>
  <c r="W76" i="11"/>
  <c r="AA76" i="11" s="1"/>
  <c r="V76" i="11"/>
  <c r="Z76" i="11" s="1"/>
  <c r="U76" i="11"/>
  <c r="AK76" i="11" s="1"/>
  <c r="R76" i="11"/>
  <c r="Q76" i="11"/>
  <c r="P76" i="11"/>
  <c r="AA75" i="11"/>
  <c r="W75" i="11"/>
  <c r="V75" i="11"/>
  <c r="Z75" i="11" s="1"/>
  <c r="U75" i="11"/>
  <c r="Y75" i="11" s="1"/>
  <c r="R75" i="11"/>
  <c r="Q75" i="11"/>
  <c r="P75" i="11"/>
  <c r="W74" i="11"/>
  <c r="AA74" i="11" s="1"/>
  <c r="V74" i="11"/>
  <c r="Z74" i="11" s="1"/>
  <c r="U74" i="11"/>
  <c r="Y74" i="11" s="1"/>
  <c r="R74" i="11"/>
  <c r="S74" i="11" s="1"/>
  <c r="Q74" i="11"/>
  <c r="P74" i="11"/>
  <c r="W73" i="11"/>
  <c r="AA73" i="11" s="1"/>
  <c r="V73" i="11"/>
  <c r="Z73" i="11" s="1"/>
  <c r="U73" i="11"/>
  <c r="R73" i="11"/>
  <c r="S73" i="11" s="1"/>
  <c r="Q73" i="11"/>
  <c r="P73" i="11"/>
  <c r="W72" i="11"/>
  <c r="AA72" i="11" s="1"/>
  <c r="V72" i="11"/>
  <c r="Z72" i="11" s="1"/>
  <c r="U72" i="11"/>
  <c r="AK72" i="11" s="1"/>
  <c r="R72" i="11"/>
  <c r="S72" i="11" s="1"/>
  <c r="Q72" i="11"/>
  <c r="P72" i="11"/>
  <c r="AK71" i="11"/>
  <c r="Y71" i="11"/>
  <c r="W71" i="11"/>
  <c r="AA71" i="11" s="1"/>
  <c r="V71" i="11"/>
  <c r="Z71" i="11" s="1"/>
  <c r="U71" i="11"/>
  <c r="AD71" i="11" s="1"/>
  <c r="R71" i="11"/>
  <c r="Q71" i="11"/>
  <c r="P71" i="11"/>
  <c r="AD70" i="11"/>
  <c r="Y70" i="11"/>
  <c r="W70" i="11"/>
  <c r="AA70" i="11" s="1"/>
  <c r="V70" i="11"/>
  <c r="Z70" i="11" s="1"/>
  <c r="U70" i="11"/>
  <c r="AK70" i="11" s="1"/>
  <c r="R70" i="11"/>
  <c r="Q70" i="11"/>
  <c r="P70" i="11"/>
  <c r="AD69" i="11"/>
  <c r="W69" i="11"/>
  <c r="AA69" i="11" s="1"/>
  <c r="V69" i="11"/>
  <c r="Z69" i="11" s="1"/>
  <c r="U69" i="11"/>
  <c r="Y69" i="11" s="1"/>
  <c r="R69" i="11"/>
  <c r="Q69" i="11"/>
  <c r="P69" i="11"/>
  <c r="W68" i="11"/>
  <c r="AA68" i="11" s="1"/>
  <c r="V68" i="11"/>
  <c r="Z68" i="11" s="1"/>
  <c r="U68" i="11"/>
  <c r="R68" i="11"/>
  <c r="S68" i="11" s="1"/>
  <c r="Q68" i="11"/>
  <c r="P68" i="11"/>
  <c r="W67" i="11"/>
  <c r="AA67" i="11" s="1"/>
  <c r="V67" i="11"/>
  <c r="Z67" i="11" s="1"/>
  <c r="U67" i="11"/>
  <c r="AD67" i="11" s="1"/>
  <c r="R67" i="11"/>
  <c r="S67" i="11" s="1"/>
  <c r="Q67" i="11"/>
  <c r="P67" i="11"/>
  <c r="W66" i="11"/>
  <c r="AA66" i="11" s="1"/>
  <c r="V66" i="11"/>
  <c r="Z66" i="11" s="1"/>
  <c r="U66" i="11"/>
  <c r="R66" i="11"/>
  <c r="Q66" i="11"/>
  <c r="P66" i="11"/>
  <c r="AK65" i="11"/>
  <c r="Z65" i="11"/>
  <c r="W65" i="11"/>
  <c r="AA65" i="11" s="1"/>
  <c r="V65" i="11"/>
  <c r="U65" i="11"/>
  <c r="AD65" i="11" s="1"/>
  <c r="R65" i="11"/>
  <c r="Q65" i="11"/>
  <c r="P65" i="11"/>
  <c r="W64" i="11"/>
  <c r="AA64" i="11" s="1"/>
  <c r="V64" i="11"/>
  <c r="Z64" i="11" s="1"/>
  <c r="U64" i="11"/>
  <c r="AK64" i="11" s="1"/>
  <c r="R64" i="11"/>
  <c r="Q64" i="11"/>
  <c r="P64" i="11"/>
  <c r="AK63" i="11"/>
  <c r="Z63" i="11"/>
  <c r="Y63" i="11"/>
  <c r="W63" i="11"/>
  <c r="AA63" i="11" s="1"/>
  <c r="V63" i="11"/>
  <c r="U63" i="11"/>
  <c r="R63" i="11"/>
  <c r="Q63" i="11"/>
  <c r="P63" i="11"/>
  <c r="Y62" i="11"/>
  <c r="W62" i="11"/>
  <c r="AA62" i="11" s="1"/>
  <c r="V62" i="11"/>
  <c r="Z62" i="11" s="1"/>
  <c r="U62" i="11"/>
  <c r="R62" i="11"/>
  <c r="Q62" i="11"/>
  <c r="P62" i="11"/>
  <c r="Z61" i="11"/>
  <c r="W61" i="11"/>
  <c r="AA61" i="11" s="1"/>
  <c r="V61" i="11"/>
  <c r="U61" i="11"/>
  <c r="Y61" i="11" s="1"/>
  <c r="R61" i="11"/>
  <c r="Q61" i="11"/>
  <c r="P61" i="11"/>
  <c r="W60" i="11"/>
  <c r="AA60" i="11" s="1"/>
  <c r="V60" i="11"/>
  <c r="Z60" i="11" s="1"/>
  <c r="U60" i="11"/>
  <c r="AK60" i="11" s="1"/>
  <c r="R60" i="11"/>
  <c r="Q60" i="11"/>
  <c r="P60" i="11"/>
  <c r="AK59" i="11"/>
  <c r="AD59" i="11"/>
  <c r="W59" i="11"/>
  <c r="AA59" i="11" s="1"/>
  <c r="V59" i="11"/>
  <c r="Z59" i="11" s="1"/>
  <c r="U59" i="11"/>
  <c r="Y59" i="11" s="1"/>
  <c r="R59" i="11"/>
  <c r="Q59" i="11"/>
  <c r="P59" i="11"/>
  <c r="W58" i="11"/>
  <c r="AA58" i="11" s="1"/>
  <c r="V58" i="11"/>
  <c r="Z58" i="11" s="1"/>
  <c r="U58" i="11"/>
  <c r="R58" i="11"/>
  <c r="Q58" i="11"/>
  <c r="P58" i="11"/>
  <c r="W57" i="11"/>
  <c r="AA57" i="11" s="1"/>
  <c r="V57" i="11"/>
  <c r="Z57" i="11" s="1"/>
  <c r="U57" i="11"/>
  <c r="R57" i="11"/>
  <c r="Q57" i="11"/>
  <c r="P57" i="11"/>
  <c r="W56" i="11"/>
  <c r="AA56" i="11" s="1"/>
  <c r="V56" i="11"/>
  <c r="Z56" i="11" s="1"/>
  <c r="U56" i="11"/>
  <c r="AK56" i="11" s="1"/>
  <c r="R56" i="11"/>
  <c r="Q56" i="11"/>
  <c r="P56" i="11"/>
  <c r="W55" i="11"/>
  <c r="AA55" i="11" s="1"/>
  <c r="V55" i="11"/>
  <c r="Z55" i="11" s="1"/>
  <c r="U55" i="11"/>
  <c r="Y55" i="11" s="1"/>
  <c r="R55" i="11"/>
  <c r="Q55" i="11"/>
  <c r="P55" i="11"/>
  <c r="W54" i="11"/>
  <c r="AA54" i="11" s="1"/>
  <c r="V54" i="11"/>
  <c r="Z54" i="11" s="1"/>
  <c r="U54" i="11"/>
  <c r="AK54" i="11" s="1"/>
  <c r="R54" i="11"/>
  <c r="Q54" i="11"/>
  <c r="P54" i="11"/>
  <c r="W53" i="11"/>
  <c r="AA53" i="11" s="1"/>
  <c r="V53" i="11"/>
  <c r="Z53" i="11" s="1"/>
  <c r="U53" i="11"/>
  <c r="Y53" i="11" s="1"/>
  <c r="R53" i="11"/>
  <c r="Q53" i="11"/>
  <c r="P53" i="11"/>
  <c r="W52" i="11"/>
  <c r="AA52" i="11" s="1"/>
  <c r="V52" i="11"/>
  <c r="Z52" i="11" s="1"/>
  <c r="U52" i="11"/>
  <c r="AK52" i="11" s="1"/>
  <c r="R52" i="11"/>
  <c r="S52" i="11" s="1"/>
  <c r="Q52" i="11"/>
  <c r="P52" i="11"/>
  <c r="AD51" i="11"/>
  <c r="W51" i="11"/>
  <c r="AA51" i="11" s="1"/>
  <c r="V51" i="11"/>
  <c r="Z51" i="11" s="1"/>
  <c r="U51" i="11"/>
  <c r="Y51" i="11" s="1"/>
  <c r="R51" i="11"/>
  <c r="Q51" i="11"/>
  <c r="P51" i="11"/>
  <c r="W50" i="11"/>
  <c r="AA50" i="11" s="1"/>
  <c r="V50" i="11"/>
  <c r="Z50" i="11" s="1"/>
  <c r="U50" i="11"/>
  <c r="R50" i="11"/>
  <c r="Q50" i="11"/>
  <c r="P50" i="11"/>
  <c r="W49" i="11"/>
  <c r="AA49" i="11" s="1"/>
  <c r="V49" i="11"/>
  <c r="Z49" i="11" s="1"/>
  <c r="U49" i="11"/>
  <c r="Y49" i="11" s="1"/>
  <c r="R49" i="11"/>
  <c r="Q49" i="11"/>
  <c r="P49" i="11"/>
  <c r="W48" i="11"/>
  <c r="AA48" i="11" s="1"/>
  <c r="V48" i="11"/>
  <c r="Z48" i="11" s="1"/>
  <c r="U48" i="11"/>
  <c r="AK48" i="11" s="1"/>
  <c r="R48" i="11"/>
  <c r="Q48" i="11"/>
  <c r="P48" i="11"/>
  <c r="AA47" i="11"/>
  <c r="Z47" i="11"/>
  <c r="Y47" i="11"/>
  <c r="W47" i="11"/>
  <c r="V47" i="11"/>
  <c r="U47" i="11"/>
  <c r="AK47" i="11" s="1"/>
  <c r="R47" i="11"/>
  <c r="Q47" i="11"/>
  <c r="P47" i="11"/>
  <c r="AD46" i="11"/>
  <c r="Y46" i="11"/>
  <c r="W46" i="11"/>
  <c r="AA46" i="11" s="1"/>
  <c r="V46" i="11"/>
  <c r="Z46" i="11" s="1"/>
  <c r="U46" i="11"/>
  <c r="AK46" i="11" s="1"/>
  <c r="R46" i="11"/>
  <c r="Q46" i="11"/>
  <c r="P46" i="11"/>
  <c r="AD45" i="11"/>
  <c r="W45" i="11"/>
  <c r="AA45" i="11" s="1"/>
  <c r="V45" i="11"/>
  <c r="Z45" i="11" s="1"/>
  <c r="U45" i="11"/>
  <c r="Y45" i="11" s="1"/>
  <c r="R45" i="11"/>
  <c r="Q45" i="11"/>
  <c r="P45" i="11"/>
  <c r="S45" i="11" s="1"/>
  <c r="W44" i="11"/>
  <c r="AA44" i="11" s="1"/>
  <c r="V44" i="11"/>
  <c r="Z44" i="11" s="1"/>
  <c r="U44" i="11"/>
  <c r="R44" i="11"/>
  <c r="S44" i="11" s="1"/>
  <c r="Q44" i="11"/>
  <c r="P44" i="11"/>
  <c r="Y43" i="11"/>
  <c r="W43" i="11"/>
  <c r="AA43" i="11" s="1"/>
  <c r="V43" i="11"/>
  <c r="Z43" i="11" s="1"/>
  <c r="U43" i="11"/>
  <c r="R43" i="11"/>
  <c r="S43" i="11" s="1"/>
  <c r="Q43" i="11"/>
  <c r="P43" i="11"/>
  <c r="Y42" i="11"/>
  <c r="W42" i="11"/>
  <c r="AA42" i="11" s="1"/>
  <c r="V42" i="11"/>
  <c r="Z42" i="11" s="1"/>
  <c r="U42" i="11"/>
  <c r="R42" i="11"/>
  <c r="S42" i="11" s="1"/>
  <c r="Q42" i="11"/>
  <c r="P42" i="11"/>
  <c r="AK41" i="11"/>
  <c r="Z41" i="11"/>
  <c r="Y41" i="11"/>
  <c r="W41" i="11"/>
  <c r="AA41" i="11" s="1"/>
  <c r="V41" i="11"/>
  <c r="U41" i="11"/>
  <c r="R41" i="11"/>
  <c r="Q41" i="11"/>
  <c r="P41" i="11"/>
  <c r="W40" i="11"/>
  <c r="AA40" i="11" s="1"/>
  <c r="V40" i="11"/>
  <c r="Z40" i="11" s="1"/>
  <c r="U40" i="11"/>
  <c r="R40" i="11"/>
  <c r="Q40" i="11"/>
  <c r="P40" i="11"/>
  <c r="AK39" i="11"/>
  <c r="AA39" i="11"/>
  <c r="Z39" i="11"/>
  <c r="Y39" i="11"/>
  <c r="W39" i="11"/>
  <c r="V39" i="11"/>
  <c r="U39" i="11"/>
  <c r="R39" i="11"/>
  <c r="Q39" i="11"/>
  <c r="P39" i="11"/>
  <c r="AD38" i="11"/>
  <c r="Y38" i="11"/>
  <c r="W38" i="11"/>
  <c r="V38" i="11"/>
  <c r="U38" i="11"/>
  <c r="R38" i="11"/>
  <c r="Q38" i="11"/>
  <c r="P38" i="11"/>
  <c r="AK37" i="11"/>
  <c r="W37" i="11"/>
  <c r="AA37" i="11" s="1"/>
  <c r="V37" i="11"/>
  <c r="Z37" i="11" s="1"/>
  <c r="U37" i="11"/>
  <c r="Y37" i="11" s="1"/>
  <c r="R37" i="11"/>
  <c r="Q37" i="11"/>
  <c r="P37" i="11"/>
  <c r="W36" i="11"/>
  <c r="AA36" i="11" s="1"/>
  <c r="V36" i="11"/>
  <c r="Z36" i="11" s="1"/>
  <c r="U36" i="11"/>
  <c r="R36" i="11"/>
  <c r="Q36" i="11"/>
  <c r="P36" i="11"/>
  <c r="Y35" i="11"/>
  <c r="W35" i="11"/>
  <c r="AA35" i="11" s="1"/>
  <c r="V35" i="11"/>
  <c r="Z35" i="11" s="1"/>
  <c r="U35" i="11"/>
  <c r="R35" i="11"/>
  <c r="Q35" i="11"/>
  <c r="P35" i="11"/>
  <c r="Y34" i="11"/>
  <c r="W34" i="11"/>
  <c r="AA34" i="11" s="1"/>
  <c r="V34" i="11"/>
  <c r="Z34" i="11" s="1"/>
  <c r="U34" i="11"/>
  <c r="R34" i="11"/>
  <c r="Q34" i="11"/>
  <c r="P34" i="11"/>
  <c r="AK33" i="11"/>
  <c r="Z33" i="11"/>
  <c r="Y33" i="11"/>
  <c r="W33" i="11"/>
  <c r="AA33" i="11" s="1"/>
  <c r="V33" i="11"/>
  <c r="U33" i="11"/>
  <c r="R33" i="11"/>
  <c r="Q33" i="11"/>
  <c r="P33" i="11"/>
  <c r="W32" i="11"/>
  <c r="AA32" i="11" s="1"/>
  <c r="V32" i="11"/>
  <c r="Z32" i="11" s="1"/>
  <c r="U32" i="11"/>
  <c r="R32" i="11"/>
  <c r="Q32" i="11"/>
  <c r="AK31" i="11"/>
  <c r="AA31" i="11"/>
  <c r="Z31" i="11"/>
  <c r="Y31" i="11"/>
  <c r="W31" i="11"/>
  <c r="V31" i="11"/>
  <c r="U31" i="11"/>
  <c r="R31" i="11"/>
  <c r="Q31" i="11"/>
  <c r="P31" i="11"/>
  <c r="W30" i="11"/>
  <c r="AA30" i="11" s="1"/>
  <c r="V30" i="11"/>
  <c r="Z30" i="11" s="1"/>
  <c r="U30" i="11"/>
  <c r="R30" i="11"/>
  <c r="Q30" i="11"/>
  <c r="P30" i="11"/>
  <c r="AK29" i="11"/>
  <c r="Y29" i="11"/>
  <c r="W29" i="11"/>
  <c r="AA29" i="11" s="1"/>
  <c r="V29" i="11"/>
  <c r="Z29" i="11" s="1"/>
  <c r="U29" i="11"/>
  <c r="R29" i="11"/>
  <c r="Q29" i="11"/>
  <c r="S29" i="11" s="1"/>
  <c r="P29" i="11"/>
  <c r="AK28" i="11"/>
  <c r="W28" i="11"/>
  <c r="AA28" i="11" s="1"/>
  <c r="V28" i="11"/>
  <c r="Z28" i="11" s="1"/>
  <c r="U28" i="11"/>
  <c r="Y28" i="11" s="1"/>
  <c r="R28" i="11"/>
  <c r="Q28" i="11"/>
  <c r="P28" i="11"/>
  <c r="AK27" i="11"/>
  <c r="W27" i="11"/>
  <c r="AA27" i="11" s="1"/>
  <c r="V27" i="11"/>
  <c r="Z27" i="11" s="1"/>
  <c r="U27" i="11"/>
  <c r="Y27" i="11" s="1"/>
  <c r="R27" i="11"/>
  <c r="Q27" i="11"/>
  <c r="P27" i="11"/>
  <c r="W26" i="11"/>
  <c r="AA26" i="11" s="1"/>
  <c r="V26" i="11"/>
  <c r="Z26" i="11" s="1"/>
  <c r="U26" i="11"/>
  <c r="Y26" i="11" s="1"/>
  <c r="R26" i="11"/>
  <c r="Q26" i="11"/>
  <c r="P26" i="11"/>
  <c r="W25" i="11"/>
  <c r="AA25" i="11" s="1"/>
  <c r="V25" i="11"/>
  <c r="Z25" i="11" s="1"/>
  <c r="U25" i="11"/>
  <c r="Y25" i="11" s="1"/>
  <c r="R25" i="11"/>
  <c r="S25" i="11" s="1"/>
  <c r="Q25" i="11"/>
  <c r="P25" i="11"/>
  <c r="AK24" i="11"/>
  <c r="Y24" i="11"/>
  <c r="W24" i="11"/>
  <c r="AA24" i="11" s="1"/>
  <c r="V24" i="11"/>
  <c r="Z24" i="11" s="1"/>
  <c r="U24" i="11"/>
  <c r="R24" i="11"/>
  <c r="Q24" i="11"/>
  <c r="P24" i="11"/>
  <c r="AK23" i="11"/>
  <c r="AA23" i="11"/>
  <c r="Z23" i="11"/>
  <c r="W23" i="11"/>
  <c r="V23" i="11"/>
  <c r="U23" i="11"/>
  <c r="Y23" i="11" s="1"/>
  <c r="R23" i="11"/>
  <c r="Q23" i="11"/>
  <c r="P23" i="11"/>
  <c r="W22" i="11"/>
  <c r="AA22" i="11" s="1"/>
  <c r="V22" i="11"/>
  <c r="Z22" i="11" s="1"/>
  <c r="U22" i="11"/>
  <c r="R22" i="11"/>
  <c r="Q22" i="11"/>
  <c r="P22" i="11"/>
  <c r="AK21" i="11"/>
  <c r="Y21" i="11"/>
  <c r="W21" i="11"/>
  <c r="AA21" i="11" s="1"/>
  <c r="V21" i="11"/>
  <c r="Z21" i="11" s="1"/>
  <c r="U21" i="11"/>
  <c r="R21" i="11"/>
  <c r="Q21" i="11"/>
  <c r="P21" i="11"/>
  <c r="W20" i="11"/>
  <c r="AA20" i="11" s="1"/>
  <c r="V20" i="11"/>
  <c r="Z20" i="11" s="1"/>
  <c r="U20" i="11"/>
  <c r="R20" i="11"/>
  <c r="Q20" i="11"/>
  <c r="P20" i="11"/>
  <c r="AA19" i="11"/>
  <c r="Z19" i="11"/>
  <c r="Y19" i="11"/>
  <c r="W19" i="11"/>
  <c r="V19" i="11"/>
  <c r="U19" i="11"/>
  <c r="R19" i="11"/>
  <c r="Q19" i="11"/>
  <c r="P19" i="11"/>
  <c r="AK18" i="11"/>
  <c r="W18" i="11"/>
  <c r="AA18" i="11" s="1"/>
  <c r="V18" i="11"/>
  <c r="Z18" i="11" s="1"/>
  <c r="U18" i="11"/>
  <c r="Y18" i="11" s="1"/>
  <c r="R18" i="11"/>
  <c r="Q18" i="11"/>
  <c r="P18" i="11"/>
  <c r="Z17" i="11"/>
  <c r="W17" i="11"/>
  <c r="AA17" i="11" s="1"/>
  <c r="V17" i="11"/>
  <c r="U17" i="11"/>
  <c r="R17" i="11"/>
  <c r="Q17" i="11"/>
  <c r="P17" i="11"/>
  <c r="W16" i="11"/>
  <c r="AA16" i="11" s="1"/>
  <c r="V16" i="11"/>
  <c r="Z16" i="11" s="1"/>
  <c r="U16" i="11"/>
  <c r="R16" i="11"/>
  <c r="Q16" i="11"/>
  <c r="P16" i="11"/>
  <c r="W15" i="11"/>
  <c r="AA15" i="11" s="1"/>
  <c r="V15" i="11"/>
  <c r="Z15" i="11" s="1"/>
  <c r="U15" i="11"/>
  <c r="Y15" i="11" s="1"/>
  <c r="R15" i="11"/>
  <c r="Q15" i="11"/>
  <c r="P15" i="11"/>
  <c r="W14" i="11"/>
  <c r="AA14" i="11" s="1"/>
  <c r="V14" i="11"/>
  <c r="Z14" i="11" s="1"/>
  <c r="U14" i="11"/>
  <c r="Y14" i="11" s="1"/>
  <c r="R14" i="11"/>
  <c r="Q14" i="11"/>
  <c r="S14" i="11" s="1"/>
  <c r="P14" i="11"/>
  <c r="Y13" i="11"/>
  <c r="W13" i="11"/>
  <c r="AA13" i="11" s="1"/>
  <c r="V13" i="11"/>
  <c r="Z13" i="11" s="1"/>
  <c r="U13" i="11"/>
  <c r="AK13" i="11" s="1"/>
  <c r="R13" i="11"/>
  <c r="Q13" i="11"/>
  <c r="P13" i="11"/>
  <c r="Y12" i="11"/>
  <c r="W12" i="11"/>
  <c r="AA12" i="11" s="1"/>
  <c r="V12" i="11"/>
  <c r="Z12" i="11" s="1"/>
  <c r="U12" i="11"/>
  <c r="R12" i="11"/>
  <c r="Q12" i="11"/>
  <c r="P12" i="11"/>
  <c r="Y11" i="11"/>
  <c r="W11" i="11"/>
  <c r="V11" i="11"/>
  <c r="U11" i="11"/>
  <c r="AK11" i="11" s="1"/>
  <c r="R11" i="11"/>
  <c r="Q11" i="11"/>
  <c r="P11" i="11"/>
  <c r="S61" i="11" l="1"/>
  <c r="S51" i="11"/>
  <c r="S108" i="11"/>
  <c r="Y83" i="11"/>
  <c r="S91" i="11"/>
  <c r="AD91" i="11"/>
  <c r="S95" i="11"/>
  <c r="Y101" i="11"/>
  <c r="S135" i="11"/>
  <c r="AD143" i="11"/>
  <c r="Y144" i="11"/>
  <c r="AK179" i="11"/>
  <c r="S80" i="11"/>
  <c r="S96" i="11"/>
  <c r="S185" i="11"/>
  <c r="S199" i="11"/>
  <c r="AK19" i="11"/>
  <c r="S27" i="11"/>
  <c r="AD47" i="11"/>
  <c r="Y54" i="11"/>
  <c r="S66" i="11"/>
  <c r="S34" i="11"/>
  <c r="S35" i="11"/>
  <c r="S46" i="11"/>
  <c r="S47" i="11"/>
  <c r="S50" i="11"/>
  <c r="AD54" i="11"/>
  <c r="Y114" i="11"/>
  <c r="Y128" i="11"/>
  <c r="AD138" i="11"/>
  <c r="AD141" i="11"/>
  <c r="AK143" i="11"/>
  <c r="S148" i="11"/>
  <c r="S149" i="11"/>
  <c r="AD151" i="11"/>
  <c r="S183" i="11"/>
  <c r="S191" i="11"/>
  <c r="AD137" i="11"/>
  <c r="AK141" i="11"/>
  <c r="AK177" i="11"/>
  <c r="AD114" i="11"/>
  <c r="S12" i="11"/>
  <c r="S15" i="11"/>
  <c r="AK17" i="11"/>
  <c r="S20" i="11"/>
  <c r="AK44" i="11"/>
  <c r="S49" i="11"/>
  <c r="AD61" i="11"/>
  <c r="S69" i="11"/>
  <c r="AD83" i="11"/>
  <c r="S88" i="11"/>
  <c r="AK99" i="11"/>
  <c r="AD109" i="11"/>
  <c r="AD121" i="11"/>
  <c r="S123" i="11"/>
  <c r="S165" i="11"/>
  <c r="S37" i="11"/>
  <c r="AK36" i="11"/>
  <c r="AK55" i="11"/>
  <c r="Y65" i="11"/>
  <c r="Y67" i="11"/>
  <c r="Y85" i="11"/>
  <c r="AD97" i="11"/>
  <c r="S53" i="11"/>
  <c r="S57" i="11"/>
  <c r="AK61" i="11"/>
  <c r="S82" i="11"/>
  <c r="S83" i="11"/>
  <c r="S92" i="11"/>
  <c r="S103" i="11"/>
  <c r="AK109" i="11"/>
  <c r="S151" i="11"/>
  <c r="W201" i="11"/>
  <c r="S16" i="11"/>
  <c r="S26" i="11"/>
  <c r="AK57" i="11"/>
  <c r="AD57" i="11"/>
  <c r="AK58" i="11"/>
  <c r="AD58" i="11"/>
  <c r="Y58" i="11"/>
  <c r="AK66" i="11"/>
  <c r="AD66" i="11"/>
  <c r="AJ204" i="11"/>
  <c r="AJ206" i="11" s="1"/>
  <c r="S117" i="11"/>
  <c r="AK150" i="11"/>
  <c r="AD150" i="11"/>
  <c r="Y150" i="11"/>
  <c r="S187" i="11"/>
  <c r="S188" i="11"/>
  <c r="Y189" i="11"/>
  <c r="AK189" i="11"/>
  <c r="AK196" i="11"/>
  <c r="AD196" i="11"/>
  <c r="Y196" i="11"/>
  <c r="S112" i="11"/>
  <c r="AK118" i="11"/>
  <c r="Y118" i="11"/>
  <c r="S133" i="11"/>
  <c r="AK134" i="11"/>
  <c r="Y134" i="11"/>
  <c r="Y195" i="11"/>
  <c r="AD195" i="11"/>
  <c r="Y163" i="11"/>
  <c r="AK163" i="11"/>
  <c r="S28" i="11"/>
  <c r="S23" i="11"/>
  <c r="S30" i="11"/>
  <c r="S33" i="11"/>
  <c r="AK45" i="11"/>
  <c r="AK51" i="11"/>
  <c r="AK53" i="11"/>
  <c r="Y57" i="11"/>
  <c r="Y66" i="11"/>
  <c r="AK67" i="11"/>
  <c r="AK69" i="11"/>
  <c r="S86" i="11"/>
  <c r="AK97" i="11"/>
  <c r="Y102" i="11"/>
  <c r="Y103" i="11"/>
  <c r="S111" i="11"/>
  <c r="S131" i="11"/>
  <c r="S153" i="11"/>
  <c r="Y161" i="11"/>
  <c r="AK161" i="11"/>
  <c r="Y185" i="11"/>
  <c r="AK185" i="11"/>
  <c r="S194" i="11"/>
  <c r="AK50" i="11"/>
  <c r="AD50" i="11"/>
  <c r="Y50" i="11"/>
  <c r="AK73" i="11"/>
  <c r="AD73" i="11"/>
  <c r="AK80" i="11"/>
  <c r="Y80" i="11"/>
  <c r="S94" i="11"/>
  <c r="Y17" i="11"/>
  <c r="S22" i="11"/>
  <c r="S39" i="11"/>
  <c r="S109" i="11"/>
  <c r="S110" i="11"/>
  <c r="AK112" i="11"/>
  <c r="S139" i="11"/>
  <c r="Y147" i="11"/>
  <c r="AD147" i="11"/>
  <c r="AD163" i="11"/>
  <c r="AK175" i="11"/>
  <c r="AK79" i="11"/>
  <c r="AD79" i="11"/>
  <c r="AK12" i="11"/>
  <c r="S36" i="11"/>
  <c r="S38" i="11"/>
  <c r="AD75" i="11"/>
  <c r="AD81" i="11"/>
  <c r="AK86" i="11"/>
  <c r="AD86" i="11"/>
  <c r="Y86" i="11"/>
  <c r="AK95" i="11"/>
  <c r="AK103" i="11"/>
  <c r="AK14" i="11"/>
  <c r="S41" i="11"/>
  <c r="S59" i="11"/>
  <c r="S60" i="11"/>
  <c r="S65" i="11"/>
  <c r="Y72" i="11"/>
  <c r="Y73" i="11"/>
  <c r="AK75" i="11"/>
  <c r="Y79" i="11"/>
  <c r="AK81" i="11"/>
  <c r="AD87" i="11"/>
  <c r="S97" i="11"/>
  <c r="S99" i="11"/>
  <c r="S101" i="11"/>
  <c r="S122" i="11"/>
  <c r="Y123" i="11"/>
  <c r="AK123" i="11"/>
  <c r="S130" i="11"/>
  <c r="S138" i="11"/>
  <c r="S141" i="11"/>
  <c r="AD172" i="11"/>
  <c r="Y183" i="11"/>
  <c r="AK183" i="11"/>
  <c r="AD183" i="11"/>
  <c r="S197" i="11"/>
  <c r="S31" i="11"/>
  <c r="Y20" i="11"/>
  <c r="AK20" i="11"/>
  <c r="AK22" i="11"/>
  <c r="AK87" i="11"/>
  <c r="AD89" i="11"/>
  <c r="AK108" i="11"/>
  <c r="Y108" i="11"/>
  <c r="Y167" i="11"/>
  <c r="AD167" i="11"/>
  <c r="AK49" i="11"/>
  <c r="AD49" i="11"/>
  <c r="AK15" i="11"/>
  <c r="S17" i="11"/>
  <c r="S58" i="11"/>
  <c r="AK68" i="11"/>
  <c r="Y68" i="11"/>
  <c r="S75" i="11"/>
  <c r="S77" i="11"/>
  <c r="AK89" i="11"/>
  <c r="AK190" i="11"/>
  <c r="Y190" i="11"/>
  <c r="S116" i="11"/>
  <c r="S136" i="11"/>
  <c r="AD154" i="11"/>
  <c r="Y158" i="11"/>
  <c r="Y180" i="11"/>
  <c r="AK192" i="11"/>
  <c r="S193" i="11"/>
  <c r="AK127" i="11"/>
  <c r="S154" i="11"/>
  <c r="S54" i="11"/>
  <c r="S55" i="11"/>
  <c r="S62" i="11"/>
  <c r="S63" i="11"/>
  <c r="S70" i="11"/>
  <c r="S71" i="11"/>
  <c r="S76" i="11"/>
  <c r="S98" i="11"/>
  <c r="AK104" i="11"/>
  <c r="S179" i="11"/>
  <c r="S19" i="11"/>
  <c r="AK25" i="11"/>
  <c r="S40" i="11"/>
  <c r="S90" i="11"/>
  <c r="S100" i="11"/>
  <c r="AK107" i="11"/>
  <c r="S143" i="11"/>
  <c r="S147" i="11"/>
  <c r="S156" i="11"/>
  <c r="S158" i="11"/>
  <c r="S167" i="11"/>
  <c r="S173" i="11"/>
  <c r="AK193" i="11"/>
  <c r="AK16" i="11"/>
  <c r="S18" i="11"/>
  <c r="S24" i="11"/>
  <c r="AK26" i="11"/>
  <c r="S32" i="11"/>
  <c r="S13" i="11"/>
  <c r="S21" i="11"/>
  <c r="AK32" i="11"/>
  <c r="AK35" i="11"/>
  <c r="AK40" i="11"/>
  <c r="AK43" i="11"/>
  <c r="S48" i="11"/>
  <c r="S56" i="11"/>
  <c r="S64" i="11"/>
  <c r="S78" i="11"/>
  <c r="S79" i="11"/>
  <c r="S84" i="11"/>
  <c r="AK90" i="11"/>
  <c r="S107" i="11"/>
  <c r="S126" i="11"/>
  <c r="S127" i="11"/>
  <c r="S128" i="11"/>
  <c r="Y138" i="11"/>
  <c r="S142" i="11"/>
  <c r="S144" i="11"/>
  <c r="S146" i="11"/>
  <c r="S159" i="11"/>
  <c r="S160" i="11"/>
  <c r="S163" i="11"/>
  <c r="AK170" i="11"/>
  <c r="S171" i="11"/>
  <c r="S175" i="11"/>
  <c r="S177" i="11"/>
  <c r="S195" i="11"/>
  <c r="Y22" i="11"/>
  <c r="AK30" i="11"/>
  <c r="Y40" i="11"/>
  <c r="Y44" i="11"/>
  <c r="Y48" i="11"/>
  <c r="Y52" i="11"/>
  <c r="Y64" i="11"/>
  <c r="V205" i="11"/>
  <c r="V216" i="11" s="1"/>
  <c r="Z38" i="11"/>
  <c r="Z205" i="11" s="1"/>
  <c r="Z216" i="11" s="1"/>
  <c r="AK96" i="11"/>
  <c r="AD96" i="11"/>
  <c r="U201" i="11"/>
  <c r="Y16" i="11"/>
  <c r="Y30" i="11"/>
  <c r="W205" i="11"/>
  <c r="W216" i="11" s="1"/>
  <c r="AA38" i="11"/>
  <c r="AA205" i="11" s="1"/>
  <c r="AA216" i="11" s="1"/>
  <c r="Y90" i="11"/>
  <c r="Y104" i="11"/>
  <c r="AK111" i="11"/>
  <c r="Y113" i="11"/>
  <c r="AD113" i="11"/>
  <c r="AK136" i="11"/>
  <c r="Y136" i="11"/>
  <c r="S150" i="11"/>
  <c r="AK168" i="11"/>
  <c r="Y168" i="11"/>
  <c r="Q201" i="11"/>
  <c r="AD11" i="11"/>
  <c r="Y32" i="11"/>
  <c r="S11" i="11"/>
  <c r="V201" i="11"/>
  <c r="Z11" i="11"/>
  <c r="Z204" i="11" s="1"/>
  <c r="Z206" i="11" s="1"/>
  <c r="AK92" i="11"/>
  <c r="AD92" i="11"/>
  <c r="S115" i="11"/>
  <c r="Y135" i="11"/>
  <c r="AK135" i="11"/>
  <c r="Y149" i="11"/>
  <c r="AK149" i="11"/>
  <c r="AD149" i="11"/>
  <c r="AK116" i="11"/>
  <c r="Y116" i="11"/>
  <c r="Y139" i="11"/>
  <c r="AD139" i="11"/>
  <c r="AK88" i="11"/>
  <c r="AD88" i="11"/>
  <c r="AK98" i="11"/>
  <c r="AD98" i="11"/>
  <c r="AK106" i="11"/>
  <c r="AD106" i="11"/>
  <c r="AK110" i="11"/>
  <c r="AD110" i="11"/>
  <c r="S120" i="11"/>
  <c r="S121" i="11"/>
  <c r="Y125" i="11"/>
  <c r="AK125" i="11"/>
  <c r="AK126" i="11"/>
  <c r="Y126" i="11"/>
  <c r="Y153" i="11"/>
  <c r="AK153" i="11"/>
  <c r="Y197" i="11"/>
  <c r="AK197" i="11"/>
  <c r="AD197" i="11"/>
  <c r="AK94" i="11"/>
  <c r="AD94" i="11"/>
  <c r="AK120" i="11"/>
  <c r="Y120" i="11"/>
  <c r="AA11" i="11"/>
  <c r="AA204" i="11" s="1"/>
  <c r="Y36" i="11"/>
  <c r="Y56" i="11"/>
  <c r="Y60" i="11"/>
  <c r="AK100" i="11"/>
  <c r="AD100" i="11"/>
  <c r="R201" i="11"/>
  <c r="AF11" i="11"/>
  <c r="AK34" i="11"/>
  <c r="U205" i="11"/>
  <c r="AK38" i="11"/>
  <c r="AK42" i="11"/>
  <c r="AD52" i="11"/>
  <c r="AD60" i="11"/>
  <c r="AK62" i="11"/>
  <c r="AD64" i="11"/>
  <c r="AD68" i="11"/>
  <c r="AD72" i="11"/>
  <c r="AK74" i="11"/>
  <c r="AD76" i="11"/>
  <c r="AK78" i="11"/>
  <c r="AD80" i="11"/>
  <c r="AK82" i="11"/>
  <c r="AD84" i="11"/>
  <c r="Y110" i="11"/>
  <c r="Y119" i="11"/>
  <c r="AK119" i="11"/>
  <c r="AD119" i="11"/>
  <c r="AK122" i="11"/>
  <c r="AD122" i="11"/>
  <c r="Y129" i="11"/>
  <c r="AK129" i="11"/>
  <c r="S137" i="11"/>
  <c r="AK142" i="11"/>
  <c r="AD142" i="11"/>
  <c r="Y142" i="11"/>
  <c r="Y157" i="11"/>
  <c r="AK157" i="11"/>
  <c r="AD157" i="11"/>
  <c r="S114" i="11"/>
  <c r="AK132" i="11"/>
  <c r="Y132" i="11"/>
  <c r="AK139" i="11"/>
  <c r="Y145" i="11"/>
  <c r="AK145" i="11"/>
  <c r="AD145" i="11"/>
  <c r="Y187" i="11"/>
  <c r="AK187" i="11"/>
  <c r="AK194" i="11"/>
  <c r="AD194" i="11"/>
  <c r="Y194" i="11"/>
  <c r="AK200" i="11"/>
  <c r="AD200" i="11"/>
  <c r="Y200" i="11"/>
  <c r="P201" i="11"/>
  <c r="U204" i="11"/>
  <c r="AD115" i="11"/>
  <c r="AD118" i="11"/>
  <c r="AK121" i="11"/>
  <c r="S124" i="11"/>
  <c r="AK130" i="11"/>
  <c r="AD131" i="11"/>
  <c r="AD134" i="11"/>
  <c r="AK137" i="11"/>
  <c r="S140" i="11"/>
  <c r="AK146" i="11"/>
  <c r="AK147" i="11"/>
  <c r="AK151" i="11"/>
  <c r="AK155" i="11"/>
  <c r="AK162" i="11"/>
  <c r="AD162" i="11"/>
  <c r="Y162" i="11"/>
  <c r="S172" i="11"/>
  <c r="AK115" i="11"/>
  <c r="S118" i="11"/>
  <c r="AK124" i="11"/>
  <c r="AK131" i="11"/>
  <c r="S134" i="11"/>
  <c r="AK140" i="11"/>
  <c r="AD144" i="11"/>
  <c r="S155" i="11"/>
  <c r="S164" i="11"/>
  <c r="AK178" i="11"/>
  <c r="Y178" i="11"/>
  <c r="AK164" i="11"/>
  <c r="AD164" i="11"/>
  <c r="Y171" i="11"/>
  <c r="AK171" i="11"/>
  <c r="S189" i="11"/>
  <c r="Y159" i="11"/>
  <c r="AD159" i="11"/>
  <c r="Y181" i="11"/>
  <c r="AK181" i="11"/>
  <c r="AK184" i="11"/>
  <c r="Y184" i="11"/>
  <c r="S132" i="11"/>
  <c r="Y140" i="11"/>
  <c r="AK148" i="11"/>
  <c r="AK152" i="11"/>
  <c r="AK156" i="11"/>
  <c r="AK160" i="11"/>
  <c r="Y160" i="11"/>
  <c r="Y165" i="11"/>
  <c r="AK165" i="11"/>
  <c r="AK166" i="11"/>
  <c r="Y166" i="11"/>
  <c r="AK169" i="11"/>
  <c r="S182" i="11"/>
  <c r="AK188" i="11"/>
  <c r="AK195" i="11"/>
  <c r="S198" i="11"/>
  <c r="AK173" i="11"/>
  <c r="S176" i="11"/>
  <c r="AK182" i="11"/>
  <c r="S192" i="11"/>
  <c r="AK167" i="11"/>
  <c r="S170" i="11"/>
  <c r="AK176" i="11"/>
  <c r="S186" i="11"/>
  <c r="Y172" i="11"/>
  <c r="S180" i="11"/>
  <c r="AK186" i="11"/>
  <c r="Y188" i="11"/>
  <c r="AD190" i="11"/>
  <c r="S196" i="11"/>
  <c r="S174" i="11"/>
  <c r="Y182" i="11"/>
  <c r="S190" i="11"/>
  <c r="Y198" i="11"/>
  <c r="S152" i="11"/>
  <c r="S168" i="11"/>
  <c r="AK174" i="11"/>
  <c r="AD175" i="11"/>
  <c r="Y176" i="11"/>
  <c r="S184" i="11"/>
  <c r="Y192" i="11"/>
  <c r="S200" i="11"/>
  <c r="Y205" i="11" l="1"/>
  <c r="Y212" i="11" s="1"/>
  <c r="Y204" i="11"/>
  <c r="Y206" i="11" s="1"/>
  <c r="AA206" i="11"/>
  <c r="U206" i="11"/>
  <c r="AA201" i="11"/>
  <c r="AH11" i="11"/>
  <c r="S201" i="11"/>
  <c r="Y201" i="11"/>
  <c r="Z201" i="11"/>
  <c r="Z207" i="11" s="1"/>
  <c r="AG11" i="11"/>
  <c r="AA207" i="11" l="1"/>
  <c r="Y207" i="11"/>
  <c r="H55" i="10"/>
  <c r="F55" i="10"/>
  <c r="T54" i="10"/>
  <c r="R54" i="10"/>
  <c r="H54" i="10"/>
  <c r="R53" i="10"/>
  <c r="T53" i="10" s="1"/>
  <c r="H53" i="10"/>
  <c r="T52" i="10"/>
  <c r="R52" i="10"/>
  <c r="H52" i="10"/>
  <c r="R51" i="10"/>
  <c r="T51" i="10" s="1"/>
  <c r="H51" i="10"/>
  <c r="T50" i="10"/>
  <c r="R50" i="10"/>
  <c r="H50" i="10"/>
  <c r="R49" i="10"/>
  <c r="T49" i="10" s="1"/>
  <c r="H49" i="10"/>
  <c r="T48" i="10"/>
  <c r="R48" i="10"/>
  <c r="H48" i="10"/>
  <c r="R47" i="10"/>
  <c r="T47" i="10" s="1"/>
  <c r="H47" i="10"/>
  <c r="T46" i="10"/>
  <c r="R46" i="10"/>
  <c r="H46" i="10"/>
  <c r="R45" i="10"/>
  <c r="T45" i="10" s="1"/>
  <c r="H45" i="10"/>
  <c r="T44" i="10"/>
  <c r="R44" i="10"/>
  <c r="H44" i="10"/>
  <c r="R43" i="10"/>
  <c r="T43" i="10" s="1"/>
  <c r="H43" i="10"/>
  <c r="T42" i="10"/>
  <c r="R42" i="10"/>
  <c r="H42" i="10"/>
  <c r="R41" i="10"/>
  <c r="T41" i="10" s="1"/>
  <c r="H41" i="10"/>
  <c r="T40" i="10"/>
  <c r="R40" i="10"/>
  <c r="H40" i="10"/>
  <c r="R39" i="10"/>
  <c r="T39" i="10" s="1"/>
  <c r="H39" i="10"/>
  <c r="T38" i="10"/>
  <c r="R38" i="10"/>
  <c r="H38" i="10"/>
  <c r="R37" i="10"/>
  <c r="T37" i="10" s="1"/>
  <c r="H37" i="10"/>
  <c r="T36" i="10"/>
  <c r="R36" i="10"/>
  <c r="H36" i="10"/>
  <c r="R35" i="10"/>
  <c r="T35" i="10" s="1"/>
  <c r="H35" i="10"/>
  <c r="T34" i="10"/>
  <c r="R34" i="10"/>
  <c r="H34" i="10"/>
  <c r="R33" i="10"/>
  <c r="T33" i="10" s="1"/>
  <c r="H33" i="10"/>
  <c r="T32" i="10"/>
  <c r="R32" i="10"/>
  <c r="H32" i="10"/>
  <c r="R31" i="10"/>
  <c r="T31" i="10" s="1"/>
  <c r="H31" i="10"/>
  <c r="T30" i="10"/>
  <c r="R30" i="10"/>
  <c r="H30" i="10"/>
  <c r="R29" i="10"/>
  <c r="T29" i="10" s="1"/>
  <c r="H29" i="10"/>
  <c r="S55" i="10"/>
  <c r="R28" i="10"/>
  <c r="H28" i="10"/>
  <c r="T28" i="10" l="1"/>
  <c r="T55" i="10" s="1"/>
  <c r="R55" i="10"/>
  <c r="M39" i="1" l="1"/>
  <c r="N39" i="1"/>
  <c r="M40" i="1"/>
  <c r="N40" i="1"/>
  <c r="X194" i="7"/>
  <c r="AA194" i="7" s="1"/>
  <c r="X193" i="7"/>
  <c r="AA193" i="7" s="1"/>
  <c r="X192" i="7"/>
  <c r="AA192" i="7" s="1"/>
  <c r="X191" i="7"/>
  <c r="AA191" i="7" s="1"/>
  <c r="X190" i="7"/>
  <c r="AA190" i="7" s="1"/>
  <c r="X189" i="7"/>
  <c r="AA189" i="7" s="1"/>
  <c r="X188" i="7"/>
  <c r="AA188" i="7" s="1"/>
  <c r="X187" i="7"/>
  <c r="AA187" i="7" s="1"/>
  <c r="X186" i="7"/>
  <c r="AA186" i="7" s="1"/>
  <c r="X185" i="7"/>
  <c r="AA185" i="7" s="1"/>
  <c r="X184" i="7"/>
  <c r="AA184" i="7" s="1"/>
  <c r="X183" i="7"/>
  <c r="AA183" i="7" s="1"/>
  <c r="X182" i="7"/>
  <c r="AA182" i="7" s="1"/>
  <c r="X181" i="7"/>
  <c r="AA181" i="7" s="1"/>
  <c r="X180" i="7"/>
  <c r="AA180" i="7" s="1"/>
  <c r="X179" i="7"/>
  <c r="AA179" i="7" s="1"/>
  <c r="X178" i="7"/>
  <c r="AA178" i="7" s="1"/>
  <c r="X177" i="7"/>
  <c r="AA177" i="7" s="1"/>
  <c r="X176" i="7"/>
  <c r="AA176" i="7" s="1"/>
  <c r="X175" i="7"/>
  <c r="AA175" i="7" s="1"/>
  <c r="X174" i="7"/>
  <c r="AA174" i="7" s="1"/>
  <c r="X173" i="7"/>
  <c r="AA173" i="7" s="1"/>
  <c r="X172" i="7"/>
  <c r="AA172" i="7" s="1"/>
  <c r="X171" i="7"/>
  <c r="AA171" i="7" s="1"/>
  <c r="X170" i="7"/>
  <c r="AA170" i="7" s="1"/>
  <c r="X169" i="7"/>
  <c r="AA169" i="7" s="1"/>
  <c r="X168" i="7"/>
  <c r="AA168" i="7" s="1"/>
  <c r="X167" i="7"/>
  <c r="AA167" i="7" s="1"/>
  <c r="X166" i="7"/>
  <c r="AA166" i="7" s="1"/>
  <c r="X165" i="7"/>
  <c r="AA165" i="7" s="1"/>
  <c r="X164" i="7"/>
  <c r="AA164" i="7" s="1"/>
  <c r="X163" i="7"/>
  <c r="AA163" i="7" s="1"/>
  <c r="X162" i="7"/>
  <c r="AA162" i="7" s="1"/>
  <c r="X161" i="7"/>
  <c r="AA161" i="7" s="1"/>
  <c r="X160" i="7"/>
  <c r="AA160" i="7" s="1"/>
  <c r="X159" i="7"/>
  <c r="AA159" i="7" s="1"/>
  <c r="X158" i="7"/>
  <c r="AA158" i="7" s="1"/>
  <c r="X157" i="7"/>
  <c r="AA157" i="7" s="1"/>
  <c r="X156" i="7"/>
  <c r="AA156" i="7" s="1"/>
  <c r="X155" i="7"/>
  <c r="AA155" i="7" s="1"/>
  <c r="X154" i="7"/>
  <c r="AA154" i="7" s="1"/>
  <c r="X153" i="7"/>
  <c r="AA153" i="7" s="1"/>
  <c r="X152" i="7"/>
  <c r="AA152" i="7" s="1"/>
  <c r="X151" i="7"/>
  <c r="AA151" i="7" s="1"/>
  <c r="X150" i="7"/>
  <c r="AA150" i="7" s="1"/>
  <c r="X149" i="7"/>
  <c r="AA149" i="7" s="1"/>
  <c r="X148" i="7"/>
  <c r="AA148" i="7" s="1"/>
  <c r="X147" i="7"/>
  <c r="AA147" i="7" s="1"/>
  <c r="X146" i="7"/>
  <c r="AA146" i="7" s="1"/>
  <c r="X145" i="7"/>
  <c r="AA145" i="7" s="1"/>
  <c r="X144" i="7"/>
  <c r="AA144" i="7" s="1"/>
  <c r="X143" i="7"/>
  <c r="AA143" i="7" s="1"/>
  <c r="X142" i="7"/>
  <c r="AA142" i="7" s="1"/>
  <c r="X141" i="7"/>
  <c r="AA141" i="7" s="1"/>
  <c r="X140" i="7"/>
  <c r="AA140" i="7" s="1"/>
  <c r="X139" i="7"/>
  <c r="AA139" i="7" s="1"/>
  <c r="X138" i="7"/>
  <c r="AA138" i="7" s="1"/>
  <c r="X137" i="7"/>
  <c r="AA137" i="7" s="1"/>
  <c r="X136" i="7"/>
  <c r="AA136" i="7" s="1"/>
  <c r="X135" i="7"/>
  <c r="AA135" i="7" s="1"/>
  <c r="X134" i="7"/>
  <c r="AA134" i="7" s="1"/>
  <c r="X133" i="7"/>
  <c r="AA133" i="7" s="1"/>
  <c r="X132" i="7"/>
  <c r="AA132" i="7" s="1"/>
  <c r="X131" i="7"/>
  <c r="AA131" i="7" s="1"/>
  <c r="X130" i="7"/>
  <c r="AA130" i="7" s="1"/>
  <c r="X129" i="7"/>
  <c r="AA129" i="7" s="1"/>
  <c r="X128" i="7"/>
  <c r="AA128" i="7" s="1"/>
  <c r="X127" i="7"/>
  <c r="AA127" i="7" s="1"/>
  <c r="X126" i="7"/>
  <c r="AA126" i="7" s="1"/>
  <c r="X125" i="7"/>
  <c r="AA125" i="7" s="1"/>
  <c r="X124" i="7"/>
  <c r="AA124" i="7" s="1"/>
  <c r="X123" i="7"/>
  <c r="AA123" i="7" s="1"/>
  <c r="X122" i="7"/>
  <c r="AA122" i="7" s="1"/>
  <c r="X121" i="7"/>
  <c r="AA121" i="7" s="1"/>
  <c r="X120" i="7"/>
  <c r="AA120" i="7" s="1"/>
  <c r="X119" i="7"/>
  <c r="AA119" i="7" s="1"/>
  <c r="X118" i="7"/>
  <c r="AA118" i="7" s="1"/>
  <c r="X117" i="7"/>
  <c r="AA117" i="7" s="1"/>
  <c r="X116" i="7"/>
  <c r="AA116" i="7" s="1"/>
  <c r="X115" i="7"/>
  <c r="AA115" i="7" s="1"/>
  <c r="X114" i="7"/>
  <c r="AA114" i="7" s="1"/>
  <c r="X113" i="7"/>
  <c r="AA113" i="7" s="1"/>
  <c r="X112" i="7"/>
  <c r="AA112" i="7" s="1"/>
  <c r="X111" i="7"/>
  <c r="AA111" i="7" s="1"/>
  <c r="X110" i="7"/>
  <c r="AA110" i="7" s="1"/>
  <c r="X109" i="7"/>
  <c r="AA109" i="7" s="1"/>
  <c r="X108" i="7"/>
  <c r="AA108" i="7" s="1"/>
  <c r="X107" i="7"/>
  <c r="AA107" i="7" s="1"/>
  <c r="X106" i="7"/>
  <c r="AA106" i="7" s="1"/>
  <c r="X105" i="7"/>
  <c r="AA105" i="7" s="1"/>
  <c r="X104" i="7"/>
  <c r="AA104" i="7" s="1"/>
  <c r="X103" i="7"/>
  <c r="AA103" i="7" s="1"/>
  <c r="X102" i="7"/>
  <c r="AA102" i="7" s="1"/>
  <c r="X101" i="7"/>
  <c r="AA101" i="7" s="1"/>
  <c r="X100" i="7"/>
  <c r="AA100" i="7" s="1"/>
  <c r="X99" i="7"/>
  <c r="AA99" i="7" s="1"/>
  <c r="X98" i="7"/>
  <c r="AA98" i="7" s="1"/>
  <c r="X97" i="7"/>
  <c r="AA97" i="7" s="1"/>
  <c r="X96" i="7"/>
  <c r="AA96" i="7" s="1"/>
  <c r="X95" i="7"/>
  <c r="AA95" i="7" s="1"/>
  <c r="X94" i="7"/>
  <c r="AA94" i="7" s="1"/>
  <c r="X93" i="7"/>
  <c r="AA93" i="7" s="1"/>
  <c r="X92" i="7"/>
  <c r="AA92" i="7" s="1"/>
  <c r="X91" i="7"/>
  <c r="AA91" i="7" s="1"/>
  <c r="X90" i="7"/>
  <c r="AA90" i="7" s="1"/>
  <c r="X89" i="7"/>
  <c r="AA89" i="7" s="1"/>
  <c r="X88" i="7"/>
  <c r="AA88" i="7" s="1"/>
  <c r="X87" i="7"/>
  <c r="AA87" i="7" s="1"/>
  <c r="X86" i="7"/>
  <c r="AA86" i="7" s="1"/>
  <c r="X85" i="7"/>
  <c r="AA85" i="7" s="1"/>
  <c r="X84" i="7"/>
  <c r="AA84" i="7" s="1"/>
  <c r="X83" i="7"/>
  <c r="AA83" i="7" s="1"/>
  <c r="X82" i="7"/>
  <c r="AA82" i="7" s="1"/>
  <c r="X81" i="7"/>
  <c r="AA81" i="7" s="1"/>
  <c r="X80" i="7"/>
  <c r="AA80" i="7" s="1"/>
  <c r="X79" i="7"/>
  <c r="AA79" i="7" s="1"/>
  <c r="X78" i="7"/>
  <c r="AA78" i="7" s="1"/>
  <c r="X77" i="7"/>
  <c r="AA77" i="7" s="1"/>
  <c r="X76" i="7"/>
  <c r="AA76" i="7" s="1"/>
  <c r="X75" i="7"/>
  <c r="AA75" i="7" s="1"/>
  <c r="X74" i="7"/>
  <c r="AA74" i="7" s="1"/>
  <c r="X73" i="7"/>
  <c r="AA73" i="7" s="1"/>
  <c r="X72" i="7"/>
  <c r="AA72" i="7" s="1"/>
  <c r="X71" i="7"/>
  <c r="AA71" i="7" s="1"/>
  <c r="X70" i="7"/>
  <c r="AA70" i="7" s="1"/>
  <c r="X69" i="7"/>
  <c r="AA69" i="7" s="1"/>
  <c r="X68" i="7"/>
  <c r="AA68" i="7" s="1"/>
  <c r="X67" i="7"/>
  <c r="AA67" i="7" s="1"/>
  <c r="X66" i="7"/>
  <c r="AA66" i="7" s="1"/>
  <c r="X65" i="7"/>
  <c r="AA65" i="7" s="1"/>
  <c r="X64" i="7"/>
  <c r="AA64" i="7" s="1"/>
  <c r="X63" i="7"/>
  <c r="AA63" i="7" s="1"/>
  <c r="X62" i="7"/>
  <c r="AA62" i="7" s="1"/>
  <c r="X61" i="7"/>
  <c r="AA61" i="7" s="1"/>
  <c r="X60" i="7"/>
  <c r="AA60" i="7" s="1"/>
  <c r="X59" i="7"/>
  <c r="AA59" i="7" s="1"/>
  <c r="X58" i="7"/>
  <c r="AA58" i="7" s="1"/>
  <c r="X57" i="7"/>
  <c r="AA57" i="7" s="1"/>
  <c r="X56" i="7"/>
  <c r="AA56" i="7" s="1"/>
  <c r="X55" i="7"/>
  <c r="AA55" i="7" s="1"/>
  <c r="X54" i="7"/>
  <c r="AA54" i="7" s="1"/>
  <c r="X53" i="7"/>
  <c r="AA53" i="7" s="1"/>
  <c r="X52" i="7"/>
  <c r="AA52" i="7" s="1"/>
  <c r="X51" i="7"/>
  <c r="AA51" i="7" s="1"/>
  <c r="X50" i="7"/>
  <c r="AA50" i="7" s="1"/>
  <c r="X49" i="7"/>
  <c r="AA49" i="7" s="1"/>
  <c r="X48" i="7"/>
  <c r="AA48" i="7" s="1"/>
  <c r="X47" i="7"/>
  <c r="AA47" i="7" s="1"/>
  <c r="X46" i="7"/>
  <c r="AA46" i="7" s="1"/>
  <c r="X45" i="7"/>
  <c r="AA45" i="7" s="1"/>
  <c r="X44" i="7"/>
  <c r="AA44" i="7" s="1"/>
  <c r="X43" i="7"/>
  <c r="AA43" i="7" s="1"/>
  <c r="X42" i="7"/>
  <c r="AA42" i="7" s="1"/>
  <c r="X41" i="7"/>
  <c r="AA41" i="7" s="1"/>
  <c r="X40" i="7"/>
  <c r="AA40" i="7" s="1"/>
  <c r="X39" i="7"/>
  <c r="AA39" i="7" s="1"/>
  <c r="X38" i="7"/>
  <c r="AA38" i="7" s="1"/>
  <c r="X37" i="7"/>
  <c r="AA37" i="7" s="1"/>
  <c r="X36" i="7"/>
  <c r="AA36" i="7" s="1"/>
  <c r="X35" i="7"/>
  <c r="AA35" i="7" s="1"/>
  <c r="X34" i="7"/>
  <c r="AA34" i="7" s="1"/>
  <c r="X33" i="7"/>
  <c r="AA33" i="7" s="1"/>
  <c r="X32" i="7"/>
  <c r="AA32" i="7" s="1"/>
  <c r="X31" i="7"/>
  <c r="AA31" i="7" s="1"/>
  <c r="X30" i="7"/>
  <c r="AA30" i="7" s="1"/>
  <c r="X29" i="7"/>
  <c r="AA29" i="7" s="1"/>
  <c r="X28" i="7"/>
  <c r="AA28" i="7" s="1"/>
  <c r="X27" i="7"/>
  <c r="AA27" i="7" s="1"/>
  <c r="X26" i="7"/>
  <c r="AA26" i="7" s="1"/>
  <c r="X25" i="7"/>
  <c r="AA25" i="7" s="1"/>
  <c r="X24" i="7"/>
  <c r="AA24" i="7" s="1"/>
  <c r="X23" i="7"/>
  <c r="AA23" i="7" s="1"/>
  <c r="X22" i="7"/>
  <c r="AA22" i="7" s="1"/>
  <c r="X21" i="7"/>
  <c r="AA21" i="7" s="1"/>
  <c r="X20" i="7"/>
  <c r="AA20" i="7" s="1"/>
  <c r="X19" i="7"/>
  <c r="AA19" i="7" s="1"/>
  <c r="X18" i="7"/>
  <c r="AA18" i="7" s="1"/>
  <c r="X17" i="7"/>
  <c r="AA17" i="7" s="1"/>
  <c r="X16" i="7"/>
  <c r="AA16" i="7" s="1"/>
  <c r="X15" i="7"/>
  <c r="AA15" i="7" s="1"/>
  <c r="X14" i="7"/>
  <c r="AA14" i="7" s="1"/>
  <c r="X13" i="7"/>
  <c r="AA13" i="7" s="1"/>
  <c r="X12" i="7"/>
  <c r="AA12" i="7" s="1"/>
  <c r="X11" i="7"/>
  <c r="AA11" i="7" s="1"/>
  <c r="X10" i="7"/>
  <c r="AA10" i="7" s="1"/>
  <c r="X9" i="7"/>
  <c r="AA9" i="7" s="1"/>
  <c r="X8" i="7"/>
  <c r="AA8" i="7" s="1"/>
  <c r="X7" i="7"/>
  <c r="AA7" i="7" s="1"/>
  <c r="X6" i="7"/>
  <c r="AA6" i="7" s="1"/>
  <c r="X195" i="6"/>
  <c r="X194" i="6"/>
  <c r="X193" i="6"/>
  <c r="X192" i="6"/>
  <c r="X191" i="6"/>
  <c r="X190" i="6"/>
  <c r="X189" i="6"/>
  <c r="X188" i="6"/>
  <c r="X187" i="6"/>
  <c r="X186" i="6"/>
  <c r="X185" i="6"/>
  <c r="X184" i="6"/>
  <c r="X183" i="6"/>
  <c r="X182" i="6"/>
  <c r="X181" i="6"/>
  <c r="X180" i="6"/>
  <c r="X179" i="6"/>
  <c r="X178" i="6"/>
  <c r="X177" i="6"/>
  <c r="X176" i="6"/>
  <c r="X175" i="6"/>
  <c r="X174" i="6"/>
  <c r="X173" i="6"/>
  <c r="X172" i="6"/>
  <c r="X171" i="6"/>
  <c r="X170" i="6"/>
  <c r="X169" i="6"/>
  <c r="X168" i="6"/>
  <c r="X167" i="6"/>
  <c r="X166" i="6"/>
  <c r="X165" i="6"/>
  <c r="X164" i="6"/>
  <c r="X163" i="6"/>
  <c r="X162" i="6"/>
  <c r="X161" i="6"/>
  <c r="T160" i="6"/>
  <c r="X160" i="6" s="1"/>
  <c r="X159" i="6"/>
  <c r="X158" i="6"/>
  <c r="X157" i="6"/>
  <c r="X156" i="6"/>
  <c r="X155" i="6"/>
  <c r="X154" i="6"/>
  <c r="X153" i="6"/>
  <c r="X152" i="6"/>
  <c r="X151" i="6"/>
  <c r="X150" i="6"/>
  <c r="X149" i="6"/>
  <c r="X148" i="6"/>
  <c r="X147" i="6"/>
  <c r="X146" i="6"/>
  <c r="X145" i="6"/>
  <c r="X144" i="6"/>
  <c r="X143" i="6"/>
  <c r="X142" i="6"/>
  <c r="X141" i="6"/>
  <c r="X140" i="6"/>
  <c r="X139" i="6"/>
  <c r="X138" i="6"/>
  <c r="X137" i="6"/>
  <c r="X136" i="6"/>
  <c r="X135" i="6"/>
  <c r="X134" i="6"/>
  <c r="X133" i="6"/>
  <c r="X132" i="6"/>
  <c r="X131" i="6"/>
  <c r="X130" i="6"/>
  <c r="X129" i="6"/>
  <c r="X128" i="6"/>
  <c r="X127" i="6"/>
  <c r="X126" i="6"/>
  <c r="X125" i="6"/>
  <c r="X124" i="6"/>
  <c r="X123" i="6"/>
  <c r="X122" i="6"/>
  <c r="X121" i="6"/>
  <c r="X120" i="6"/>
  <c r="X119" i="6"/>
  <c r="X118" i="6"/>
  <c r="X117" i="6"/>
  <c r="X116" i="6"/>
  <c r="X115" i="6"/>
  <c r="X114" i="6"/>
  <c r="X113" i="6"/>
  <c r="X112" i="6"/>
  <c r="X111" i="6"/>
  <c r="X110" i="6"/>
  <c r="X109" i="6"/>
  <c r="X108" i="6"/>
  <c r="X107" i="6"/>
  <c r="X106" i="6"/>
  <c r="X105" i="6"/>
  <c r="X104" i="6"/>
  <c r="X103" i="6"/>
  <c r="X102" i="6"/>
  <c r="X101" i="6"/>
  <c r="X100" i="6"/>
  <c r="X99" i="6"/>
  <c r="X98" i="6"/>
  <c r="X97" i="6"/>
  <c r="X96" i="6"/>
  <c r="X95" i="6"/>
  <c r="X94" i="6"/>
  <c r="X93" i="6"/>
  <c r="X92" i="6"/>
  <c r="X91" i="6"/>
  <c r="X90" i="6"/>
  <c r="X89" i="6"/>
  <c r="X88" i="6"/>
  <c r="X87" i="6"/>
  <c r="X86" i="6"/>
  <c r="X85" i="6"/>
  <c r="X84" i="6"/>
  <c r="X83" i="6"/>
  <c r="X82" i="6"/>
  <c r="X81" i="6"/>
  <c r="X80" i="6"/>
  <c r="X79" i="6"/>
  <c r="X78" i="6"/>
  <c r="X77" i="6"/>
  <c r="X76" i="6"/>
  <c r="X75" i="6"/>
  <c r="X74" i="6"/>
  <c r="X73" i="6"/>
  <c r="X72" i="6"/>
  <c r="X71" i="6"/>
  <c r="X70" i="6"/>
  <c r="X69" i="6"/>
  <c r="X68" i="6"/>
  <c r="X67" i="6"/>
  <c r="X66" i="6"/>
  <c r="X65" i="6"/>
  <c r="X64" i="6"/>
  <c r="X63" i="6"/>
  <c r="X62" i="6"/>
  <c r="X61" i="6"/>
  <c r="X60" i="6"/>
  <c r="X59" i="6"/>
  <c r="X58" i="6"/>
  <c r="X57" i="6"/>
  <c r="X56" i="6"/>
  <c r="X55" i="6"/>
  <c r="X54" i="6"/>
  <c r="X53" i="6"/>
  <c r="X52" i="6"/>
  <c r="X51" i="6"/>
  <c r="X50" i="6"/>
  <c r="X49" i="6"/>
  <c r="X48" i="6"/>
  <c r="X47" i="6"/>
  <c r="X46" i="6"/>
  <c r="X45" i="6"/>
  <c r="X44" i="6"/>
  <c r="X43" i="6"/>
  <c r="X42" i="6"/>
  <c r="X41" i="6"/>
  <c r="X40" i="6"/>
  <c r="X39" i="6"/>
  <c r="X38" i="6"/>
  <c r="X37" i="6"/>
  <c r="X36" i="6"/>
  <c r="X35" i="6"/>
  <c r="X34" i="6"/>
  <c r="X33" i="6"/>
  <c r="X32" i="6"/>
  <c r="X31" i="6"/>
  <c r="X30" i="6"/>
  <c r="X29" i="6"/>
  <c r="X28" i="6"/>
  <c r="X27" i="6"/>
  <c r="X26" i="6"/>
  <c r="X25" i="6"/>
  <c r="X24" i="6"/>
  <c r="X23" i="6"/>
  <c r="X22" i="6"/>
  <c r="X21" i="6"/>
  <c r="X20" i="6"/>
  <c r="X19" i="6"/>
  <c r="X18" i="6"/>
  <c r="X17" i="6"/>
  <c r="X16" i="6"/>
  <c r="X15" i="6"/>
  <c r="X14" i="6"/>
  <c r="X13" i="6"/>
  <c r="X12" i="6"/>
  <c r="X11" i="6"/>
  <c r="X10" i="6"/>
  <c r="X9" i="6"/>
  <c r="X8" i="6"/>
  <c r="X7" i="6"/>
  <c r="T206" i="5"/>
  <c r="T205" i="5"/>
  <c r="AO202" i="5"/>
  <c r="X194" i="5"/>
  <c r="X193" i="5"/>
  <c r="AA193" i="5" s="1"/>
  <c r="X192" i="5"/>
  <c r="X191" i="5"/>
  <c r="X190" i="5"/>
  <c r="X189" i="5"/>
  <c r="X188" i="5"/>
  <c r="X187" i="5"/>
  <c r="AA187" i="5" s="1"/>
  <c r="X186" i="5"/>
  <c r="AA186" i="5" s="1"/>
  <c r="X185" i="5"/>
  <c r="AA185" i="5" s="1"/>
  <c r="X184" i="5"/>
  <c r="X183" i="5"/>
  <c r="AA183" i="5" s="1"/>
  <c r="X182" i="5"/>
  <c r="AA182" i="5" s="1"/>
  <c r="X181" i="5"/>
  <c r="AA181" i="5" s="1"/>
  <c r="X180" i="5"/>
  <c r="AA180" i="5" s="1"/>
  <c r="X179" i="5"/>
  <c r="AA179" i="5" s="1"/>
  <c r="X178" i="5"/>
  <c r="AA178" i="5" s="1"/>
  <c r="X177" i="5"/>
  <c r="X176" i="5"/>
  <c r="AA176" i="5" s="1"/>
  <c r="X175" i="5"/>
  <c r="AA175" i="5" s="1"/>
  <c r="X174" i="5"/>
  <c r="AA174" i="5" s="1"/>
  <c r="X173" i="5"/>
  <c r="AA173" i="5" s="1"/>
  <c r="X172" i="5"/>
  <c r="AA172" i="5" s="1"/>
  <c r="X171" i="5"/>
  <c r="AA171" i="5" s="1"/>
  <c r="X170" i="5"/>
  <c r="X169" i="5"/>
  <c r="AA169" i="5" s="1"/>
  <c r="X168" i="5"/>
  <c r="AA168" i="5" s="1"/>
  <c r="X167" i="5"/>
  <c r="X166" i="5"/>
  <c r="AA166" i="5" s="1"/>
  <c r="X165" i="5"/>
  <c r="AA165" i="5" s="1"/>
  <c r="X164" i="5"/>
  <c r="AA164" i="5" s="1"/>
  <c r="X163" i="5"/>
  <c r="AA163" i="5" s="1"/>
  <c r="X162" i="5"/>
  <c r="X161" i="5"/>
  <c r="T160" i="5"/>
  <c r="X160" i="5" s="1"/>
  <c r="X159" i="5"/>
  <c r="X158" i="5"/>
  <c r="X157" i="5"/>
  <c r="X156" i="5"/>
  <c r="AA156" i="5" s="1"/>
  <c r="X155" i="5"/>
  <c r="AA155" i="5" s="1"/>
  <c r="X154" i="5"/>
  <c r="X153" i="5"/>
  <c r="X152" i="5"/>
  <c r="X151" i="5"/>
  <c r="AA151" i="5" s="1"/>
  <c r="X150" i="5"/>
  <c r="AA150" i="5" s="1"/>
  <c r="X149" i="5"/>
  <c r="X148" i="5"/>
  <c r="AA148" i="5" s="1"/>
  <c r="X147" i="5"/>
  <c r="AA147" i="5" s="1"/>
  <c r="X146" i="5"/>
  <c r="X145" i="5"/>
  <c r="X144" i="5"/>
  <c r="X143" i="5"/>
  <c r="AA143" i="5" s="1"/>
  <c r="X142" i="5"/>
  <c r="X141" i="5"/>
  <c r="AA141" i="5" s="1"/>
  <c r="X140" i="5"/>
  <c r="X139" i="5"/>
  <c r="X138" i="5"/>
  <c r="X137" i="5"/>
  <c r="X136" i="5"/>
  <c r="X135" i="5"/>
  <c r="AA135" i="5" s="1"/>
  <c r="X134" i="5"/>
  <c r="X133" i="5"/>
  <c r="X132" i="5"/>
  <c r="X131" i="5"/>
  <c r="AA131" i="5" s="1"/>
  <c r="X130" i="5"/>
  <c r="AA130" i="5" s="1"/>
  <c r="X129" i="5"/>
  <c r="X128" i="5"/>
  <c r="AA128" i="5" s="1"/>
  <c r="X127" i="5"/>
  <c r="AA127" i="5" s="1"/>
  <c r="X126" i="5"/>
  <c r="X125" i="5"/>
  <c r="AA125" i="5" s="1"/>
  <c r="X124" i="5"/>
  <c r="AA124" i="5" s="1"/>
  <c r="X123" i="5"/>
  <c r="AA123" i="5" s="1"/>
  <c r="X122" i="5"/>
  <c r="AA122" i="5" s="1"/>
  <c r="X121" i="5"/>
  <c r="AA121" i="5" s="1"/>
  <c r="X120" i="5"/>
  <c r="AA120" i="5" s="1"/>
  <c r="X119" i="5"/>
  <c r="AA119" i="5" s="1"/>
  <c r="X118" i="5"/>
  <c r="X117" i="5"/>
  <c r="X116" i="5"/>
  <c r="X115" i="5"/>
  <c r="X114" i="5"/>
  <c r="X113" i="5"/>
  <c r="X112" i="5"/>
  <c r="AA112" i="5" s="1"/>
  <c r="X111" i="5"/>
  <c r="X110" i="5"/>
  <c r="X109" i="5"/>
  <c r="X108" i="5"/>
  <c r="AA108" i="5" s="1"/>
  <c r="X107" i="5"/>
  <c r="X106" i="5"/>
  <c r="X105" i="5"/>
  <c r="AA105" i="5" s="1"/>
  <c r="X104" i="5"/>
  <c r="AA104" i="5" s="1"/>
  <c r="X103" i="5"/>
  <c r="X102" i="5"/>
  <c r="X101" i="5"/>
  <c r="AA101" i="5" s="1"/>
  <c r="X100" i="5"/>
  <c r="X99" i="5"/>
  <c r="AA99" i="5" s="1"/>
  <c r="X98" i="5"/>
  <c r="AA98" i="5" s="1"/>
  <c r="X97" i="5"/>
  <c r="X96" i="5"/>
  <c r="AA96" i="5" s="1"/>
  <c r="X95" i="5"/>
  <c r="X94" i="5"/>
  <c r="X93" i="5"/>
  <c r="X92" i="5"/>
  <c r="AA92" i="5" s="1"/>
  <c r="X91" i="5"/>
  <c r="X90" i="5"/>
  <c r="X89" i="5"/>
  <c r="X88" i="5"/>
  <c r="X87" i="5"/>
  <c r="AA87" i="5" s="1"/>
  <c r="X86" i="5"/>
  <c r="X85" i="5"/>
  <c r="X84" i="5"/>
  <c r="X83" i="5"/>
  <c r="X82" i="5"/>
  <c r="AA82" i="5" s="1"/>
  <c r="X81" i="5"/>
  <c r="X80" i="5"/>
  <c r="X79" i="5"/>
  <c r="AA79" i="5" s="1"/>
  <c r="X78" i="5"/>
  <c r="X77" i="5"/>
  <c r="X76" i="5"/>
  <c r="X75" i="5"/>
  <c r="AA75" i="5" s="1"/>
  <c r="X74" i="5"/>
  <c r="X73" i="5"/>
  <c r="X72" i="5"/>
  <c r="X71" i="5"/>
  <c r="AA71" i="5" s="1"/>
  <c r="X70" i="5"/>
  <c r="X69" i="5"/>
  <c r="X68" i="5"/>
  <c r="X67" i="5"/>
  <c r="X66" i="5"/>
  <c r="X65" i="5"/>
  <c r="X64" i="5"/>
  <c r="X63" i="5"/>
  <c r="X62" i="5"/>
  <c r="X61" i="5"/>
  <c r="X60" i="5"/>
  <c r="X59" i="5"/>
  <c r="AA59" i="5" s="1"/>
  <c r="X58" i="5"/>
  <c r="AA58" i="5" s="1"/>
  <c r="X57" i="5"/>
  <c r="X56" i="5"/>
  <c r="X55" i="5"/>
  <c r="X54" i="5"/>
  <c r="X53" i="5"/>
  <c r="X52" i="5"/>
  <c r="AA52" i="5" s="1"/>
  <c r="X51" i="5"/>
  <c r="AA51" i="5" s="1"/>
  <c r="X50" i="5"/>
  <c r="X49" i="5"/>
  <c r="AA49" i="5" s="1"/>
  <c r="X48" i="5"/>
  <c r="X47" i="5"/>
  <c r="X46" i="5"/>
  <c r="X45" i="5"/>
  <c r="X44" i="5"/>
  <c r="AA44" i="5" s="1"/>
  <c r="X43" i="5"/>
  <c r="X42" i="5"/>
  <c r="X41" i="5"/>
  <c r="X40" i="5"/>
  <c r="AA40" i="5" s="1"/>
  <c r="X39" i="5"/>
  <c r="AA39" i="5" s="1"/>
  <c r="X38" i="5"/>
  <c r="AA38" i="5" s="1"/>
  <c r="X37" i="5"/>
  <c r="AA37" i="5" s="1"/>
  <c r="X36" i="5"/>
  <c r="AA36" i="5" s="1"/>
  <c r="X35" i="5"/>
  <c r="AA35" i="5" s="1"/>
  <c r="X34" i="5"/>
  <c r="X33" i="5"/>
  <c r="AA33" i="5" s="1"/>
  <c r="W33" i="5"/>
  <c r="X32" i="5"/>
  <c r="AA32" i="5" s="1"/>
  <c r="W32" i="5"/>
  <c r="X31" i="5"/>
  <c r="AA31" i="5" s="1"/>
  <c r="W31" i="5"/>
  <c r="X30" i="5"/>
  <c r="AA30" i="5" s="1"/>
  <c r="W30" i="5"/>
  <c r="X29" i="5"/>
  <c r="AA29" i="5" s="1"/>
  <c r="W29" i="5"/>
  <c r="X28" i="5"/>
  <c r="AA28" i="5" s="1"/>
  <c r="W28" i="5"/>
  <c r="X27" i="5"/>
  <c r="AA27" i="5" s="1"/>
  <c r="W27" i="5"/>
  <c r="X26" i="5"/>
  <c r="AA26" i="5" s="1"/>
  <c r="W26" i="5"/>
  <c r="X25" i="5"/>
  <c r="AA25" i="5" s="1"/>
  <c r="W25" i="5"/>
  <c r="X24" i="5"/>
  <c r="AA24" i="5" s="1"/>
  <c r="W24" i="5"/>
  <c r="X23" i="5"/>
  <c r="AA23" i="5" s="1"/>
  <c r="W23" i="5"/>
  <c r="X22" i="5"/>
  <c r="AA22" i="5" s="1"/>
  <c r="W22" i="5"/>
  <c r="X21" i="5"/>
  <c r="AA21" i="5" s="1"/>
  <c r="W21" i="5"/>
  <c r="X20" i="5"/>
  <c r="AA20" i="5" s="1"/>
  <c r="W20" i="5"/>
  <c r="X19" i="5"/>
  <c r="AA19" i="5" s="1"/>
  <c r="W19" i="5"/>
  <c r="X18" i="5"/>
  <c r="AA18" i="5" s="1"/>
  <c r="W18" i="5"/>
  <c r="X17" i="5"/>
  <c r="AA17" i="5" s="1"/>
  <c r="W17" i="5"/>
  <c r="X16" i="5"/>
  <c r="AA16" i="5" s="1"/>
  <c r="W16" i="5"/>
  <c r="X15" i="5"/>
  <c r="AA15" i="5" s="1"/>
  <c r="W15" i="5"/>
  <c r="X14" i="5"/>
  <c r="AA14" i="5" s="1"/>
  <c r="W14" i="5"/>
  <c r="X13" i="5"/>
  <c r="AA13" i="5" s="1"/>
  <c r="W13" i="5"/>
  <c r="X12" i="5"/>
  <c r="AA12" i="5" s="1"/>
  <c r="W12" i="5"/>
  <c r="X11" i="5"/>
  <c r="AA11" i="5" s="1"/>
  <c r="W11" i="5"/>
  <c r="X10" i="5"/>
  <c r="AA10" i="5" s="1"/>
  <c r="W10" i="5"/>
  <c r="X9" i="5"/>
  <c r="AA9" i="5" s="1"/>
  <c r="W9" i="5"/>
  <c r="X8" i="5"/>
  <c r="AA8" i="5" s="1"/>
  <c r="W8" i="5"/>
  <c r="X7" i="5"/>
  <c r="W7" i="5"/>
  <c r="V3" i="5"/>
  <c r="S3" i="5"/>
  <c r="Q3" i="5"/>
  <c r="N3" i="5"/>
  <c r="I3" i="5"/>
  <c r="E29" i="1" l="1"/>
  <c r="E23" i="15"/>
  <c r="E25" i="15"/>
  <c r="H25" i="15" s="1"/>
  <c r="E24" i="15"/>
  <c r="E20" i="15"/>
  <c r="S45" i="15"/>
  <c r="E19" i="15"/>
  <c r="G28" i="1"/>
  <c r="G19" i="1"/>
  <c r="G20" i="1"/>
  <c r="G18" i="1"/>
  <c r="F29" i="1"/>
  <c r="G29" i="1"/>
  <c r="F23" i="1"/>
  <c r="F39" i="1" s="1"/>
  <c r="T23" i="1" s="1"/>
  <c r="T39" i="1" s="1"/>
  <c r="G25" i="1"/>
  <c r="G24" i="1"/>
  <c r="G40" i="1" s="1"/>
  <c r="U24" i="1" s="1"/>
  <c r="U40" i="1" s="1"/>
  <c r="G23" i="1"/>
  <c r="G39" i="1" s="1"/>
  <c r="U23" i="1" s="1"/>
  <c r="U39" i="1" s="1"/>
  <c r="F25" i="1"/>
  <c r="F24" i="1"/>
  <c r="F40" i="1" s="1"/>
  <c r="T24" i="1" s="1"/>
  <c r="T40" i="1" s="1"/>
  <c r="G22" i="1"/>
  <c r="F28" i="1"/>
  <c r="F20" i="1"/>
  <c r="E19" i="1"/>
  <c r="F18" i="1"/>
  <c r="E20" i="1"/>
  <c r="E18" i="1"/>
  <c r="E28" i="1"/>
  <c r="E25" i="1"/>
  <c r="E41" i="1" s="1"/>
  <c r="F22" i="1"/>
  <c r="E24" i="1"/>
  <c r="F19" i="1"/>
  <c r="X206" i="5"/>
  <c r="X210" i="5" s="1"/>
  <c r="Z205" i="6"/>
  <c r="Z206" i="6"/>
  <c r="H48" i="1"/>
  <c r="O48" i="1" s="1"/>
  <c r="X196" i="5"/>
  <c r="AA7" i="5"/>
  <c r="X197" i="7"/>
  <c r="X208" i="7"/>
  <c r="X210" i="7" s="1"/>
  <c r="X211" i="7" s="1"/>
  <c r="X209" i="7"/>
  <c r="X206" i="6"/>
  <c r="X198" i="6"/>
  <c r="X205" i="6"/>
  <c r="X205" i="5"/>
  <c r="X207" i="5" s="1"/>
  <c r="X208" i="5" s="1"/>
  <c r="AA160" i="5"/>
  <c r="T3" i="5"/>
  <c r="X207" i="6" l="1"/>
  <c r="X208" i="6" s="1"/>
  <c r="S26" i="15"/>
  <c r="V26" i="15" s="1"/>
  <c r="V29" i="15"/>
  <c r="L34" i="1"/>
  <c r="E34" i="21" s="1"/>
  <c r="E18" i="15"/>
  <c r="S24" i="15"/>
  <c r="V24" i="15" s="1"/>
  <c r="H24" i="15"/>
  <c r="E40" i="15"/>
  <c r="S20" i="15"/>
  <c r="V20" i="15" s="1"/>
  <c r="E36" i="15"/>
  <c r="H20" i="15"/>
  <c r="E22" i="15"/>
  <c r="S25" i="15"/>
  <c r="V25" i="15" s="1"/>
  <c r="E41" i="15"/>
  <c r="S19" i="15"/>
  <c r="V19" i="15" s="1"/>
  <c r="E35" i="15"/>
  <c r="H19" i="15"/>
  <c r="L37" i="1"/>
  <c r="E37" i="21" s="1"/>
  <c r="E21" i="15"/>
  <c r="S23" i="15"/>
  <c r="V23" i="15" s="1"/>
  <c r="H23" i="15"/>
  <c r="E39" i="15"/>
  <c r="S28" i="15"/>
  <c r="V28" i="15" s="1"/>
  <c r="E44" i="15"/>
  <c r="O29" i="1"/>
  <c r="O27" i="1"/>
  <c r="E34" i="1"/>
  <c r="S18" i="1" s="1"/>
  <c r="O23" i="1"/>
  <c r="L39" i="1"/>
  <c r="E39" i="21" s="1"/>
  <c r="O24" i="1"/>
  <c r="L40" i="1"/>
  <c r="E40" i="21" s="1"/>
  <c r="Z207" i="6"/>
  <c r="H29" i="1"/>
  <c r="H25" i="1"/>
  <c r="H28" i="1"/>
  <c r="H18" i="1"/>
  <c r="H23" i="1"/>
  <c r="E39" i="1"/>
  <c r="S23" i="1" s="1"/>
  <c r="H20" i="1"/>
  <c r="H27" i="1"/>
  <c r="H24" i="1"/>
  <c r="E40" i="1"/>
  <c r="S24" i="1" s="1"/>
  <c r="H19" i="1"/>
  <c r="H22" i="1"/>
  <c r="V48" i="1"/>
  <c r="O19" i="1"/>
  <c r="O21" i="1"/>
  <c r="E37" i="1"/>
  <c r="S21" i="1" s="1"/>
  <c r="F37" i="1"/>
  <c r="T21" i="1" s="1"/>
  <c r="G37" i="1"/>
  <c r="U21" i="1" s="1"/>
  <c r="M37" i="1"/>
  <c r="T37" i="1" s="1"/>
  <c r="N37" i="1"/>
  <c r="U37" i="1" s="1"/>
  <c r="L36" i="1"/>
  <c r="E36" i="21" s="1"/>
  <c r="H14" i="1"/>
  <c r="E45" i="1" s="1"/>
  <c r="S29" i="1" s="1"/>
  <c r="N44" i="1"/>
  <c r="M44" i="1"/>
  <c r="G44" i="1"/>
  <c r="U28" i="1" s="1"/>
  <c r="F44" i="1"/>
  <c r="T28" i="1" s="1"/>
  <c r="E44" i="1"/>
  <c r="S28" i="1" s="1"/>
  <c r="N41" i="1"/>
  <c r="M41" i="1"/>
  <c r="L41" i="1"/>
  <c r="E41" i="21" s="1"/>
  <c r="G41" i="1"/>
  <c r="F41" i="1"/>
  <c r="N38" i="1"/>
  <c r="M38" i="1"/>
  <c r="G38" i="1"/>
  <c r="U22" i="1" s="1"/>
  <c r="U38" i="1" s="1"/>
  <c r="F38" i="1"/>
  <c r="T22" i="1" s="1"/>
  <c r="E38" i="1"/>
  <c r="N36" i="1"/>
  <c r="M36" i="1"/>
  <c r="G36" i="1"/>
  <c r="U20" i="1" s="1"/>
  <c r="F36" i="1"/>
  <c r="T20" i="1" s="1"/>
  <c r="E36" i="1"/>
  <c r="S20" i="1" s="1"/>
  <c r="N35" i="1"/>
  <c r="M35" i="1"/>
  <c r="L35" i="1"/>
  <c r="E35" i="21" s="1"/>
  <c r="G35" i="1"/>
  <c r="U19" i="1" s="1"/>
  <c r="F35" i="1"/>
  <c r="T19" i="1" s="1"/>
  <c r="E35" i="1"/>
  <c r="S19" i="1" s="1"/>
  <c r="N34" i="1"/>
  <c r="M34" i="1"/>
  <c r="G34" i="1"/>
  <c r="F34" i="1"/>
  <c r="T18" i="1" s="1"/>
  <c r="O28" i="1"/>
  <c r="O25" i="1"/>
  <c r="O22" i="1"/>
  <c r="O20" i="1"/>
  <c r="O18" i="1"/>
  <c r="S41" i="21" l="1"/>
  <c r="V41" i="21" s="1"/>
  <c r="H41" i="21"/>
  <c r="H40" i="21"/>
  <c r="S40" i="21"/>
  <c r="V40" i="21" s="1"/>
  <c r="H36" i="21"/>
  <c r="S36" i="21"/>
  <c r="V36" i="21" s="1"/>
  <c r="S39" i="21"/>
  <c r="V39" i="21" s="1"/>
  <c r="H39" i="21"/>
  <c r="H37" i="21"/>
  <c r="S37" i="21"/>
  <c r="V37" i="21" s="1"/>
  <c r="H35" i="21"/>
  <c r="S35" i="21"/>
  <c r="V35" i="21" s="1"/>
  <c r="H34" i="21"/>
  <c r="S34" i="21"/>
  <c r="E46" i="21"/>
  <c r="T36" i="1"/>
  <c r="T44" i="1"/>
  <c r="U36" i="1"/>
  <c r="U44" i="1"/>
  <c r="T38" i="1"/>
  <c r="S25" i="1"/>
  <c r="S41" i="1" s="1"/>
  <c r="T35" i="1"/>
  <c r="T25" i="1"/>
  <c r="T41" i="1" s="1"/>
  <c r="U35" i="1"/>
  <c r="U25" i="1"/>
  <c r="U41" i="1" s="1"/>
  <c r="S35" i="1"/>
  <c r="S22" i="1"/>
  <c r="H38" i="1"/>
  <c r="S37" i="1"/>
  <c r="O37" i="1"/>
  <c r="S34" i="1"/>
  <c r="S36" i="1"/>
  <c r="S21" i="15"/>
  <c r="V21" i="15" s="1"/>
  <c r="E37" i="15"/>
  <c r="H21" i="15"/>
  <c r="H44" i="15"/>
  <c r="S44" i="15"/>
  <c r="H45" i="15"/>
  <c r="S35" i="15"/>
  <c r="V35" i="15" s="1"/>
  <c r="H35" i="15"/>
  <c r="H36" i="15"/>
  <c r="S36" i="15"/>
  <c r="V36" i="15" s="1"/>
  <c r="S18" i="15"/>
  <c r="V18" i="15" s="1"/>
  <c r="H18" i="15"/>
  <c r="E34" i="15"/>
  <c r="S34" i="15" s="1"/>
  <c r="S40" i="15"/>
  <c r="V40" i="15" s="1"/>
  <c r="H40" i="15"/>
  <c r="S44" i="1"/>
  <c r="S41" i="15"/>
  <c r="V41" i="15" s="1"/>
  <c r="H41" i="15"/>
  <c r="S22" i="15"/>
  <c r="V22" i="15" s="1"/>
  <c r="H22" i="15"/>
  <c r="E38" i="15"/>
  <c r="T34" i="1"/>
  <c r="S39" i="15"/>
  <c r="V39" i="15" s="1"/>
  <c r="H39" i="15"/>
  <c r="H42" i="15"/>
  <c r="V42" i="15"/>
  <c r="O42" i="1"/>
  <c r="O40" i="1"/>
  <c r="S40" i="1"/>
  <c r="O39" i="1"/>
  <c r="S39" i="1"/>
  <c r="H42" i="1"/>
  <c r="F45" i="1"/>
  <c r="T29" i="1" s="1"/>
  <c r="G45" i="1"/>
  <c r="U29" i="1" s="1"/>
  <c r="H40" i="1"/>
  <c r="V24" i="1"/>
  <c r="V23" i="1"/>
  <c r="H39" i="1"/>
  <c r="U18" i="1"/>
  <c r="H37" i="1"/>
  <c r="H44" i="1"/>
  <c r="O36" i="1"/>
  <c r="H41" i="1"/>
  <c r="H36" i="1"/>
  <c r="H35" i="1"/>
  <c r="O44" i="1"/>
  <c r="O41" i="1"/>
  <c r="O14" i="1"/>
  <c r="S45" i="1" s="1"/>
  <c r="O38" i="1"/>
  <c r="O35" i="1"/>
  <c r="E46" i="1"/>
  <c r="H34" i="1"/>
  <c r="O34" i="1"/>
  <c r="H46" i="21" l="1"/>
  <c r="H49" i="21" s="1"/>
  <c r="V34" i="21"/>
  <c r="V46" i="21" s="1"/>
  <c r="V49" i="21" s="1"/>
  <c r="S46" i="21"/>
  <c r="S30" i="1"/>
  <c r="V44" i="15"/>
  <c r="V45" i="15"/>
  <c r="S38" i="1"/>
  <c r="V38" i="1" s="1"/>
  <c r="H34" i="15"/>
  <c r="E46" i="15"/>
  <c r="G46" i="1"/>
  <c r="H37" i="15"/>
  <c r="S37" i="15"/>
  <c r="V37" i="15" s="1"/>
  <c r="S38" i="15"/>
  <c r="V38" i="15" s="1"/>
  <c r="H38" i="15"/>
  <c r="F46" i="1"/>
  <c r="T30" i="1"/>
  <c r="U34" i="1"/>
  <c r="U30" i="1"/>
  <c r="N45" i="1"/>
  <c r="N46" i="1" s="1"/>
  <c r="M45" i="1"/>
  <c r="M46" i="1" s="1"/>
  <c r="V40" i="1"/>
  <c r="H45" i="1"/>
  <c r="H46" i="1" s="1"/>
  <c r="H49" i="1" s="1"/>
  <c r="V29" i="1"/>
  <c r="V39" i="1"/>
  <c r="V20" i="1"/>
  <c r="V22" i="1"/>
  <c r="V44" i="1"/>
  <c r="V18" i="1"/>
  <c r="V19" i="1"/>
  <c r="V21" i="1"/>
  <c r="V36" i="1"/>
  <c r="V37" i="1"/>
  <c r="V28" i="1"/>
  <c r="V25" i="1"/>
  <c r="V41" i="1"/>
  <c r="V35" i="1"/>
  <c r="S46" i="15" l="1"/>
  <c r="T45" i="1"/>
  <c r="T46" i="1" s="1"/>
  <c r="U45" i="1"/>
  <c r="U46" i="1" s="1"/>
  <c r="H46" i="15"/>
  <c r="H49" i="15" s="1"/>
  <c r="V49" i="15" s="1"/>
  <c r="V34" i="15"/>
  <c r="V46" i="15" s="1"/>
  <c r="V30" i="1"/>
  <c r="O45" i="1"/>
  <c r="O46" i="1" s="1"/>
  <c r="O49" i="1" s="1"/>
  <c r="L46" i="1"/>
  <c r="S46" i="1"/>
  <c r="V34" i="1"/>
  <c r="V45" i="1" l="1"/>
  <c r="V46" i="1" s="1"/>
  <c r="V4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Harmanjot Kaur</author>
  </authors>
  <commentList>
    <comment ref="D26" authorId="0" shapeId="0" xr:uid="{EAC83CAC-7929-4FE7-B0FD-CC38AE8D1972}">
      <text>
        <r>
          <rPr>
            <b/>
            <sz val="9"/>
            <color indexed="81"/>
            <rFont val="Tahoma"/>
            <family val="2"/>
          </rPr>
          <t>Harmanjot Kaur:</t>
        </r>
        <r>
          <rPr>
            <sz val="9"/>
            <color indexed="81"/>
            <rFont val="Tahoma"/>
            <family val="2"/>
          </rPr>
          <t xml:space="preserve">
per week rate</t>
        </r>
      </text>
    </comment>
    <comment ref="K26" authorId="0" shapeId="0" xr:uid="{4B7D7E53-7046-4A0A-9081-93D875768F4F}">
      <text>
        <r>
          <rPr>
            <b/>
            <sz val="9"/>
            <color indexed="81"/>
            <rFont val="Tahoma"/>
            <family val="2"/>
          </rPr>
          <t>Harmanjot Kaur:</t>
        </r>
        <r>
          <rPr>
            <sz val="9"/>
            <color indexed="81"/>
            <rFont val="Tahoma"/>
            <family val="2"/>
          </rPr>
          <t xml:space="preserve">
per week rate</t>
        </r>
      </text>
    </comment>
    <comment ref="R26" authorId="0" shapeId="0" xr:uid="{68924377-77EF-41E2-B4F4-4645B0464379}">
      <text>
        <r>
          <rPr>
            <b/>
            <sz val="9"/>
            <color indexed="81"/>
            <rFont val="Tahoma"/>
            <family val="2"/>
          </rPr>
          <t>Harmanjot Kaur:</t>
        </r>
        <r>
          <rPr>
            <sz val="9"/>
            <color indexed="81"/>
            <rFont val="Tahoma"/>
            <family val="2"/>
          </rPr>
          <t xml:space="preserve">
per week rate</t>
        </r>
      </text>
    </comment>
    <comment ref="D27" authorId="0" shapeId="0" xr:uid="{5B51BA9F-F3B9-46DA-81AF-F1FAA167DD77}">
      <text>
        <r>
          <rPr>
            <b/>
            <sz val="9"/>
            <color indexed="81"/>
            <rFont val="Tahoma"/>
            <family val="2"/>
          </rPr>
          <t>Harmanjot Kaur:</t>
        </r>
        <r>
          <rPr>
            <sz val="9"/>
            <color indexed="81"/>
            <rFont val="Tahoma"/>
            <family val="2"/>
          </rPr>
          <t xml:space="preserve">
Per Week rate</t>
        </r>
      </text>
    </comment>
    <comment ref="K27" authorId="0" shapeId="0" xr:uid="{A906F972-5CB1-4A07-9BB7-3BDE851B188B}">
      <text>
        <r>
          <rPr>
            <b/>
            <sz val="9"/>
            <color indexed="81"/>
            <rFont val="Tahoma"/>
            <family val="2"/>
          </rPr>
          <t>Harmanjot Kaur:</t>
        </r>
        <r>
          <rPr>
            <sz val="9"/>
            <color indexed="81"/>
            <rFont val="Tahoma"/>
            <family val="2"/>
          </rPr>
          <t xml:space="preserve">
Per Week rate</t>
        </r>
      </text>
    </comment>
    <comment ref="R27" authorId="0" shapeId="0" xr:uid="{42B961F3-7F75-43DF-A33D-548BA842E47B}">
      <text>
        <r>
          <rPr>
            <b/>
            <sz val="9"/>
            <color indexed="81"/>
            <rFont val="Tahoma"/>
            <family val="2"/>
          </rPr>
          <t>Harmanjot Kaur:</t>
        </r>
        <r>
          <rPr>
            <sz val="9"/>
            <color indexed="81"/>
            <rFont val="Tahoma"/>
            <family val="2"/>
          </rPr>
          <t xml:space="preserve">
Per Week rate</t>
        </r>
      </text>
    </comment>
    <comment ref="D42" authorId="0" shapeId="0" xr:uid="{1726C7B6-FC74-45AC-8170-DDE76CBC82DA}">
      <text>
        <r>
          <rPr>
            <b/>
            <sz val="9"/>
            <color indexed="81"/>
            <rFont val="Tahoma"/>
            <family val="2"/>
          </rPr>
          <t>Harmanjot Kaur:</t>
        </r>
        <r>
          <rPr>
            <sz val="9"/>
            <color indexed="81"/>
            <rFont val="Tahoma"/>
            <family val="2"/>
          </rPr>
          <t xml:space="preserve">
per week rate</t>
        </r>
      </text>
    </comment>
    <comment ref="K42" authorId="0" shapeId="0" xr:uid="{81ACB9F9-2D87-48BD-9901-BA3EBB740B0E}">
      <text>
        <r>
          <rPr>
            <b/>
            <sz val="9"/>
            <color indexed="81"/>
            <rFont val="Tahoma"/>
            <family val="2"/>
          </rPr>
          <t>Harmanjot Kaur:</t>
        </r>
        <r>
          <rPr>
            <sz val="9"/>
            <color indexed="81"/>
            <rFont val="Tahoma"/>
            <family val="2"/>
          </rPr>
          <t xml:space="preserve">
per week rate</t>
        </r>
      </text>
    </comment>
    <comment ref="R42" authorId="0" shapeId="0" xr:uid="{E5224DC7-600D-40B6-9346-753B77DEC85A}">
      <text>
        <r>
          <rPr>
            <b/>
            <sz val="9"/>
            <color indexed="81"/>
            <rFont val="Tahoma"/>
            <family val="2"/>
          </rPr>
          <t>Harmanjot Kaur:</t>
        </r>
        <r>
          <rPr>
            <sz val="9"/>
            <color indexed="81"/>
            <rFont val="Tahoma"/>
            <family val="2"/>
          </rPr>
          <t xml:space="preserve">
per week rate</t>
        </r>
      </text>
    </comment>
    <comment ref="D43" authorId="0" shapeId="0" xr:uid="{C5B07ED3-284F-4151-A59C-171A7CD8C67C}">
      <text>
        <r>
          <rPr>
            <b/>
            <sz val="9"/>
            <color indexed="81"/>
            <rFont val="Tahoma"/>
            <family val="2"/>
          </rPr>
          <t>Harmanjot Kaur:</t>
        </r>
        <r>
          <rPr>
            <sz val="9"/>
            <color indexed="81"/>
            <rFont val="Tahoma"/>
            <family val="2"/>
          </rPr>
          <t xml:space="preserve">
Per Week rate</t>
        </r>
      </text>
    </comment>
    <comment ref="K43" authorId="0" shapeId="0" xr:uid="{9FF94B51-E0D2-4F7D-956A-5B5C4D9694AD}">
      <text>
        <r>
          <rPr>
            <b/>
            <sz val="9"/>
            <color indexed="81"/>
            <rFont val="Tahoma"/>
            <family val="2"/>
          </rPr>
          <t>Harmanjot Kaur:</t>
        </r>
        <r>
          <rPr>
            <sz val="9"/>
            <color indexed="81"/>
            <rFont val="Tahoma"/>
            <family val="2"/>
          </rPr>
          <t xml:space="preserve">
Per Week rate</t>
        </r>
      </text>
    </comment>
    <comment ref="R43" authorId="0" shapeId="0" xr:uid="{1B165D9A-7BB5-488D-A98A-AACF77E50218}">
      <text>
        <r>
          <rPr>
            <b/>
            <sz val="9"/>
            <color indexed="81"/>
            <rFont val="Tahoma"/>
            <family val="2"/>
          </rPr>
          <t>Harmanjot Kaur:</t>
        </r>
        <r>
          <rPr>
            <sz val="9"/>
            <color indexed="81"/>
            <rFont val="Tahoma"/>
            <family val="2"/>
          </rPr>
          <t xml:space="preserve">
Per Week rate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Harmanjot Kaur</author>
  </authors>
  <commentList>
    <comment ref="D26" authorId="0" shapeId="0" xr:uid="{BAA69496-9773-4C23-B529-64906070D9D9}">
      <text>
        <r>
          <rPr>
            <b/>
            <sz val="9"/>
            <color indexed="81"/>
            <rFont val="Tahoma"/>
            <family val="2"/>
          </rPr>
          <t>Harmanjot Kaur:</t>
        </r>
        <r>
          <rPr>
            <sz val="9"/>
            <color indexed="81"/>
            <rFont val="Tahoma"/>
            <family val="2"/>
          </rPr>
          <t xml:space="preserve">
Per week rates</t>
        </r>
      </text>
    </comment>
    <comment ref="K26" authorId="0" shapeId="0" xr:uid="{C6145228-06A5-4897-95A9-1E935AFEBB37}">
      <text>
        <r>
          <rPr>
            <b/>
            <sz val="9"/>
            <color indexed="81"/>
            <rFont val="Tahoma"/>
            <family val="2"/>
          </rPr>
          <t>Harmanjot Kaur:</t>
        </r>
        <r>
          <rPr>
            <sz val="9"/>
            <color indexed="81"/>
            <rFont val="Tahoma"/>
            <family val="2"/>
          </rPr>
          <t xml:space="preserve">
Per week rates</t>
        </r>
      </text>
    </comment>
    <comment ref="R26" authorId="0" shapeId="0" xr:uid="{DC4D008D-2AA0-48EF-8A09-D817E093D3DD}">
      <text>
        <r>
          <rPr>
            <b/>
            <sz val="9"/>
            <color indexed="81"/>
            <rFont val="Tahoma"/>
            <family val="2"/>
          </rPr>
          <t>Harmanjot Kaur:</t>
        </r>
        <r>
          <rPr>
            <sz val="9"/>
            <color indexed="81"/>
            <rFont val="Tahoma"/>
            <family val="2"/>
          </rPr>
          <t xml:space="preserve">
Per week rates</t>
        </r>
      </text>
    </comment>
    <comment ref="D27" authorId="0" shapeId="0" xr:uid="{48AD0400-0D61-4736-AB48-61118F7B83AD}">
      <text>
        <r>
          <rPr>
            <b/>
            <sz val="9"/>
            <color indexed="81"/>
            <rFont val="Tahoma"/>
            <family val="2"/>
          </rPr>
          <t>Harmanjot Kaur:</t>
        </r>
        <r>
          <rPr>
            <sz val="9"/>
            <color indexed="81"/>
            <rFont val="Tahoma"/>
            <family val="2"/>
          </rPr>
          <t xml:space="preserve">
Per Week rate</t>
        </r>
      </text>
    </comment>
    <comment ref="K27" authorId="0" shapeId="0" xr:uid="{86E6012A-5DCB-4529-ABCA-18B0521970DB}">
      <text>
        <r>
          <rPr>
            <b/>
            <sz val="9"/>
            <color indexed="81"/>
            <rFont val="Tahoma"/>
            <family val="2"/>
          </rPr>
          <t>Harmanjot Kaur:</t>
        </r>
        <r>
          <rPr>
            <sz val="9"/>
            <color indexed="81"/>
            <rFont val="Tahoma"/>
            <family val="2"/>
          </rPr>
          <t xml:space="preserve">
Per Week rate</t>
        </r>
      </text>
    </comment>
    <comment ref="R27" authorId="0" shapeId="0" xr:uid="{5A6675FF-2C17-4B36-B2C7-7A8B64837C88}">
      <text>
        <r>
          <rPr>
            <b/>
            <sz val="9"/>
            <color indexed="81"/>
            <rFont val="Tahoma"/>
            <family val="2"/>
          </rPr>
          <t>Harmanjot Kaur:</t>
        </r>
        <r>
          <rPr>
            <sz val="9"/>
            <color indexed="81"/>
            <rFont val="Tahoma"/>
            <family val="2"/>
          </rPr>
          <t xml:space="preserve">
Per Week rate</t>
        </r>
      </text>
    </comment>
    <comment ref="D42" authorId="0" shapeId="0" xr:uid="{148BA773-DC61-46E7-8DA2-64E83BC490FF}">
      <text>
        <r>
          <rPr>
            <b/>
            <sz val="9"/>
            <color indexed="81"/>
            <rFont val="Tahoma"/>
            <family val="2"/>
          </rPr>
          <t>Harmanjot Kaur:</t>
        </r>
        <r>
          <rPr>
            <sz val="9"/>
            <color indexed="81"/>
            <rFont val="Tahoma"/>
            <family val="2"/>
          </rPr>
          <t xml:space="preserve">
Per week rates</t>
        </r>
      </text>
    </comment>
    <comment ref="K42" authorId="0" shapeId="0" xr:uid="{9BCD3EB8-F9C3-4D63-823D-BBFA5D06BB23}">
      <text>
        <r>
          <rPr>
            <b/>
            <sz val="9"/>
            <color indexed="81"/>
            <rFont val="Tahoma"/>
            <family val="2"/>
          </rPr>
          <t>Harmanjot Kaur:</t>
        </r>
        <r>
          <rPr>
            <sz val="9"/>
            <color indexed="81"/>
            <rFont val="Tahoma"/>
            <family val="2"/>
          </rPr>
          <t xml:space="preserve">
Per week rates</t>
        </r>
      </text>
    </comment>
    <comment ref="R42" authorId="0" shapeId="0" xr:uid="{D93A8296-4F69-4B54-857A-4B659C5AADFC}">
      <text>
        <r>
          <rPr>
            <b/>
            <sz val="9"/>
            <color indexed="81"/>
            <rFont val="Tahoma"/>
            <family val="2"/>
          </rPr>
          <t>Harmanjot Kaur:</t>
        </r>
        <r>
          <rPr>
            <sz val="9"/>
            <color indexed="81"/>
            <rFont val="Tahoma"/>
            <family val="2"/>
          </rPr>
          <t xml:space="preserve">
Per week rates</t>
        </r>
      </text>
    </comment>
    <comment ref="D43" authorId="0" shapeId="0" xr:uid="{A044025A-6AE6-4543-8B60-13C7C79AB552}">
      <text>
        <r>
          <rPr>
            <b/>
            <sz val="9"/>
            <color indexed="81"/>
            <rFont val="Tahoma"/>
            <family val="2"/>
          </rPr>
          <t>Harmanjot Kaur:</t>
        </r>
        <r>
          <rPr>
            <sz val="9"/>
            <color indexed="81"/>
            <rFont val="Tahoma"/>
            <family val="2"/>
          </rPr>
          <t xml:space="preserve">
Per Week rate</t>
        </r>
      </text>
    </comment>
    <comment ref="K43" authorId="0" shapeId="0" xr:uid="{AA054E77-B0A8-4212-91D4-239BC68A0859}">
      <text>
        <r>
          <rPr>
            <b/>
            <sz val="9"/>
            <color indexed="81"/>
            <rFont val="Tahoma"/>
            <family val="2"/>
          </rPr>
          <t>Harmanjot Kaur:</t>
        </r>
        <r>
          <rPr>
            <sz val="9"/>
            <color indexed="81"/>
            <rFont val="Tahoma"/>
            <family val="2"/>
          </rPr>
          <t xml:space="preserve">
Per Week rate</t>
        </r>
      </text>
    </comment>
    <comment ref="R43" authorId="0" shapeId="0" xr:uid="{A772D356-9E77-42B6-99E4-E67DB2AE284A}">
      <text>
        <r>
          <rPr>
            <b/>
            <sz val="9"/>
            <color indexed="81"/>
            <rFont val="Tahoma"/>
            <family val="2"/>
          </rPr>
          <t>Harmanjot Kaur:</t>
        </r>
        <r>
          <rPr>
            <sz val="9"/>
            <color indexed="81"/>
            <rFont val="Tahoma"/>
            <family val="2"/>
          </rPr>
          <t xml:space="preserve">
Per Week rate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Harmanjot Kaur</author>
  </authors>
  <commentList>
    <comment ref="D27" authorId="0" shapeId="0" xr:uid="{2BFCF01B-4DCC-4821-9AF2-9F5542FEAD17}">
      <text>
        <r>
          <rPr>
            <b/>
            <sz val="9"/>
            <color indexed="81"/>
            <rFont val="Tahoma"/>
            <family val="2"/>
          </rPr>
          <t>Harmanjot Kaur:</t>
        </r>
        <r>
          <rPr>
            <sz val="9"/>
            <color indexed="81"/>
            <rFont val="Tahoma"/>
            <family val="2"/>
          </rPr>
          <t xml:space="preserve">
Per Week rate</t>
        </r>
      </text>
    </comment>
    <comment ref="K27" authorId="0" shapeId="0" xr:uid="{C62C3CD4-BCE0-44BA-BEA3-7C31F1389725}">
      <text>
        <r>
          <rPr>
            <b/>
            <sz val="9"/>
            <color indexed="81"/>
            <rFont val="Tahoma"/>
            <family val="2"/>
          </rPr>
          <t>Harmanjot Kaur:</t>
        </r>
        <r>
          <rPr>
            <sz val="9"/>
            <color indexed="81"/>
            <rFont val="Tahoma"/>
            <family val="2"/>
          </rPr>
          <t xml:space="preserve">
Per Week rate</t>
        </r>
      </text>
    </comment>
    <comment ref="R27" authorId="0" shapeId="0" xr:uid="{D2600DD9-8F8F-4E31-BC41-FBC001C9E872}">
      <text>
        <r>
          <rPr>
            <b/>
            <sz val="9"/>
            <color indexed="81"/>
            <rFont val="Tahoma"/>
            <family val="2"/>
          </rPr>
          <t>Harmanjot Kaur:</t>
        </r>
        <r>
          <rPr>
            <sz val="9"/>
            <color indexed="81"/>
            <rFont val="Tahoma"/>
            <family val="2"/>
          </rPr>
          <t xml:space="preserve">
Per Week rate</t>
        </r>
      </text>
    </comment>
    <comment ref="D29" authorId="0" shapeId="0" xr:uid="{1DB7A87B-B2D9-4E6B-83A0-EA7B5DB8025E}">
      <text>
        <r>
          <rPr>
            <b/>
            <sz val="9"/>
            <color indexed="81"/>
            <rFont val="Tahoma"/>
            <family val="2"/>
          </rPr>
          <t>Harmanjot Kaur:</t>
        </r>
        <r>
          <rPr>
            <sz val="9"/>
            <color indexed="81"/>
            <rFont val="Tahoma"/>
            <family val="2"/>
          </rPr>
          <t xml:space="preserve">
Pro rata</t>
        </r>
      </text>
    </comment>
    <comment ref="D43" authorId="0" shapeId="0" xr:uid="{AEDFCC8E-978E-467E-8ABA-17F7CC8395F5}">
      <text>
        <r>
          <rPr>
            <b/>
            <sz val="9"/>
            <color indexed="81"/>
            <rFont val="Tahoma"/>
            <family val="2"/>
          </rPr>
          <t>Harmanjot Kaur:</t>
        </r>
        <r>
          <rPr>
            <sz val="9"/>
            <color indexed="81"/>
            <rFont val="Tahoma"/>
            <family val="2"/>
          </rPr>
          <t xml:space="preserve">
Per Week rate</t>
        </r>
      </text>
    </comment>
    <comment ref="K43" authorId="0" shapeId="0" xr:uid="{DE03FC9C-DCFB-45D3-B1B9-2F91356E4009}">
      <text>
        <r>
          <rPr>
            <b/>
            <sz val="9"/>
            <color indexed="81"/>
            <rFont val="Tahoma"/>
            <family val="2"/>
          </rPr>
          <t>Harmanjot Kaur:</t>
        </r>
        <r>
          <rPr>
            <sz val="9"/>
            <color indexed="81"/>
            <rFont val="Tahoma"/>
            <family val="2"/>
          </rPr>
          <t xml:space="preserve">
Per Week rate</t>
        </r>
      </text>
    </comment>
    <comment ref="R43" authorId="0" shapeId="0" xr:uid="{038ABDCA-0DF9-46AA-8791-2CFD795AD7B1}">
      <text>
        <r>
          <rPr>
            <b/>
            <sz val="9"/>
            <color indexed="81"/>
            <rFont val="Tahoma"/>
            <family val="2"/>
          </rPr>
          <t>Harmanjot Kaur:</t>
        </r>
        <r>
          <rPr>
            <sz val="9"/>
            <color indexed="81"/>
            <rFont val="Tahoma"/>
            <family val="2"/>
          </rPr>
          <t xml:space="preserve">
Per Week rate</t>
        </r>
      </text>
    </comment>
    <comment ref="D45" authorId="0" shapeId="0" xr:uid="{917F1714-64E2-4A2D-B7F7-2A86E52424AA}">
      <text>
        <r>
          <rPr>
            <b/>
            <sz val="9"/>
            <color indexed="81"/>
            <rFont val="Tahoma"/>
            <family val="2"/>
          </rPr>
          <t>Harmanjot Kaur:</t>
        </r>
        <r>
          <rPr>
            <sz val="9"/>
            <color indexed="81"/>
            <rFont val="Tahoma"/>
            <family val="2"/>
          </rPr>
          <t xml:space="preserve">
Pro rata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tc={82CD1F18-9F15-411D-86CF-AC7E0C6BD0B1}</author>
  </authors>
  <commentList>
    <comment ref="BC153" authorId="0" shapeId="0" xr:uid="{82CD1F18-9F15-411D-86CF-AC7E0C6BD0B1}">
      <text>
        <t>[Threaded comment]
Your version of Excel allows you to read this threaded comment; however, any edits to it will get removed if the file is opened in a newer version of Excel. Learn more: https://go.microsoft.com/fwlink/?linkid=870924
Comment:
    Paid direct to academy</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Eunice Onyema</author>
  </authors>
  <commentList>
    <comment ref="Q5" authorId="0" shapeId="0" xr:uid="{57B4446C-3FF0-4F5D-A6A7-8338802C06DF}">
      <text>
        <r>
          <rPr>
            <b/>
            <sz val="9"/>
            <color indexed="81"/>
            <rFont val="Tahoma"/>
            <family val="2"/>
          </rPr>
          <t>Eunice Onyema:</t>
        </r>
        <r>
          <rPr>
            <sz val="9"/>
            <color indexed="81"/>
            <rFont val="Tahoma"/>
            <family val="2"/>
          </rPr>
          <t xml:space="preserve">
Hourly rate - so multiply by EYPP Pupls * 15 hrs * 38 weeks </t>
        </r>
      </text>
    </comment>
    <comment ref="D6" authorId="0" shapeId="0" xr:uid="{17FE30BC-C2E2-4746-994E-461AE19B78FF}">
      <text>
        <r>
          <rPr>
            <b/>
            <sz val="9"/>
            <color indexed="81"/>
            <rFont val="Tahoma"/>
            <family val="2"/>
          </rPr>
          <t>Eunice Onyema:</t>
        </r>
        <r>
          <rPr>
            <sz val="9"/>
            <color indexed="81"/>
            <rFont val="Tahoma"/>
            <family val="2"/>
          </rPr>
          <t xml:space="preserve">
Used Autumn 24 numbers as estimate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Eunice Onyema</author>
  </authors>
  <commentList>
    <comment ref="Q5" authorId="0" shapeId="0" xr:uid="{24A33D34-4653-4784-94BC-FCB08ED4042F}">
      <text>
        <r>
          <rPr>
            <b/>
            <sz val="9"/>
            <color indexed="81"/>
            <rFont val="Tahoma"/>
            <family val="2"/>
          </rPr>
          <t>Eunice Onyema:</t>
        </r>
        <r>
          <rPr>
            <sz val="9"/>
            <color indexed="81"/>
            <rFont val="Tahoma"/>
            <family val="2"/>
          </rPr>
          <t xml:space="preserve">
Hourly rate - so multiply by EYPP Pupls * 15 hrs * 38 weeks </t>
        </r>
      </text>
    </comment>
    <comment ref="D6" authorId="0" shapeId="0" xr:uid="{D9356E3F-E59C-46AF-98D8-86217ACFF5DD}">
      <text>
        <r>
          <rPr>
            <b/>
            <sz val="9"/>
            <color indexed="81"/>
            <rFont val="Tahoma"/>
            <family val="2"/>
          </rPr>
          <t>Eunice Onyema:</t>
        </r>
        <r>
          <rPr>
            <sz val="9"/>
            <color indexed="81"/>
            <rFont val="Tahoma"/>
            <family val="2"/>
          </rPr>
          <t xml:space="preserve">
Used Autumn 24 numbers as estimate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Eunice Onyema</author>
  </authors>
  <commentList>
    <comment ref="P4" authorId="0" shapeId="0" xr:uid="{638BE23E-8A8E-4A59-9A98-0D1CB57505CE}">
      <text>
        <r>
          <rPr>
            <b/>
            <sz val="9"/>
            <color indexed="81"/>
            <rFont val="Tahoma"/>
            <family val="2"/>
          </rPr>
          <t>Eunice Onyema:</t>
        </r>
        <r>
          <rPr>
            <sz val="9"/>
            <color indexed="81"/>
            <rFont val="Tahoma"/>
            <family val="2"/>
          </rPr>
          <t xml:space="preserve">
Hourly rate - so multiply by EYPP Pupls * 15 hrs * 38 weeks </t>
        </r>
      </text>
    </comment>
  </commentList>
</comments>
</file>

<file path=xl/sharedStrings.xml><?xml version="1.0" encoding="utf-8"?>
<sst xmlns="http://schemas.openxmlformats.org/spreadsheetml/2006/main" count="5998" uniqueCount="1135">
  <si>
    <t xml:space="preserve">Hours per day </t>
  </si>
  <si>
    <t xml:space="preserve">To be used for actuals/ in year forecasting  </t>
  </si>
  <si>
    <t>Hours numbers</t>
  </si>
  <si>
    <t>Hourly Rates</t>
  </si>
  <si>
    <t>Summer term</t>
  </si>
  <si>
    <t>Autumn Term</t>
  </si>
  <si>
    <t xml:space="preserve">Spring Term </t>
  </si>
  <si>
    <t>Total</t>
  </si>
  <si>
    <t>Actual Hours numbers</t>
  </si>
  <si>
    <t>EY 3-4 Uni Ent</t>
  </si>
  <si>
    <t>EY 3-4 Ext Ent</t>
  </si>
  <si>
    <t>EY 2 YO</t>
  </si>
  <si>
    <t>EY Under 2</t>
  </si>
  <si>
    <t>EY EYPP</t>
  </si>
  <si>
    <t>DAF</t>
  </si>
  <si>
    <t xml:space="preserve">Amount per term </t>
  </si>
  <si>
    <t>MNS</t>
  </si>
  <si>
    <t>Overall Total</t>
  </si>
  <si>
    <t>DfE #</t>
  </si>
  <si>
    <t>URN</t>
  </si>
  <si>
    <t>Cost centre</t>
  </si>
  <si>
    <t>School</t>
  </si>
  <si>
    <t>Phase</t>
  </si>
  <si>
    <t>School Type</t>
  </si>
  <si>
    <t>AX001</t>
  </si>
  <si>
    <t>Adderley Nursery School</t>
  </si>
  <si>
    <t>Nursery</t>
  </si>
  <si>
    <t>Chq Bk</t>
  </si>
  <si>
    <t>AX087</t>
  </si>
  <si>
    <t>Allens Croft Nursery School</t>
  </si>
  <si>
    <t>AX006</t>
  </si>
  <si>
    <t>Anderton Park Primary School</t>
  </si>
  <si>
    <t>Primary</t>
  </si>
  <si>
    <t>AX007</t>
  </si>
  <si>
    <t>Anglesey Primary School</t>
  </si>
  <si>
    <t>AX008</t>
  </si>
  <si>
    <t>Arden Primary School</t>
  </si>
  <si>
    <t>AX00G</t>
  </si>
  <si>
    <t>Bellfield Infant School (NC)</t>
  </si>
  <si>
    <t>AX00R</t>
  </si>
  <si>
    <t>Bloomsbury Nursery School</t>
  </si>
  <si>
    <t>AX08G</t>
  </si>
  <si>
    <t>Boldmere Infant School and Nursery</t>
  </si>
  <si>
    <t>AX08H</t>
  </si>
  <si>
    <t>Bordesley Green Primary School</t>
  </si>
  <si>
    <t>AX00Z</t>
  </si>
  <si>
    <t>Brearley Nursery School</t>
  </si>
  <si>
    <t>AX08N</t>
  </si>
  <si>
    <t>Broadmeadow Infant School</t>
  </si>
  <si>
    <t>Academy</t>
  </si>
  <si>
    <t>AX013</t>
  </si>
  <si>
    <t>Calshot Primary School</t>
  </si>
  <si>
    <t>AX014</t>
  </si>
  <si>
    <t>Castle Vale Nursery School</t>
  </si>
  <si>
    <t>AX018</t>
  </si>
  <si>
    <t>Cherry Orchard Primary School</t>
  </si>
  <si>
    <t>AX08W</t>
  </si>
  <si>
    <t>Chilcote Primary School</t>
  </si>
  <si>
    <t>AX01A</t>
  </si>
  <si>
    <t>Christ Church CofE Controlled Primary School and Nursery</t>
  </si>
  <si>
    <t>AX019</t>
  </si>
  <si>
    <t>Christ The King Catholic Primary School</t>
  </si>
  <si>
    <t>AX01B</t>
  </si>
  <si>
    <t>Clifton Primary School</t>
  </si>
  <si>
    <t>AX01E</t>
  </si>
  <si>
    <t>Colebourne Primary School</t>
  </si>
  <si>
    <t>AX092</t>
  </si>
  <si>
    <t>Colmore Infant and Nursery School</t>
  </si>
  <si>
    <t>AX01J</t>
  </si>
  <si>
    <t>Cotteridge Primary School</t>
  </si>
  <si>
    <t>AX01R</t>
  </si>
  <si>
    <t>Elms Farm Community Primary School</t>
  </si>
  <si>
    <t>AX01X</t>
  </si>
  <si>
    <t>Featherstone Nursery School</t>
  </si>
  <si>
    <t>AX01Z</t>
  </si>
  <si>
    <t>Forestdale Primary School</t>
  </si>
  <si>
    <t>AX023</t>
  </si>
  <si>
    <t>Garretts Green Nursery School</t>
  </si>
  <si>
    <t>AX028</t>
  </si>
  <si>
    <t>Goodway Nursery School</t>
  </si>
  <si>
    <t>AX029</t>
  </si>
  <si>
    <t>Gracelands Nursery School</t>
  </si>
  <si>
    <t>AX02D</t>
  </si>
  <si>
    <t>Grove School</t>
  </si>
  <si>
    <t>AX02G</t>
  </si>
  <si>
    <t>Hall Green Infant School</t>
  </si>
  <si>
    <t>AX02M</t>
  </si>
  <si>
    <t>Hawthorn Primary School</t>
  </si>
  <si>
    <t>AX02P</t>
  </si>
  <si>
    <t>Highfield Nursery School</t>
  </si>
  <si>
    <t>AX02R</t>
  </si>
  <si>
    <t>Highters Heath Nursery School</t>
  </si>
  <si>
    <t>AX02U</t>
  </si>
  <si>
    <t>Holly Hill Methodist CofE Infant School</t>
  </si>
  <si>
    <t>AX02Y</t>
  </si>
  <si>
    <t>Holy Family Catholic Primary School</t>
  </si>
  <si>
    <t>AX0A7</t>
  </si>
  <si>
    <t>Jakeman Nursery School</t>
  </si>
  <si>
    <t>AX032</t>
  </si>
  <si>
    <t>James Watt Primary School</t>
  </si>
  <si>
    <t>AX03A</t>
  </si>
  <si>
    <t>Kings Norton Nursery School</t>
  </si>
  <si>
    <t>AX03B</t>
  </si>
  <si>
    <t>Kingsland Primary School (NC)</t>
  </si>
  <si>
    <t>AX03C</t>
  </si>
  <si>
    <t>Kingsthorne Primary School</t>
  </si>
  <si>
    <t>AX0AN</t>
  </si>
  <si>
    <t>Lozells Junior and Infant School and Nursery</t>
  </si>
  <si>
    <t>AX03W</t>
  </si>
  <si>
    <t>Marsh Hill Nursery School</t>
  </si>
  <si>
    <t>AX03X</t>
  </si>
  <si>
    <t>Maryvale Catholic Primary School</t>
  </si>
  <si>
    <t>AX044</t>
  </si>
  <si>
    <t>Nelson Mandela School</t>
  </si>
  <si>
    <t>AX043</t>
  </si>
  <si>
    <t>Nelson Primary School</t>
  </si>
  <si>
    <t>AX04B</t>
  </si>
  <si>
    <t>Osborne Nursery School</t>
  </si>
  <si>
    <t>AX04D</t>
  </si>
  <si>
    <t>Our Lady and St Rose of Lima Catholic Primary School</t>
  </si>
  <si>
    <t>AX04E</t>
  </si>
  <si>
    <t>Our Lady of Lourdes Catholic Primary School</t>
  </si>
  <si>
    <t>AX04N</t>
  </si>
  <si>
    <t>Perry Beeches Nursery School</t>
  </si>
  <si>
    <t>AX04X</t>
  </si>
  <si>
    <t>Rednal Hill Infant School</t>
  </si>
  <si>
    <t>AX04Z</t>
  </si>
  <si>
    <t>Regents Park Community Primary School</t>
  </si>
  <si>
    <t>AX052</t>
  </si>
  <si>
    <t>Rubery Nursery School</t>
  </si>
  <si>
    <t>AX054</t>
  </si>
  <si>
    <t>Severne Junior Infant and Nursery School</t>
  </si>
  <si>
    <t>AX055</t>
  </si>
  <si>
    <t>Shaw Hill Primary School</t>
  </si>
  <si>
    <t>AX056</t>
  </si>
  <si>
    <t>Shenley Fields Nursery School</t>
  </si>
  <si>
    <t>AX059</t>
  </si>
  <si>
    <t>Somerville Primary (NC) School</t>
  </si>
  <si>
    <t>AX05J</t>
  </si>
  <si>
    <t>St Bernadette's Catholic Primary School</t>
  </si>
  <si>
    <t>AX05L</t>
  </si>
  <si>
    <t>St Catherine of Siena Catholic Primary School</t>
  </si>
  <si>
    <t>AX05P</t>
  </si>
  <si>
    <t>St Cuthbert's Catholic Primary School</t>
  </si>
  <si>
    <t>AX05Q</t>
  </si>
  <si>
    <t>St Dunstan's Catholic Primary School</t>
  </si>
  <si>
    <t>AX05Y</t>
  </si>
  <si>
    <t>St Gerard's Catholic Primary School</t>
  </si>
  <si>
    <t>AX066</t>
  </si>
  <si>
    <t>St Jude's Catholic Primary School</t>
  </si>
  <si>
    <t>AX069</t>
  </si>
  <si>
    <t>St Margaret Mary Catholic Primary School</t>
  </si>
  <si>
    <t>AX06L</t>
  </si>
  <si>
    <t>St Peters CofE Primary School</t>
  </si>
  <si>
    <t>AX06W</t>
  </si>
  <si>
    <t>Stanville Primary School</t>
  </si>
  <si>
    <t>AX049</t>
  </si>
  <si>
    <t>The Oratory Roman Catholic Primary School</t>
  </si>
  <si>
    <t>AX0CH</t>
  </si>
  <si>
    <t>Walmley Infant School</t>
  </si>
  <si>
    <t>AX07B</t>
  </si>
  <si>
    <t>Ward End Primary School</t>
  </si>
  <si>
    <t>AX0CL</t>
  </si>
  <si>
    <t>Welford Primary School</t>
  </si>
  <si>
    <t>AX07H</t>
  </si>
  <si>
    <t>Welsh House Farm Community School and Special Needs Resources Base</t>
  </si>
  <si>
    <t>AX07K</t>
  </si>
  <si>
    <t>West Heath Nursery School</t>
  </si>
  <si>
    <t>AX07P</t>
  </si>
  <si>
    <t>Wheelers Lane Primary School</t>
  </si>
  <si>
    <t>AX07Q</t>
  </si>
  <si>
    <t>Whitehouse Common Primary School</t>
  </si>
  <si>
    <t>AX07T</t>
  </si>
  <si>
    <t>William Murdoch Primary School</t>
  </si>
  <si>
    <t>AX07X</t>
  </si>
  <si>
    <t>World's End Infant and Nursery School</t>
  </si>
  <si>
    <t>AX081</t>
  </si>
  <si>
    <t>Yardley Wood Community Primary School</t>
  </si>
  <si>
    <t>AX083</t>
  </si>
  <si>
    <t>Yorkmead Junior and Infant School</t>
  </si>
  <si>
    <t>AX00U</t>
  </si>
  <si>
    <t>Bordesley Green East Nursery School</t>
  </si>
  <si>
    <t>AX03E</t>
  </si>
  <si>
    <t>Ladypool Primary School</t>
  </si>
  <si>
    <t>AX07D</t>
  </si>
  <si>
    <t>Washwood Heath Nursery School</t>
  </si>
  <si>
    <t>AX00C</t>
  </si>
  <si>
    <t>Barford Primary School</t>
  </si>
  <si>
    <t>AX01Q</t>
  </si>
  <si>
    <t>Edith Cadbury Nursery School</t>
  </si>
  <si>
    <t>AX035</t>
  </si>
  <si>
    <t>King David Junior and Infant School</t>
  </si>
  <si>
    <t>AX037</t>
  </si>
  <si>
    <t>Kings Heath Primary School</t>
  </si>
  <si>
    <t>AX03J</t>
  </si>
  <si>
    <t>Lillian de Lissa Nursery School</t>
  </si>
  <si>
    <t>AX03R</t>
  </si>
  <si>
    <t>Mapledene Primary School</t>
  </si>
  <si>
    <t>AX046</t>
  </si>
  <si>
    <t>New Oscott Primary School</t>
  </si>
  <si>
    <t>AX047</t>
  </si>
  <si>
    <t>Newtown Nursery School</t>
  </si>
  <si>
    <t>AX04J</t>
  </si>
  <si>
    <t>Park Hill Primary School</t>
  </si>
  <si>
    <t>AX04V</t>
  </si>
  <si>
    <t>Raddlebarn Primary School</t>
  </si>
  <si>
    <t>AX053</t>
  </si>
  <si>
    <t>Selly Oak Nursery School</t>
  </si>
  <si>
    <t>AX05F</t>
  </si>
  <si>
    <t>St Augustine's Catholic Primary School</t>
  </si>
  <si>
    <t>AX05N</t>
  </si>
  <si>
    <t>St Clare's Catholic Primary School</t>
  </si>
  <si>
    <t>AX06H</t>
  </si>
  <si>
    <t>St Patrick and St Edmund's Catholic Primary School</t>
  </si>
  <si>
    <t>AX06R</t>
  </si>
  <si>
    <t>St Thomas Centre Nursery School</t>
  </si>
  <si>
    <t>AX06U</t>
  </si>
  <si>
    <t>St Vincent's Catholic Primary School</t>
  </si>
  <si>
    <t>AX07J</t>
  </si>
  <si>
    <t>Weoley Castle Nursery School</t>
  </si>
  <si>
    <t>EY 2 YO Ext Ent</t>
  </si>
  <si>
    <t>Indicative budget notified by LA in March 2025</t>
  </si>
  <si>
    <t>Number of weeks</t>
  </si>
  <si>
    <t>TOTALS</t>
  </si>
  <si>
    <t>Check</t>
  </si>
  <si>
    <t>School ID</t>
  </si>
  <si>
    <t>School Name</t>
  </si>
  <si>
    <t>Under 2's Pupils Summer</t>
  </si>
  <si>
    <t>Under 2's hours</t>
  </si>
  <si>
    <t>Under 2's funding</t>
  </si>
  <si>
    <t>2 Year Olds Pupils Summer Term Per Week</t>
  </si>
  <si>
    <t>2 Year Olds Summer Term Hours Per Week</t>
  </si>
  <si>
    <t>2 Year Old Funding Summer</t>
  </si>
  <si>
    <t>Pupil Numbers 3&amp;4 Year Olds Summer Term</t>
  </si>
  <si>
    <t>Universal Hours 3&amp;4 Year Olds Summer Term Per Week</t>
  </si>
  <si>
    <t>DERN (Claiming Extended Hours) 3&amp;4 Year Olds Summer Term</t>
  </si>
  <si>
    <t>Extended Hours 3&amp;4 Year Olds Summer Term</t>
  </si>
  <si>
    <t>3&amp;4 Year Old Funding Summer</t>
  </si>
  <si>
    <t>EYPP Summer Term Pupils</t>
  </si>
  <si>
    <t>EYPP Summer Term Universal Hours</t>
  </si>
  <si>
    <t>EYPP Total for Summer</t>
  </si>
  <si>
    <t>Free School Meals Qualifying Pupils Summer</t>
  </si>
  <si>
    <t>Free School Meals Funding Summer</t>
  </si>
  <si>
    <t>Total Delegated Indicative Funding Summer 2025/26</t>
  </si>
  <si>
    <t>DAF Pupils Summer</t>
  </si>
  <si>
    <t>Non Chq Bk</t>
  </si>
  <si>
    <t>EPA</t>
  </si>
  <si>
    <t>Perry Beeches Nursery</t>
  </si>
  <si>
    <t>St. Thomas Centre Nursery</t>
  </si>
  <si>
    <t>HIGHFIELD CHILDREN'S CENTRE (NURSERY SCHOOL)</t>
  </si>
  <si>
    <t>Goodway Nursery and CC</t>
  </si>
  <si>
    <t>Lillian De Lissa Nursery School</t>
  </si>
  <si>
    <t>Shenley Fields Daycare and Nursery School</t>
  </si>
  <si>
    <t>Prince Albert Junior and Infant School</t>
  </si>
  <si>
    <t>The Oaks Primary School</t>
  </si>
  <si>
    <t>Acocks Green Primary School</t>
  </si>
  <si>
    <t>PAGANEL PRIMARY SCHOOL</t>
  </si>
  <si>
    <t>Erdington Hall Primary School</t>
  </si>
  <si>
    <t>Slade Primary School</t>
  </si>
  <si>
    <t>Nansen Primary School</t>
  </si>
  <si>
    <t>Canterbury Cross Primary School</t>
  </si>
  <si>
    <t>Nechells Primary E-ACT Academy</t>
  </si>
  <si>
    <t>Ark Tindal Primary Academy</t>
  </si>
  <si>
    <t>Percy Shurmer Academy</t>
  </si>
  <si>
    <t>Shirestone Academy</t>
  </si>
  <si>
    <t>St Clement's Church of England Academy</t>
  </si>
  <si>
    <t>Cromwell Primary School</t>
  </si>
  <si>
    <t>The Oaklands Primary School</t>
  </si>
  <si>
    <t>Dorrington Academy</t>
  </si>
  <si>
    <t>SUMMERFIELD J.I. SCHOOL (N.C.)</t>
  </si>
  <si>
    <t>WARREN FARM PRIMARY SCHOOL</t>
  </si>
  <si>
    <t>Montgomery Primary Academy</t>
  </si>
  <si>
    <t>Billesley Primary School</t>
  </si>
  <si>
    <t>Kings Rise Academy</t>
  </si>
  <si>
    <t>Mansfield Green Primary E-ACT Academy</t>
  </si>
  <si>
    <t>Moor Green Primary Academy</t>
  </si>
  <si>
    <t>Conway Primary School</t>
  </si>
  <si>
    <t>Greet Primary School</t>
  </si>
  <si>
    <t>Hall Green Infants School</t>
  </si>
  <si>
    <t>Lea Forest Primary Academy</t>
  </si>
  <si>
    <t>Story Wood School</t>
  </si>
  <si>
    <t>Tame Valley Academy</t>
  </si>
  <si>
    <t>Merritts Brook Primary E-ACT Academy</t>
  </si>
  <si>
    <t>Oasis Academy Blakenhale Infants</t>
  </si>
  <si>
    <t>Oasis Academy Short Heath</t>
  </si>
  <si>
    <t>Four Dwellings Primary Academy</t>
  </si>
  <si>
    <t>Oasis Academy Hobmoor</t>
  </si>
  <si>
    <t>Kingsland Primary School</t>
  </si>
  <si>
    <t>Oasis Academy Boulton</t>
  </si>
  <si>
    <t>Lakey Lane Primary School</t>
  </si>
  <si>
    <t>Hawkesley Church Primary Academy</t>
  </si>
  <si>
    <t>Yarnfield Primary School</t>
  </si>
  <si>
    <t>LOZELLS PRIMARY SCHOOL</t>
  </si>
  <si>
    <t>Marlborough Primary School</t>
  </si>
  <si>
    <t>Woodhouse Primary Academy</t>
  </si>
  <si>
    <t>Grestone Academy</t>
  </si>
  <si>
    <t>Oasis Academy Foundry</t>
  </si>
  <si>
    <t>Nelson Junior &amp; Infant School</t>
  </si>
  <si>
    <t>Alston Primary School</t>
  </si>
  <si>
    <t>Wyndcliffe Primary School</t>
  </si>
  <si>
    <t>Paget Primary School</t>
  </si>
  <si>
    <t>Princethorpe Infant School</t>
  </si>
  <si>
    <t>Rednal Hill Infant School (N.C.)</t>
  </si>
  <si>
    <t>Manor Park Primary Academy</t>
  </si>
  <si>
    <t>Severne Primary School</t>
  </si>
  <si>
    <t>Chandos Primary School</t>
  </si>
  <si>
    <t>Bordesley Village Primary School</t>
  </si>
  <si>
    <t>Somerville Primary School</t>
  </si>
  <si>
    <t>Yew Tree Community Junior and Infant School (NC)</t>
  </si>
  <si>
    <t>Springfield Primary Academy</t>
  </si>
  <si>
    <t>Birchfield Primary School</t>
  </si>
  <si>
    <t>SS. Mary and John Catholic Primary School</t>
  </si>
  <si>
    <t>Stirchley Primary School</t>
  </si>
  <si>
    <t>Court Farm Primary School</t>
  </si>
  <si>
    <t>City Road Primary School</t>
  </si>
  <si>
    <t>Timberley Academy</t>
  </si>
  <si>
    <t>Brookfields Primary School</t>
  </si>
  <si>
    <t>Sutton Park Primary</t>
  </si>
  <si>
    <t>Birches Green Primary</t>
  </si>
  <si>
    <t>Yardley Wood Community School (NC)</t>
  </si>
  <si>
    <t>Yorkmead Primary School</t>
  </si>
  <si>
    <t>Broadmeadow Infant &amp; Nursery School</t>
  </si>
  <si>
    <t>Bellfield Infant School</t>
  </si>
  <si>
    <t>Welsh House Farm Community School</t>
  </si>
  <si>
    <t>CHILCOTE PRIMARY SCHOOL</t>
  </si>
  <si>
    <t>Cottesbrooke Infant &amp; Nursery School</t>
  </si>
  <si>
    <t>ARDEN PRIMARY SCHOOL NC</t>
  </si>
  <si>
    <t>Heathfield Primary School</t>
  </si>
  <si>
    <t>Worlds End Infant NC School</t>
  </si>
  <si>
    <t>Holland House Infant School and Nursery</t>
  </si>
  <si>
    <t>Hillstone Primary School</t>
  </si>
  <si>
    <t>BENSON COMMUNITY SCHOOL</t>
  </si>
  <si>
    <t>Aston Tower Community Primary School</t>
  </si>
  <si>
    <t>The Oval School</t>
  </si>
  <si>
    <t>Twickenham Primary School</t>
  </si>
  <si>
    <t>Barr View Primary &amp; Nursery Academy</t>
  </si>
  <si>
    <t>Leigh Primary School</t>
  </si>
  <si>
    <t>Elms Farm Primary School</t>
  </si>
  <si>
    <t>Heathlands Primary Academy</t>
  </si>
  <si>
    <t>NELSON MANDELA SCHOOL</t>
  </si>
  <si>
    <t>Parkfield Community School</t>
  </si>
  <si>
    <t>Robin Hood Academy</t>
  </si>
  <si>
    <t>Mere Green Primary School</t>
  </si>
  <si>
    <t>Grove Junior and Infant School</t>
  </si>
  <si>
    <t>Westminster Primary School</t>
  </si>
  <si>
    <t>Wychall Primary School</t>
  </si>
  <si>
    <t>Rookery School</t>
  </si>
  <si>
    <t>Wattville Primary School</t>
  </si>
  <si>
    <t>Christ Church C.E. Primary (NC) School</t>
  </si>
  <si>
    <t>St Mary's CofE Primary &amp; Nursery Academy Handsworth</t>
  </si>
  <si>
    <t>St Barnabas CE Primary School</t>
  </si>
  <si>
    <t>St John's CE Primary School</t>
  </si>
  <si>
    <t>St Michael's Church of England Primary School</t>
  </si>
  <si>
    <t>ST Thomas CE Academy</t>
  </si>
  <si>
    <t>Oratory R.C. Primary and Nursery School</t>
  </si>
  <si>
    <t>The Rosary Catholic Primary School</t>
  </si>
  <si>
    <t>Our Lady of Lourdes Catholic Primary (NC)</t>
  </si>
  <si>
    <t>St. Brigid's Catholic Primary School</t>
  </si>
  <si>
    <t>St. Catherine of Siena Catholic Primary School</t>
  </si>
  <si>
    <t>Our Lady and St Rose of Lima Catholic Primary &amp; Nursery School</t>
  </si>
  <si>
    <t>King David Primary School</t>
  </si>
  <si>
    <t>St. Margaret Mary Catholic Primary School</t>
  </si>
  <si>
    <t>St. Dunstan's Catholic Primary School</t>
  </si>
  <si>
    <t>St Paul's Catholic Primary School</t>
  </si>
  <si>
    <t>St Gerard's Catholic Primary</t>
  </si>
  <si>
    <t>St. Bernadette's Catholic Primary School</t>
  </si>
  <si>
    <t>St Judes Primary School</t>
  </si>
  <si>
    <t>St. Clare's Catholic Primary School</t>
  </si>
  <si>
    <t>Holly Hill Infant &amp; Nursery School</t>
  </si>
  <si>
    <t>Audley Primary School</t>
  </si>
  <si>
    <t>St Peter's C.E. Primary School</t>
  </si>
  <si>
    <t>Albert Bradbeer Primary</t>
  </si>
  <si>
    <t>Ark Kings Academy</t>
  </si>
  <si>
    <t>Ark Victoria Academy</t>
  </si>
  <si>
    <t>Starbank School</t>
  </si>
  <si>
    <t>Deanery C.E. Primary School</t>
  </si>
  <si>
    <t>St Francis Church of England Aided Primary School and Nursery</t>
  </si>
  <si>
    <t>Do not include</t>
  </si>
  <si>
    <t>Mayfield School</t>
  </si>
  <si>
    <t>Victoria School</t>
  </si>
  <si>
    <t>Longwill School for the Deaf</t>
  </si>
  <si>
    <t>Wilson Stuart School</t>
  </si>
  <si>
    <t>Priestley Smith School</t>
  </si>
  <si>
    <t>STECHFORD PRIMARY SCHOOL</t>
  </si>
  <si>
    <t>LA Maintained</t>
  </si>
  <si>
    <t>Under 2's Pupils Autumn</t>
  </si>
  <si>
    <t>2 Year Olds Pupils Autumn Term Per Week</t>
  </si>
  <si>
    <t>2 Year Olds Autumn Term Hours Per Week</t>
  </si>
  <si>
    <t>2 Year Old Funding Autumn</t>
  </si>
  <si>
    <t>Pupil Numbers 3&amp;4 Year Olds Autumn Term</t>
  </si>
  <si>
    <t>Universal Hours 3&amp;4 Year Olds Autumn Term Per Week</t>
  </si>
  <si>
    <t>DERN (Claiming Extended Hours) 3&amp;4 Year Olds Autumn Term</t>
  </si>
  <si>
    <t>Extended Hours 3&amp;4 Year Olds Autumn Term</t>
  </si>
  <si>
    <t>3&amp;4 Year Old Funding Autumn</t>
  </si>
  <si>
    <t>EYPP Autumn Term Pupils</t>
  </si>
  <si>
    <t>EYPP Autumn Term Universal Hours</t>
  </si>
  <si>
    <t>EYPP Total for Autumn</t>
  </si>
  <si>
    <t>Free School Meals Qualifying Pupils Autumn</t>
  </si>
  <si>
    <t>Free School Meals Funding Autumn</t>
  </si>
  <si>
    <t>Total Delegated Indicative Funding Autumn 2025/26</t>
  </si>
  <si>
    <t>DAF Pupils Autumn</t>
  </si>
  <si>
    <t>80% payment</t>
  </si>
  <si>
    <t>80% Deprivation</t>
  </si>
  <si>
    <t>St Wilfrid's Catholic J I School</t>
  </si>
  <si>
    <t>Under 2's Pupils Spring</t>
  </si>
  <si>
    <t>2 Year Olds Pupils Spring Term Per Week</t>
  </si>
  <si>
    <t>2 Year Olds Spring Term Hours Per Week</t>
  </si>
  <si>
    <t>2 Year Old Funding Spring</t>
  </si>
  <si>
    <t>Pupil Numbers 3&amp;4 Year Olds Spring Term</t>
  </si>
  <si>
    <t>DERN (Claiming Extended Hours) 3&amp;4 Year Olds Spring Term</t>
  </si>
  <si>
    <t>Universal Hours 3&amp;4 Year Olds Spring Term Per Week</t>
  </si>
  <si>
    <t>Extended Hours 3&amp;4 Year Olds Spring Term</t>
  </si>
  <si>
    <t>3&amp;4 Year Old Funding Spring</t>
  </si>
  <si>
    <t>EYPP Spring Term Pupils</t>
  </si>
  <si>
    <t>EYPP Spring Term Universal Hours</t>
  </si>
  <si>
    <t>EYPP Total for Spring</t>
  </si>
  <si>
    <t>Free School Meals Qualifying Pupils Spring</t>
  </si>
  <si>
    <t>Free School Meals Total</t>
  </si>
  <si>
    <t>Total Delegated Indicative Funding Spring 2025/26</t>
  </si>
  <si>
    <t>DAF Pupils Spring</t>
  </si>
  <si>
    <t>Calthorpe Academy</t>
  </si>
  <si>
    <t>Brays School (S)</t>
  </si>
  <si>
    <t>The Pines School</t>
  </si>
  <si>
    <t>Beaufort School</t>
  </si>
  <si>
    <t>This tab summarises Maintained Nursery Schools (MNS) funding allocations and the split between 27 Maintained nurseries.</t>
  </si>
  <si>
    <t>Dedicated schools grant (DSG) 2021 to 2022 (skillsfunding.service.gov.uk)</t>
  </si>
  <si>
    <t>This table shows the allocated amount to MNS by the DfE for 2025/26 . This was the final figure published on 18/12/2024</t>
  </si>
  <si>
    <t>Dedicated schools grant: 2024 to 2025 supplementary funding for maintained nursery schools</t>
  </si>
  <si>
    <t>Total supplementary funding allocation for maintained nursery schools</t>
  </si>
  <si>
    <t>Birmingham</t>
  </si>
  <si>
    <t>The above value of £6,274,230 was calculated based on the total number of universal hours in Maintained Nursery Schools.</t>
  </si>
  <si>
    <t>MNS Supplementary funding should be distributed across all Maintained Nurseries based on on the total universal hours.</t>
  </si>
  <si>
    <t xml:space="preserve">MNS supplementary funding allocation for the full financial year 2025 to 2026 should be treated in the same way as the rest of the allocations for the early years block. </t>
  </si>
  <si>
    <t xml:space="preserve">The primary purpose of the MNS funding is to support salaries of non-teaching staff. </t>
  </si>
  <si>
    <t>£576,000 TPG is apportioned by the number of teachers in nursery schools</t>
  </si>
  <si>
    <t>Every Maintained Nursery School receives a flat £68,000 award from the total allocation and the rest of the funding is apportioned out according to the total number of the Universal hours each nursery provided to 2,  3 and 4YOs.</t>
  </si>
  <si>
    <t>Total Number of MNSs</t>
  </si>
  <si>
    <t xml:space="preserve">Each nursery receives as a base funding </t>
  </si>
  <si>
    <t>Total base funding for 27 nurseries</t>
  </si>
  <si>
    <t>Residual amount to be split by universal hours</t>
  </si>
  <si>
    <t>TPPG</t>
  </si>
  <si>
    <t>School_Name</t>
  </si>
  <si>
    <t>Type</t>
  </si>
  <si>
    <t>Postcode</t>
  </si>
  <si>
    <t>Total Universal hours budget  based on 24/25 census</t>
  </si>
  <si>
    <t>Teachers cost per nursery</t>
  </si>
  <si>
    <t>£68k + Universal Hours
(Total Payable)
£</t>
  </si>
  <si>
    <t>£576k TPPG split check</t>
  </si>
  <si>
    <t>Residual amount check</t>
  </si>
  <si>
    <t>Nursery School (Maintained)</t>
  </si>
  <si>
    <t>N</t>
  </si>
  <si>
    <t>B29 6BP</t>
  </si>
  <si>
    <t>B33 8QB</t>
  </si>
  <si>
    <t>B19 3XJ</t>
  </si>
  <si>
    <t>B26 2JL</t>
  </si>
  <si>
    <t>B42 2PX</t>
  </si>
  <si>
    <t>B15 2AF</t>
  </si>
  <si>
    <t>B8 3QU</t>
  </si>
  <si>
    <t>B23 7HG</t>
  </si>
  <si>
    <t>B31 3HB</t>
  </si>
  <si>
    <t>B44 8RL</t>
  </si>
  <si>
    <t>B38 8SY</t>
  </si>
  <si>
    <t>B14 6RP</t>
  </si>
  <si>
    <t>B45 9PB</t>
  </si>
  <si>
    <t>B8 2SY</t>
  </si>
  <si>
    <t>B29 5QD</t>
  </si>
  <si>
    <t>B14 4BH</t>
  </si>
  <si>
    <t>B11 1ED</t>
  </si>
  <si>
    <t>B12 9NX</t>
  </si>
  <si>
    <t>B5 7LX</t>
  </si>
  <si>
    <t>B7 5BX</t>
  </si>
  <si>
    <t>B23 6AU</t>
  </si>
  <si>
    <t>B8 1EH</t>
  </si>
  <si>
    <t>B19 2NS</t>
  </si>
  <si>
    <t>B31 1BU</t>
  </si>
  <si>
    <t>B35 6DU</t>
  </si>
  <si>
    <t>B23 6UB</t>
  </si>
  <si>
    <t>B29 5LB</t>
  </si>
  <si>
    <t>Option 4 – Include a centrally held contingency budget to allow for detrimental impacts to individual schools to be mitigated.</t>
  </si>
  <si>
    <t>Contingency budget to be decided</t>
  </si>
  <si>
    <t>FY</t>
  </si>
  <si>
    <t>Budget increase rate</t>
  </si>
  <si>
    <t>Lump sum</t>
  </si>
  <si>
    <t>2017/18</t>
  </si>
  <si>
    <t>2018/19</t>
  </si>
  <si>
    <t>2019/20</t>
  </si>
  <si>
    <t>2020/21</t>
  </si>
  <si>
    <t>2021/22</t>
  </si>
  <si>
    <t>2022/23</t>
  </si>
  <si>
    <t>2023/24</t>
  </si>
  <si>
    <t>2024/25</t>
  </si>
  <si>
    <t>Total check</t>
  </si>
  <si>
    <t>EY Deprivation 0-5%</t>
  </si>
  <si>
    <t>EY Deprivation 5-10%</t>
  </si>
  <si>
    <t>EY Deprivation 10-20%</t>
  </si>
  <si>
    <t>DfE Number</t>
  </si>
  <si>
    <t>Cost Centre</t>
  </si>
  <si>
    <t>Schools Name</t>
  </si>
  <si>
    <t>Select School</t>
  </si>
  <si>
    <t>Number of school weeks</t>
  </si>
  <si>
    <t>Cash Sheets June 2025.xlsx</t>
  </si>
  <si>
    <t>Summer Hours</t>
  </si>
  <si>
    <t>Autumn Hours</t>
  </si>
  <si>
    <t xml:space="preserve">Spring </t>
  </si>
  <si>
    <t>J+K to pay</t>
  </si>
  <si>
    <t>On Cash Sheet. Tab 'EY' column H</t>
  </si>
  <si>
    <t>Variance (adjustment to cash sheet required)</t>
  </si>
  <si>
    <t>FSM</t>
  </si>
  <si>
    <t>Deprivation Band</t>
  </si>
  <si>
    <t>Amount per hour 2024/25</t>
  </si>
  <si>
    <t>Term</t>
  </si>
  <si>
    <t>Nr Weeks</t>
  </si>
  <si>
    <t>0-5%</t>
  </si>
  <si>
    <t>Summer</t>
  </si>
  <si>
    <t>5-10%</t>
  </si>
  <si>
    <t>Autumn</t>
  </si>
  <si>
    <t>10-20%</t>
  </si>
  <si>
    <t>Spring</t>
  </si>
  <si>
    <t>Summer funding</t>
  </si>
  <si>
    <t>Autumn Funding £</t>
  </si>
  <si>
    <t>Spring 2025 Funding</t>
  </si>
  <si>
    <t>5% funding</t>
  </si>
  <si>
    <t>10% funding</t>
  </si>
  <si>
    <t>20% funding</t>
  </si>
  <si>
    <t>TOTAL Funding</t>
  </si>
  <si>
    <t>Provider ID</t>
  </si>
  <si>
    <t>ID</t>
  </si>
  <si>
    <t>Type of School</t>
  </si>
  <si>
    <t>Summer deprivation</t>
  </si>
  <si>
    <t>Autumn deprivation</t>
  </si>
  <si>
    <t>Spring deprivation</t>
  </si>
  <si>
    <t>Summer deprivation 80%</t>
  </si>
  <si>
    <t>Autumn deprivation 80%</t>
  </si>
  <si>
    <t>Spring deprivation 80%</t>
  </si>
  <si>
    <t>AX06Y</t>
  </si>
  <si>
    <t>SUMMERFIELD PRIMARY SCHOOL (from Autumn - new DFE number)</t>
  </si>
  <si>
    <t>Total number of schools this term</t>
  </si>
  <si>
    <t>Deducted stetchford as not paid EYSFF Summer</t>
  </si>
  <si>
    <t>Maryvale</t>
  </si>
  <si>
    <t>On Cash sheet</t>
  </si>
  <si>
    <t>Summer Term</t>
  </si>
  <si>
    <t>Estimated</t>
  </si>
  <si>
    <t>Actuals</t>
  </si>
  <si>
    <t>Actuals/Estimated Funding Paid to School</t>
  </si>
  <si>
    <t xml:space="preserve">DAF </t>
  </si>
  <si>
    <t xml:space="preserve">DAF Per Pupil Yearly Rate </t>
  </si>
  <si>
    <t xml:space="preserve">This the main sheet of this working paper which summarises the multiple elements DSG Early Years National Funding for each individual EY provider. </t>
  </si>
  <si>
    <t>The supporting data and calculations for each element of the formula are contained and linked to the individual worksheets in this working paper.</t>
  </si>
  <si>
    <t>Summer payment</t>
  </si>
  <si>
    <t>£</t>
  </si>
  <si>
    <t>BCC's EY Povider ID</t>
  </si>
  <si>
    <t>Notes</t>
  </si>
  <si>
    <t>Universal 15h for 3&amp;4YOs</t>
  </si>
  <si>
    <t>Additional 15h for 3&amp;4YOs</t>
  </si>
  <si>
    <t>15h for 2YOs</t>
  </si>
  <si>
    <t>Under 2's</t>
  </si>
  <si>
    <t>Deprivation supplement</t>
  </si>
  <si>
    <t>EYPP (including LAC)</t>
  </si>
  <si>
    <t>Flexible adjustments 2 Yr Olds to pay</t>
  </si>
  <si>
    <t>Flexible adjustments 3 &amp; 4 Yr Olds to pay</t>
  </si>
  <si>
    <t>Total payable</t>
  </si>
  <si>
    <t>Total Paid 80%</t>
  </si>
  <si>
    <t>Total Outstanding</t>
  </si>
  <si>
    <t>Primary School</t>
  </si>
  <si>
    <t>Y</t>
  </si>
  <si>
    <t>B6 5NH</t>
  </si>
  <si>
    <t>B26 3XE</t>
  </si>
  <si>
    <t>B14 7AJ</t>
  </si>
  <si>
    <t>B8 3AN</t>
  </si>
  <si>
    <t>B13 0SF</t>
  </si>
  <si>
    <t>B16 0EF</t>
  </si>
  <si>
    <t>B21 0RE</t>
  </si>
  <si>
    <t>B14 5RY</t>
  </si>
  <si>
    <t>B27 7UQ</t>
  </si>
  <si>
    <t>B29 5TG</t>
  </si>
  <si>
    <t>B24 9SR</t>
  </si>
  <si>
    <t>B9 5XX</t>
  </si>
  <si>
    <t>B24 8JJ</t>
  </si>
  <si>
    <t>B23 7PX</t>
  </si>
  <si>
    <t>B8 3HG</t>
  </si>
  <si>
    <t>B20 3AA</t>
  </si>
  <si>
    <t>B20 2LB</t>
  </si>
  <si>
    <t>B14 6AJ</t>
  </si>
  <si>
    <t>B30 2HT</t>
  </si>
  <si>
    <t>B12 9QS</t>
  </si>
  <si>
    <t>B12 9ED</t>
  </si>
  <si>
    <t>B33 0DH</t>
  </si>
  <si>
    <t>B7 5NS</t>
  </si>
  <si>
    <t>B7 5BA</t>
  </si>
  <si>
    <t>B12 8BL</t>
  </si>
  <si>
    <t>B10 0NJ</t>
  </si>
  <si>
    <t>B27 7BT</t>
  </si>
  <si>
    <t>B42 1QR</t>
  </si>
  <si>
    <t>B18 4AH</t>
  </si>
  <si>
    <t>B44 0DT</t>
  </si>
  <si>
    <t>B11 1EH</t>
  </si>
  <si>
    <t>B13 0ES</t>
  </si>
  <si>
    <t>B44 0JL</t>
  </si>
  <si>
    <t>B13 8QP</t>
  </si>
  <si>
    <t>B26 1EH</t>
  </si>
  <si>
    <t>B11 1NS</t>
  </si>
  <si>
    <t>B11 3ND</t>
  </si>
  <si>
    <t>B28 0AR</t>
  </si>
  <si>
    <t>B33 9RD</t>
  </si>
  <si>
    <t>B23 5AJ</t>
  </si>
  <si>
    <t>B36 8QJ</t>
  </si>
  <si>
    <t>B44 8QR</t>
  </si>
  <si>
    <t>B31 5QD</t>
  </si>
  <si>
    <t>B33 0XD</t>
  </si>
  <si>
    <t>B23 5JP</t>
  </si>
  <si>
    <t>B8 2RA</t>
  </si>
  <si>
    <t>B32 1PJ</t>
  </si>
  <si>
    <t>B25 8FD</t>
  </si>
  <si>
    <t>B44 9PU</t>
  </si>
  <si>
    <t>B28 8RY</t>
  </si>
  <si>
    <t>B38 9TR</t>
  </si>
  <si>
    <t>B11 3PJ</t>
  </si>
  <si>
    <t>B19 2EP</t>
  </si>
  <si>
    <t>B10 9NY</t>
  </si>
  <si>
    <t>B32 2DL</t>
  </si>
  <si>
    <t>B20 1ND</t>
  </si>
  <si>
    <t>B18 4LP</t>
  </si>
  <si>
    <t>B1 2PJ</t>
  </si>
  <si>
    <t>B9 5UN</t>
  </si>
  <si>
    <t>B9 5BG</t>
  </si>
  <si>
    <t>B24 0JP</t>
  </si>
  <si>
    <t>B13 8BB</t>
  </si>
  <si>
    <t>B29 5QB</t>
  </si>
  <si>
    <t>B29 7TD</t>
  </si>
  <si>
    <t>B45 8QY</t>
  </si>
  <si>
    <t>B6 5UQ</t>
  </si>
  <si>
    <t>B27 7HR</t>
  </si>
  <si>
    <t>B12 0YN</t>
  </si>
  <si>
    <t>B9 4NG</t>
  </si>
  <si>
    <t>B10 9EN</t>
  </si>
  <si>
    <t>B26 3YN</t>
  </si>
  <si>
    <t>B6 6RX</t>
  </si>
  <si>
    <t>B10 9DP</t>
  </si>
  <si>
    <t>B33 8SJ</t>
  </si>
  <si>
    <t>B34 6BJ</t>
  </si>
  <si>
    <t>B6 6AJ</t>
  </si>
  <si>
    <t>B23 7NB</t>
  </si>
  <si>
    <t>B30 2JL</t>
  </si>
  <si>
    <t>B11 1QT</t>
  </si>
  <si>
    <t>B23 5NS</t>
  </si>
  <si>
    <t>B16 0HL</t>
  </si>
  <si>
    <t>B34 7RL</t>
  </si>
  <si>
    <t>B18 6PU</t>
  </si>
  <si>
    <t>Oasis Academy Benson</t>
  </si>
  <si>
    <t>Oasis Academy Wattville</t>
  </si>
  <si>
    <t>B73 6UE</t>
  </si>
  <si>
    <t>B14 4ER</t>
  </si>
  <si>
    <t>B28 8BB</t>
  </si>
  <si>
    <t>B30 3QJ</t>
  </si>
  <si>
    <t>B31 1PT</t>
  </si>
  <si>
    <t>B32 2NG</t>
  </si>
  <si>
    <t>B31 1TX</t>
  </si>
  <si>
    <t>B28 0PB</t>
  </si>
  <si>
    <t>B21 9NT</t>
  </si>
  <si>
    <t>B27 6LG</t>
  </si>
  <si>
    <t>B11 4SF</t>
  </si>
  <si>
    <t>B20 2BL</t>
  </si>
  <si>
    <t>B19 1HJ</t>
  </si>
  <si>
    <t>B32 2SA</t>
  </si>
  <si>
    <t>B73 5SD</t>
  </si>
  <si>
    <t>B72 1RE</t>
  </si>
  <si>
    <t>This has a different number</t>
  </si>
  <si>
    <t>B34 7PY</t>
  </si>
  <si>
    <t>B18 5TD</t>
  </si>
  <si>
    <t>B44 0BX</t>
  </si>
  <si>
    <t>B6 5BE</t>
  </si>
  <si>
    <t>B33 8JG</t>
  </si>
  <si>
    <t>B44 0NR</t>
  </si>
  <si>
    <t>B44 8NT</t>
  </si>
  <si>
    <t>B8 2YH</t>
  </si>
  <si>
    <t>B33 0PJ</t>
  </si>
  <si>
    <t>B34 6NB</t>
  </si>
  <si>
    <t>B12 8EH</t>
  </si>
  <si>
    <t>B8 3AX</t>
  </si>
  <si>
    <t>B28 9PP</t>
  </si>
  <si>
    <t>B75 5BL</t>
  </si>
  <si>
    <t>B42 2BY</t>
  </si>
  <si>
    <t>B21 9HB</t>
  </si>
  <si>
    <t>B20 3PN</t>
  </si>
  <si>
    <t>B75 6BL</t>
  </si>
  <si>
    <t>B19 1RA</t>
  </si>
  <si>
    <t>B31 3EH</t>
  </si>
  <si>
    <t>B21 9PY</t>
  </si>
  <si>
    <t>B21 0DP</t>
  </si>
  <si>
    <t>B45 0JS</t>
  </si>
  <si>
    <t>B11 1LF</t>
  </si>
  <si>
    <t>B20 2RW</t>
  </si>
  <si>
    <t>B24 9BY</t>
  </si>
  <si>
    <t>B11 4EA</t>
  </si>
  <si>
    <t>B7 4HP</t>
  </si>
  <si>
    <t>B32 3JS</t>
  </si>
  <si>
    <t>B15 2AT</t>
  </si>
  <si>
    <t>B10 0HT</t>
  </si>
  <si>
    <t>B44 0QN</t>
  </si>
  <si>
    <t>B44 9AG</t>
  </si>
  <si>
    <t>B16 9ER</t>
  </si>
  <si>
    <t>B8 3SF</t>
  </si>
  <si>
    <t>B13 0EU</t>
  </si>
  <si>
    <t>B21 8ED</t>
  </si>
  <si>
    <t>B31 5AB</t>
  </si>
  <si>
    <t>B15 2AY</t>
  </si>
  <si>
    <t>B18 7PA</t>
  </si>
  <si>
    <t>B29 5DY</t>
  </si>
  <si>
    <t>B13 8EY</t>
  </si>
  <si>
    <t>B36 8LY</t>
  </si>
  <si>
    <t>B23 7AB</t>
  </si>
  <si>
    <t>B14 7LP</t>
  </si>
  <si>
    <t>B38 9JB</t>
  </si>
  <si>
    <t>B35 6LB</t>
  </si>
  <si>
    <t>B25 8QL</t>
  </si>
  <si>
    <t>B14 5PD</t>
  </si>
  <si>
    <t>B8 2PS</t>
  </si>
  <si>
    <t>B20 3RT</t>
  </si>
  <si>
    <t>B45 0EU</t>
  </si>
  <si>
    <t>B33 9HY</t>
  </si>
  <si>
    <t>B17 0BE</t>
  </si>
  <si>
    <t>B73 6QR</t>
  </si>
  <si>
    <t>B12 8NX</t>
  </si>
  <si>
    <t>B31 4RD</t>
  </si>
  <si>
    <t>B38 9DE</t>
  </si>
  <si>
    <t>B10 0HJ</t>
  </si>
  <si>
    <t>B10 9BT</t>
  </si>
  <si>
    <t>Used to have different ID Number</t>
  </si>
  <si>
    <t>Notes : Check academy and postcode</t>
  </si>
  <si>
    <t>Maintained</t>
  </si>
  <si>
    <t>Mainted Split</t>
  </si>
  <si>
    <t>0</t>
  </si>
  <si>
    <t>weeks</t>
  </si>
  <si>
    <t>Amount per hour 2025/26</t>
  </si>
  <si>
    <t>80% Payment</t>
  </si>
  <si>
    <t>Cash Adjustment</t>
  </si>
  <si>
    <t>Cells highlighted in the colour lemon will need to be populated when completing the calculator.</t>
  </si>
  <si>
    <t>Cells highlighted in the colour light blue are either pre-populated or will populate from other places in the calculator.</t>
  </si>
  <si>
    <t>In cell D6, select your school name</t>
  </si>
  <si>
    <t>Factor</t>
  </si>
  <si>
    <t>Column D - H are pre-populated by Schools Finance. It is the indicative budget for 2025-26.</t>
  </si>
  <si>
    <t>To calculate real term funding, populate cells highlighted lemon (column L - N)</t>
  </si>
  <si>
    <t>Difference in hours</t>
  </si>
  <si>
    <t>Difference in £</t>
  </si>
  <si>
    <t>Actuals for Schools</t>
  </si>
  <si>
    <t>EY Calculator Tool</t>
  </si>
  <si>
    <t>2025/26 Early Years Funding Calculator Tool</t>
  </si>
  <si>
    <t>2025/26 Early Years Funding Calculations</t>
  </si>
  <si>
    <t>TAB</t>
  </si>
  <si>
    <t>Actuals Calculations per term</t>
  </si>
  <si>
    <t>Indicative Budget Notified by LA</t>
  </si>
  <si>
    <t xml:space="preserve">Actuals no of hours as per the census data received </t>
  </si>
  <si>
    <t xml:space="preserve">Actual funding as per the census data received </t>
  </si>
  <si>
    <t>EY Funding Notification</t>
  </si>
  <si>
    <t>Maintained Nursery Supplementary</t>
  </si>
  <si>
    <t>Yearly</t>
  </si>
  <si>
    <t>Hourly / Per Pupil Rates</t>
  </si>
  <si>
    <t>Per Pupil Rate</t>
  </si>
  <si>
    <t>Hourly Rate</t>
  </si>
  <si>
    <t>Calculator for Schools</t>
  </si>
  <si>
    <t>Difference between LA and School Calculation</t>
  </si>
  <si>
    <t>Rows 18 to 19 calculates the 80% of termly indicative payment the school should expected to receive at the beginning of each term.
Rows 33 to 44 calculates the cash adjustment the school should expect to receive based on the difference between the 80% termly indicative paid to the school and the actual calculated funding for the term.</t>
  </si>
  <si>
    <t>Column L - N will be updated and pre-populated by Schools Finance based on actual census data
Column O, row 47 reflects the actuals calculated for the school at that moment in time.</t>
  </si>
  <si>
    <t>Column D - H will be updated and pre-populated by Schools Finance based on actual census data
Column H, row 47 reflects the actuals calculated for the school at that moment in time.</t>
  </si>
  <si>
    <t>FOR SCHOOL USE</t>
  </si>
  <si>
    <t xml:space="preserve">Per week data </t>
  </si>
  <si>
    <t xml:space="preserve">Pupil number </t>
  </si>
  <si>
    <t>Hours</t>
  </si>
  <si>
    <t>Under 2</t>
  </si>
  <si>
    <t xml:space="preserve">Universal </t>
  </si>
  <si>
    <t xml:space="preserve">Extended </t>
  </si>
  <si>
    <t>3 years  uni</t>
  </si>
  <si>
    <t>4 years uni</t>
  </si>
  <si>
    <t>Total 2 years</t>
  </si>
  <si>
    <t>Total 3-4 years</t>
  </si>
  <si>
    <t xml:space="preserve">3-4 years extended </t>
  </si>
  <si>
    <t xml:space="preserve">Total 3-4  universal </t>
  </si>
  <si>
    <t xml:space="preserve">2 years extended </t>
  </si>
  <si>
    <t xml:space="preserve">Total 2 years </t>
  </si>
  <si>
    <t>DfE</t>
  </si>
  <si>
    <t>Number U2</t>
  </si>
  <si>
    <t>Number 2D</t>
  </si>
  <si>
    <t>Number 2W</t>
  </si>
  <si>
    <t>Number 3</t>
  </si>
  <si>
    <t>Number 4</t>
  </si>
  <si>
    <t>Number 2</t>
  </si>
  <si>
    <t>Number 3 &amp; 4</t>
  </si>
  <si>
    <t>No of Pupils Extended Hours 3</t>
  </si>
  <si>
    <t>No of Pupils Extended Hours 4</t>
  </si>
  <si>
    <t>Total Pupils Extended Hours</t>
  </si>
  <si>
    <t>Universal U2</t>
  </si>
  <si>
    <t>Universal Hours 2D</t>
  </si>
  <si>
    <t>Universal Hours 3</t>
  </si>
  <si>
    <t>Universal Hours 4</t>
  </si>
  <si>
    <t>Universal Hours 3 &amp; 4</t>
  </si>
  <si>
    <t>Extended Hours 2W</t>
  </si>
  <si>
    <t>Hours 2</t>
  </si>
  <si>
    <t>Extended Hours 3</t>
  </si>
  <si>
    <t>Extended Hours 4</t>
  </si>
  <si>
    <t>Total Extended 3&amp;4</t>
  </si>
  <si>
    <t>Number of Pupils 5%</t>
  </si>
  <si>
    <t>5% Universal Hours</t>
  </si>
  <si>
    <t>5% Extended Hours</t>
  </si>
  <si>
    <t>Number of Pupils 10%</t>
  </si>
  <si>
    <t>10% Universal Hours</t>
  </si>
  <si>
    <t>10% Extended Hours</t>
  </si>
  <si>
    <t>Number of Pupils 20%</t>
  </si>
  <si>
    <t>20% Universal Hours</t>
  </si>
  <si>
    <t>20% Extended Hours</t>
  </si>
  <si>
    <t>Number of Pupils EYPP 2</t>
  </si>
  <si>
    <t>EYPP Universal Hours 2</t>
  </si>
  <si>
    <t>EYPP Extended Hours 2</t>
  </si>
  <si>
    <t>Number of Pupils EYPP 3 &amp; 4</t>
  </si>
  <si>
    <t>EYPP Universal Hours 3 &amp; 4</t>
  </si>
  <si>
    <t>EYPP Extended Hours 3 &amp; 4</t>
  </si>
  <si>
    <t>Number of Pupils EYPP</t>
  </si>
  <si>
    <t>EYPP Universal Hours</t>
  </si>
  <si>
    <t>EYPP Extended Hours</t>
  </si>
  <si>
    <t>EYPP (2 yr LAC)</t>
  </si>
  <si>
    <t>Total EYPP   (To Pay inc LAC)</t>
  </si>
  <si>
    <t>Number of Pupils FSM 2</t>
  </si>
  <si>
    <t>FSM Universal Hours 2</t>
  </si>
  <si>
    <t>FSM Extended Hours 2</t>
  </si>
  <si>
    <t>Number of Pupils FSM 3 &amp; 4</t>
  </si>
  <si>
    <t>FSM Universal Hours 3 &amp; 4</t>
  </si>
  <si>
    <t>FSM Extended Hours 3 &amp; 4</t>
  </si>
  <si>
    <t>Number of Pupils FSM</t>
  </si>
  <si>
    <t>FSM Universal Hours</t>
  </si>
  <si>
    <t>FSM Extended Hours</t>
  </si>
  <si>
    <t>FSM (LAC)</t>
  </si>
  <si>
    <t>Total FSM Pupil (To Pay inc LAC)</t>
  </si>
  <si>
    <t>Number of Pupils DAF 2</t>
  </si>
  <si>
    <t>Number of Pupils DAF 3 &amp; 4</t>
  </si>
  <si>
    <t>Number of Pupils DAF</t>
  </si>
  <si>
    <t>Flexible Funding Adjustments 2 Year olds                        (Hrs to Pay)</t>
  </si>
  <si>
    <t>Flexible Funding Adjustments 3&amp;4 Year olds        (HRs to Pay)</t>
  </si>
  <si>
    <t>Flexible Funding EYPP  (AmountTo Pay)</t>
  </si>
  <si>
    <t>Flexible funding FSM           (Amount to pay)</t>
  </si>
  <si>
    <t>Flexible Funding 5% Dep (Amount to Pay)</t>
  </si>
  <si>
    <t>Flexible Funding 10% Dep (Amount To Pay)</t>
  </si>
  <si>
    <t>Flexible Funding 20% Dep (Amount To Pay)</t>
  </si>
  <si>
    <t xml:space="preserve">2 year old hours </t>
  </si>
  <si>
    <t xml:space="preserve">3-4 years universal hours </t>
  </si>
  <si>
    <t xml:space="preserve">3-4 extended hours </t>
  </si>
  <si>
    <t>EYPP</t>
  </si>
  <si>
    <t>Prince Albert Primary School</t>
  </si>
  <si>
    <t>Paganel Primary School</t>
  </si>
  <si>
    <t>Erdington Hall Primary</t>
  </si>
  <si>
    <t>The Oaklands Primary</t>
  </si>
  <si>
    <t>Warren Farm Primary School</t>
  </si>
  <si>
    <t>Yarnfield Primary</t>
  </si>
  <si>
    <t>Birches Green Primary School</t>
  </si>
  <si>
    <t>SUMMERFIELD PRIMARY SCHOOL</t>
  </si>
  <si>
    <t>Cottesbrooke Infant and Nursery School</t>
  </si>
  <si>
    <t>St Barnabas C of E Primary School</t>
  </si>
  <si>
    <t>St John's CofE Primary School</t>
  </si>
  <si>
    <t>St Thomas Church of England Primary School</t>
  </si>
  <si>
    <t>Rosary Catholic Primary School</t>
  </si>
  <si>
    <t>St Margaret Mary RC Primary School</t>
  </si>
  <si>
    <t>St. Cuthbert's Catholic Primary School</t>
  </si>
  <si>
    <t>Uffculme School</t>
  </si>
  <si>
    <t>2024/25 Schools Early Years Indicative</t>
  </si>
  <si>
    <t>CFR</t>
  </si>
  <si>
    <t>I01</t>
  </si>
  <si>
    <t>I03</t>
  </si>
  <si>
    <t>Link to Backup</t>
  </si>
  <si>
    <t>SUMMER ACTUALS</t>
  </si>
  <si>
    <t>Early Years Indicatives 25/26</t>
  </si>
  <si>
    <t>ACTUALS</t>
  </si>
  <si>
    <t>ADJUSTMENT TO INDICATIVE</t>
  </si>
  <si>
    <t>ACTUAL FUNDING ADJUSTMENT</t>
  </si>
  <si>
    <t>Total Allocated (Full Year)</t>
  </si>
  <si>
    <t>MNS Supplementary Funding</t>
  </si>
  <si>
    <t>Under 2's Funding</t>
  </si>
  <si>
    <t>80% Summer Payment</t>
  </si>
  <si>
    <t>80% Autumn Payment</t>
  </si>
  <si>
    <t>Free School Meals Funding Spring</t>
  </si>
  <si>
    <t>80% Spring Payment</t>
  </si>
  <si>
    <t>Summer Deprivation</t>
  </si>
  <si>
    <t>Autumn Deprivation</t>
  </si>
  <si>
    <t>Spring Deprivation</t>
  </si>
  <si>
    <t>MNS Supplementary Funding ACTUALS</t>
  </si>
  <si>
    <t>MNS ADJUSTMENT</t>
  </si>
  <si>
    <t>Deprivation</t>
  </si>
  <si>
    <t>Total Delegated Actual Funding Summer 2025/26</t>
  </si>
  <si>
    <t>Total Delegated Indicative Adjustment to Actuals Funding Summer 2025/26</t>
  </si>
  <si>
    <t>Total Delegated Adjustment Payment Funding Summer 2025/26</t>
  </si>
  <si>
    <t>AX085</t>
  </si>
  <si>
    <t>Adderley Primary School</t>
  </si>
  <si>
    <t>AX002</t>
  </si>
  <si>
    <t>Al-Furqan Primary School</t>
  </si>
  <si>
    <t>AX004</t>
  </si>
  <si>
    <t>Allens Croft Primary School</t>
  </si>
  <si>
    <t>AX00E</t>
  </si>
  <si>
    <t>Baskerville School</t>
  </si>
  <si>
    <t>Special</t>
  </si>
  <si>
    <t>AX04L</t>
  </si>
  <si>
    <t>Beeches Infant School</t>
  </si>
  <si>
    <t>AX04M</t>
  </si>
  <si>
    <t>Beeches Junior School</t>
  </si>
  <si>
    <t>AX00H</t>
  </si>
  <si>
    <t>Bellfield Junior School</t>
  </si>
  <si>
    <t>AX08C</t>
  </si>
  <si>
    <t>Bishop Challoner Catholic College</t>
  </si>
  <si>
    <t>Secondary</t>
  </si>
  <si>
    <t>AX00T</t>
  </si>
  <si>
    <t>Boldmere Junior School</t>
  </si>
  <si>
    <t>AX08J</t>
  </si>
  <si>
    <t>Bordesley Green Girls' School &amp; Sixth Form</t>
  </si>
  <si>
    <t>AX00X</t>
  </si>
  <si>
    <t>Bournville Village Primary</t>
  </si>
  <si>
    <t>AX00Y</t>
  </si>
  <si>
    <t>Braidwood School for the Deaf</t>
  </si>
  <si>
    <t>AX010</t>
  </si>
  <si>
    <t>Broadmeadow Junior School</t>
  </si>
  <si>
    <t>AX08U</t>
  </si>
  <si>
    <t>Cardinal Wiseman Catholic School</t>
  </si>
  <si>
    <t>AX015</t>
  </si>
  <si>
    <t>Chad Vale Primary School</t>
  </si>
  <si>
    <t>AX017</t>
  </si>
  <si>
    <t>Cherry Oak School</t>
  </si>
  <si>
    <t>AX073</t>
  </si>
  <si>
    <t>City of Birmingham School</t>
  </si>
  <si>
    <t>Pupil referral unit</t>
  </si>
  <si>
    <t>AX01D</t>
  </si>
  <si>
    <t>Cofton Primary School</t>
  </si>
  <si>
    <t>AX091</t>
  </si>
  <si>
    <t>Colmers School and Sixth Form College</t>
  </si>
  <si>
    <t>AX093</t>
  </si>
  <si>
    <t>Colmore Junior School</t>
  </si>
  <si>
    <t>AX01H</t>
  </si>
  <si>
    <t>Corpus Christi Catholic Primary School</t>
  </si>
  <si>
    <t>AX01T</t>
  </si>
  <si>
    <t>English Martyrs' Catholic Primary School</t>
  </si>
  <si>
    <t>AX01W</t>
  </si>
  <si>
    <t>Featherstone Primary School</t>
  </si>
  <si>
    <t>AX020</t>
  </si>
  <si>
    <t>Four Oaks Primary School</t>
  </si>
  <si>
    <t>AX021</t>
  </si>
  <si>
    <t>Fox Hollies School</t>
  </si>
  <si>
    <t>AX026</t>
  </si>
  <si>
    <t>Gilbertstone Primary School</t>
  </si>
  <si>
    <t>AX027</t>
  </si>
  <si>
    <t>Glenmead Primary School</t>
  </si>
  <si>
    <t>AX02C</t>
  </si>
  <si>
    <t>Grendon Primary School</t>
  </si>
  <si>
    <t>AX02H</t>
  </si>
  <si>
    <t>Hall Green Junior School</t>
  </si>
  <si>
    <t>AX02K</t>
  </si>
  <si>
    <t>Hamilton School</t>
  </si>
  <si>
    <t>AX0A1</t>
  </si>
  <si>
    <t>Hodge Hill College</t>
  </si>
  <si>
    <t>AX0A2</t>
  </si>
  <si>
    <t>Hodge Hill Girls' School</t>
  </si>
  <si>
    <t>AX0A4</t>
  </si>
  <si>
    <t>Holte School</t>
  </si>
  <si>
    <t>AX036</t>
  </si>
  <si>
    <t>Kings Heath Secondary School</t>
  </si>
  <si>
    <t>AX03D</t>
  </si>
  <si>
    <t>Kitwell Primary School</t>
  </si>
  <si>
    <t>AX03K</t>
  </si>
  <si>
    <t>Lindsworth School</t>
  </si>
  <si>
    <t>AX03L</t>
  </si>
  <si>
    <t>Little Sutton Primary School</t>
  </si>
  <si>
    <t>AX03M</t>
  </si>
  <si>
    <t>Longwill Primary School for Deaf Children</t>
  </si>
  <si>
    <t>AX03N</t>
  </si>
  <si>
    <t>Lyndon Green Infant School</t>
  </si>
  <si>
    <t>AX03P</t>
  </si>
  <si>
    <t>Lyndon Green Junior School</t>
  </si>
  <si>
    <t>AX03Q</t>
  </si>
  <si>
    <t>Maney Hill Primary School</t>
  </si>
  <si>
    <t>AX03V</t>
  </si>
  <si>
    <t>Marsh Hill Primary School</t>
  </si>
  <si>
    <t>AX040</t>
  </si>
  <si>
    <t>Minworth Junior and Infant School</t>
  </si>
  <si>
    <t>AX041</t>
  </si>
  <si>
    <t>Moor Hall Primary School</t>
  </si>
  <si>
    <t>AX042</t>
  </si>
  <si>
    <t>Moseley Church of England Primary School</t>
  </si>
  <si>
    <t>AX0AW</t>
  </si>
  <si>
    <t>Moseley School and Sixth Form</t>
  </si>
  <si>
    <t>AX045</t>
  </si>
  <si>
    <t>New Hall Primary School</t>
  </si>
  <si>
    <t>AX04C</t>
  </si>
  <si>
    <t>Oscott Manor School</t>
  </si>
  <si>
    <t>AX0BD</t>
  </si>
  <si>
    <t>Queensbridge School</t>
  </si>
  <si>
    <t>AX04W</t>
  </si>
  <si>
    <t>Redhill Primary School</t>
  </si>
  <si>
    <t>AX04Y</t>
  </si>
  <si>
    <t>Rednal Hill Junior School</t>
  </si>
  <si>
    <t>AX0BK</t>
  </si>
  <si>
    <t>Selly Oak Trust School</t>
  </si>
  <si>
    <t>AX0BL</t>
  </si>
  <si>
    <t>Selly Park Girls' School</t>
  </si>
  <si>
    <t>AX0BR</t>
  </si>
  <si>
    <t>Sladefield Infant School</t>
  </si>
  <si>
    <t>AX05A</t>
  </si>
  <si>
    <t>Springfield House Community Special School</t>
  </si>
  <si>
    <t>AX061</t>
  </si>
  <si>
    <t>SS John &amp; Monica Catholic Primary School</t>
  </si>
  <si>
    <t>AX05C</t>
  </si>
  <si>
    <t>St Alban's Catholic Primary School</t>
  </si>
  <si>
    <t>AX05E</t>
  </si>
  <si>
    <t>St Anne's Catholic Primary School</t>
  </si>
  <si>
    <t>AX05H</t>
  </si>
  <si>
    <t>St Benedict's Primary School</t>
  </si>
  <si>
    <t>AX05K</t>
  </si>
  <si>
    <t>St Bernard's Catholic Primary School</t>
  </si>
  <si>
    <t>AX05U</t>
  </si>
  <si>
    <t>St Edward's Catholic Primary School</t>
  </si>
  <si>
    <t>AX05Z</t>
  </si>
  <si>
    <t>St James Church of England Primary School, Handsworth</t>
  </si>
  <si>
    <t>AX063</t>
  </si>
  <si>
    <t>St John Wall Catholic School</t>
  </si>
  <si>
    <t>AX067</t>
  </si>
  <si>
    <t>St Laurence Church Infant School</t>
  </si>
  <si>
    <t>AX068</t>
  </si>
  <si>
    <t>St Laurence Church Junior School</t>
  </si>
  <si>
    <t>AX06E</t>
  </si>
  <si>
    <t>St Mary's Catholic Primary School</t>
  </si>
  <si>
    <t>AX06D</t>
  </si>
  <si>
    <t>St Mary's Church of England Primary School</t>
  </si>
  <si>
    <t>AX06F</t>
  </si>
  <si>
    <t>St Matthew's CofE Primary School</t>
  </si>
  <si>
    <t>AX0C4</t>
  </si>
  <si>
    <t>St Paul's School for Girls</t>
  </si>
  <si>
    <t>AX06N</t>
  </si>
  <si>
    <t>St Saviour's C of E Primary School</t>
  </si>
  <si>
    <t>Stechford Primary School</t>
  </si>
  <si>
    <t>AX072</t>
  </si>
  <si>
    <t>Sundridge Primary School</t>
  </si>
  <si>
    <t>AX01M</t>
  </si>
  <si>
    <t>The Dame Ellen Pinsent School</t>
  </si>
  <si>
    <t>AX04P</t>
  </si>
  <si>
    <t>AX075</t>
  </si>
  <si>
    <t>Thornton Primary School</t>
  </si>
  <si>
    <t>AX07A</t>
  </si>
  <si>
    <t>AX0CG</t>
  </si>
  <si>
    <t>AX0CJ</t>
  </si>
  <si>
    <t>Walmley Junior School</t>
  </si>
  <si>
    <t>AX07E</t>
  </si>
  <si>
    <t>Water Mill Primary School</t>
  </si>
  <si>
    <t>AX07N</t>
  </si>
  <si>
    <t>Wheelers Lane Technology College</t>
  </si>
  <si>
    <t>AX07V</t>
  </si>
  <si>
    <t>Woodgate Primary School</t>
  </si>
  <si>
    <t>AX07W</t>
  </si>
  <si>
    <t>Woodthorpe Junior and Infant School</t>
  </si>
  <si>
    <t>AX0CQ</t>
  </si>
  <si>
    <t>World's End Junior School</t>
  </si>
  <si>
    <t>AX07Y</t>
  </si>
  <si>
    <t>Wylde Green Primary School</t>
  </si>
  <si>
    <t>AX080</t>
  </si>
  <si>
    <t>Yardley Primary School</t>
  </si>
  <si>
    <t>AX01G</t>
  </si>
  <si>
    <t>Coppice Primary School</t>
  </si>
  <si>
    <t>AX03G</t>
  </si>
  <si>
    <t>Langley School</t>
  </si>
  <si>
    <t>AX05D</t>
  </si>
  <si>
    <t>St Ambrose Barlow Catholic Primary School</t>
  </si>
  <si>
    <t>AX07U</t>
  </si>
  <si>
    <t>Woodcock Hill Primary School</t>
  </si>
  <si>
    <t>AX00F</t>
  </si>
  <si>
    <t>AX00J</t>
  </si>
  <si>
    <t>Bells Farm Primary School</t>
  </si>
  <si>
    <t>AX00Q</t>
  </si>
  <si>
    <t>Blakesley Hall Primary School</t>
  </si>
  <si>
    <t>AX025</t>
  </si>
  <si>
    <t>George Dixon Primary School</t>
  </si>
  <si>
    <t>AX02F</t>
  </si>
  <si>
    <t>Gunter Primary School</t>
  </si>
  <si>
    <t>AX02L</t>
  </si>
  <si>
    <t>Harborne Primary School</t>
  </si>
  <si>
    <t>AX09P</t>
  </si>
  <si>
    <t>Harper Bell Seventh-Day Adventist School</t>
  </si>
  <si>
    <t>AX02V</t>
  </si>
  <si>
    <t>Hollyfield Primary School</t>
  </si>
  <si>
    <t>AX04K</t>
  </si>
  <si>
    <t>Penns Primary School</t>
  </si>
  <si>
    <t>AX04Q</t>
  </si>
  <si>
    <t>AX05V</t>
  </si>
  <si>
    <t>St Francis Catholic Primary School</t>
  </si>
  <si>
    <t>AX06B</t>
  </si>
  <si>
    <t>St Martin de Porres Catholic Primary School</t>
  </si>
  <si>
    <t>AX06P</t>
  </si>
  <si>
    <t>St Teresa's Catholic Primary School</t>
  </si>
  <si>
    <t>AX03Z</t>
  </si>
  <si>
    <t>The Meadows Primary School</t>
  </si>
  <si>
    <t>AX07L</t>
  </si>
  <si>
    <t>West Heath Primary School</t>
  </si>
  <si>
    <t>Totals</t>
  </si>
  <si>
    <t>FSM full time</t>
  </si>
  <si>
    <t>FSM  universal</t>
  </si>
  <si>
    <t>FSM Ext</t>
  </si>
  <si>
    <t>FSM Part time</t>
  </si>
  <si>
    <t>Actuals paid</t>
  </si>
  <si>
    <t>Actuals should have been paid</t>
  </si>
  <si>
    <t>FSM Universal</t>
  </si>
  <si>
    <t xml:space="preserve">Payments made </t>
  </si>
  <si>
    <t xml:space="preserve">Should have been paid </t>
  </si>
  <si>
    <t>Difference</t>
  </si>
  <si>
    <t>FSM universal</t>
  </si>
  <si>
    <t>Check to Actuals Summer tab</t>
  </si>
  <si>
    <t>Number of Pupils FSM 2 (PT)</t>
  </si>
  <si>
    <t>Number of Pupils FSM 3 &amp; 4 (PT)</t>
  </si>
  <si>
    <t>Number of Pupils FSM 3 &amp; 4 (FT)</t>
  </si>
  <si>
    <t>Total Number of Pupils FSM (2yr, 3&amp;4 yr)</t>
  </si>
  <si>
    <t>Total FSM Universal Hours (2yr, 3&amp;4 yr)</t>
  </si>
  <si>
    <t>Total FSM Extended Hours (2 yr, 3&amp;4 yr)</t>
  </si>
  <si>
    <t>2 year old extended</t>
  </si>
  <si>
    <t>Should have been paid</t>
  </si>
  <si>
    <t>FSM PT</t>
  </si>
  <si>
    <t>FSM FT</t>
  </si>
  <si>
    <t>Diff</t>
  </si>
  <si>
    <t xml:space="preserve">Weekly rate </t>
  </si>
  <si>
    <t>FSM Extended</t>
  </si>
  <si>
    <t>Hourly rate</t>
  </si>
  <si>
    <t>Number of Weeks 2025-26</t>
  </si>
  <si>
    <t>Will only be paid once in a year.Funding can be only claimed by one setting.</t>
  </si>
  <si>
    <t xml:space="preserve">Differences for Summer Term </t>
  </si>
  <si>
    <t>We have identified the difference ,please match these to your records.</t>
  </si>
  <si>
    <t xml:space="preserve">Formula for calculation </t>
  </si>
  <si>
    <t>Revised Calculation</t>
  </si>
  <si>
    <t>Difference between Actuals Paid and Revised Calculation</t>
  </si>
  <si>
    <t>2025/26 Early Years Funding Revised Calculation</t>
  </si>
  <si>
    <t>Yearly rate* Number of eligible pupils</t>
  </si>
  <si>
    <t>Hourly rate* Number of hours per week*Number of week in the term</t>
  </si>
  <si>
    <t>Numbe of eligible pupil* Weekly rate* Number of weeks in the term</t>
  </si>
  <si>
    <t>Calculated by LA on the methodology provided by DfE</t>
  </si>
  <si>
    <t>Chq bk</t>
  </si>
  <si>
    <t>Academy??</t>
  </si>
  <si>
    <t>Hourly rate* Number of hours per week(max 15 hours)*Number of week in the term</t>
  </si>
  <si>
    <t>Guidance Notes for using the Early Years Funding Notification and Calculator Tool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</si>
</sst>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5" formatCode="&quot;£&quot;#,##0;\-&quot;£&quot;#,##0"/>
    <numFmt numFmtId="6" formatCode="&quot;£&quot;#,##0;[Red]\-&quot;£&quot;#,##0"/>
    <numFmt numFmtId="7" formatCode="&quot;£&quot;#,##0.00;\-&quot;£&quot;#,##0.00"/>
    <numFmt numFmtId="8" formatCode="&quot;£&quot;#,##0.00;[Red]\-&quot;£&quot;#,##0.00"/>
    <numFmt numFmtId="44" formatCode="_-&quot;£&quot;* #,##0.00_-;\-&quot;£&quot;* #,##0.00_-;_-&quot;£&quot;* &quot;-&quot;??_-;_-@_-"/>
    <numFmt numFmtId="43" formatCode="_-* #,##0.00_-;\-* #,##0.00_-;_-* &quot;-&quot;??_-;_-@_-"/>
    <numFmt numFmtId="164" formatCode="&quot;£&quot;#,##0.00"/>
    <numFmt numFmtId="165" formatCode="_-* #,##0_-;\-* #,##0_-;_-* &quot;-&quot;??_-;_-@_-"/>
    <numFmt numFmtId="166" formatCode="&quot;£&quot;#,##0"/>
    <numFmt numFmtId="167" formatCode="_-&quot;£&quot;* #,##0_-;\-&quot;£&quot;* #,##0_-;_-&quot;£&quot;* &quot;-&quot;??_-;_-@_-"/>
    <numFmt numFmtId="168" formatCode="#,##0.0_ ;[Red]\-#,##0.0\ "/>
    <numFmt numFmtId="169" formatCode="#,##0.00_ ;[Red]\(#,##0.00\)\ "/>
    <numFmt numFmtId="170" formatCode="#,##0_ ;[Red]\-#,##0\ "/>
    <numFmt numFmtId="171" formatCode="#,##0.0000000000_ ;[Red]\-#,##0.0000000000\ "/>
    <numFmt numFmtId="172" formatCode="#,##0.00000000000_ ;[Red]\-#,##0.00000000000\ "/>
    <numFmt numFmtId="173" formatCode="#,##0.00_ ;[Red]\-#,##0.00\ "/>
    <numFmt numFmtId="174" formatCode="&quot;£&quot;#,##0_);[Red]\(&quot;£&quot;#,##0\)"/>
    <numFmt numFmtId="175" formatCode="#,##0.00_ ;[Red]\(#,##0.00\)"/>
    <numFmt numFmtId="176" formatCode="&quot;£&quot;#,##0.00;[Red]\(&quot;£&quot;#,##0.00\)"/>
  </numFmts>
  <fonts count="57" x14ac:knownFonts="1">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b/>
      <sz val="10"/>
      <color theme="1"/>
      <name val="Arial"/>
      <family val="2"/>
    </font>
    <font>
      <sz val="10"/>
      <color theme="1"/>
      <name val="Arial"/>
      <family val="2"/>
    </font>
    <font>
      <sz val="10"/>
      <color theme="1"/>
      <name val="Aptos Narrow"/>
      <family val="2"/>
      <scheme val="minor"/>
    </font>
    <font>
      <b/>
      <sz val="10"/>
      <color theme="1"/>
      <name val="Aptos Narrow"/>
      <family val="2"/>
      <scheme val="minor"/>
    </font>
    <font>
      <sz val="10"/>
      <color theme="1"/>
      <name val="Aptos Narrow"/>
      <family val="2"/>
    </font>
    <font>
      <b/>
      <sz val="10"/>
      <color theme="1"/>
      <name val="Aptos Narrow"/>
      <family val="2"/>
    </font>
    <font>
      <sz val="10"/>
      <color rgb="FFFF0000"/>
      <name val="Aptos Narrow"/>
      <family val="2"/>
    </font>
    <font>
      <sz val="10"/>
      <name val="Aptos Narrow"/>
      <family val="2"/>
    </font>
    <font>
      <sz val="11"/>
      <color theme="1"/>
      <name val="Aptos Narrow"/>
      <family val="2"/>
    </font>
    <font>
      <b/>
      <sz val="9"/>
      <color indexed="81"/>
      <name val="Tahoma"/>
      <family val="2"/>
    </font>
    <font>
      <sz val="9"/>
      <color indexed="81"/>
      <name val="Tahoma"/>
      <family val="2"/>
    </font>
    <font>
      <sz val="12"/>
      <color theme="1"/>
      <name val="Arial"/>
      <family val="2"/>
    </font>
    <font>
      <sz val="12"/>
      <color rgb="FF16365C"/>
      <name val="Arial"/>
      <family val="2"/>
    </font>
    <font>
      <b/>
      <sz val="14"/>
      <name val="Calibri"/>
      <family val="2"/>
    </font>
    <font>
      <u/>
      <sz val="11"/>
      <color rgb="FF0000FF"/>
      <name val="Calibri"/>
      <family val="2"/>
    </font>
    <font>
      <b/>
      <sz val="16"/>
      <color rgb="FF000000"/>
      <name val="Calibri"/>
      <family val="2"/>
    </font>
    <font>
      <sz val="11"/>
      <color rgb="FF000000"/>
      <name val="Calibri"/>
      <family val="2"/>
    </font>
    <font>
      <sz val="12"/>
      <color rgb="FF000000"/>
      <name val="Calibri"/>
      <family val="2"/>
    </font>
    <font>
      <sz val="10"/>
      <name val="Arial"/>
      <family val="2"/>
    </font>
    <font>
      <b/>
      <sz val="10"/>
      <color rgb="FF0B0B0B"/>
      <name val="Arial"/>
      <family val="2"/>
    </font>
    <font>
      <sz val="10"/>
      <color rgb="FF0B0C0C"/>
      <name val="Arial"/>
      <family val="2"/>
    </font>
    <font>
      <sz val="11"/>
      <name val="Arial"/>
      <family val="2"/>
    </font>
    <font>
      <sz val="10"/>
      <color rgb="FF000000"/>
      <name val="Calibri"/>
      <family val="2"/>
    </font>
    <font>
      <b/>
      <sz val="11"/>
      <name val="Arial"/>
      <family val="2"/>
    </font>
    <font>
      <sz val="9"/>
      <color rgb="FF000000"/>
      <name val="Calibri"/>
      <family val="2"/>
    </font>
    <font>
      <b/>
      <sz val="10"/>
      <color rgb="FF000000"/>
      <name val="Arial"/>
      <family val="2"/>
    </font>
    <font>
      <b/>
      <sz val="11"/>
      <color rgb="FF403151"/>
      <name val="Arial"/>
      <family val="2"/>
    </font>
    <font>
      <sz val="10"/>
      <color rgb="FF000000"/>
      <name val="Arial"/>
      <family val="2"/>
    </font>
    <font>
      <b/>
      <sz val="11"/>
      <color rgb="FF000000"/>
      <name val="Calibri"/>
      <family val="2"/>
    </font>
    <font>
      <b/>
      <sz val="11"/>
      <color theme="0"/>
      <name val="Aptos Narrow"/>
      <family val="2"/>
      <scheme val="minor"/>
    </font>
    <font>
      <sz val="11"/>
      <color theme="0"/>
      <name val="Aptos Narrow"/>
      <family val="2"/>
      <scheme val="minor"/>
    </font>
    <font>
      <b/>
      <sz val="10"/>
      <color theme="1"/>
      <name val="Arial"/>
      <family val="2"/>
    </font>
    <font>
      <b/>
      <sz val="14"/>
      <color theme="0"/>
      <name val="Aptos Narrow"/>
      <family val="2"/>
      <scheme val="minor"/>
    </font>
    <font>
      <sz val="14"/>
      <color theme="0"/>
      <name val="Aptos Narrow"/>
      <family val="2"/>
      <scheme val="minor"/>
    </font>
    <font>
      <sz val="8"/>
      <name val="Aptos Narrow"/>
      <family val="2"/>
      <scheme val="minor"/>
    </font>
    <font>
      <b/>
      <sz val="9"/>
      <color theme="1"/>
      <name val="Arial"/>
      <family val="2"/>
    </font>
    <font>
      <b/>
      <sz val="11"/>
      <color theme="1"/>
      <name val="Aptos Narrow"/>
      <family val="2"/>
    </font>
    <font>
      <sz val="9"/>
      <color theme="1"/>
      <name val="Arial"/>
      <family val="2"/>
    </font>
    <font>
      <sz val="8"/>
      <color theme="1"/>
      <name val="Arial"/>
      <family val="2"/>
    </font>
    <font>
      <b/>
      <sz val="11"/>
      <color theme="7" tint="-0.499984740745262"/>
      <name val="Arial"/>
      <family val="2"/>
    </font>
    <font>
      <b/>
      <sz val="10"/>
      <color rgb="FFFF0000"/>
      <name val="Arial"/>
      <family val="2"/>
    </font>
    <font>
      <sz val="12"/>
      <color theme="3" tint="-0.249977111117893"/>
      <name val="Arial"/>
      <family val="2"/>
    </font>
    <font>
      <sz val="12"/>
      <name val="Arial"/>
      <family val="2"/>
    </font>
    <font>
      <b/>
      <sz val="12"/>
      <color theme="1"/>
      <name val="Arial"/>
      <family val="2"/>
    </font>
    <font>
      <sz val="12"/>
      <color theme="1"/>
      <name val="Arial"/>
      <family val="2"/>
    </font>
    <font>
      <b/>
      <sz val="8"/>
      <color theme="1"/>
      <name val="Arial"/>
      <family val="2"/>
    </font>
    <font>
      <b/>
      <sz val="10"/>
      <name val="Arial"/>
      <family val="2"/>
    </font>
    <font>
      <b/>
      <i/>
      <sz val="11"/>
      <color theme="1"/>
      <name val="Arial"/>
      <family val="2"/>
    </font>
    <font>
      <b/>
      <sz val="11"/>
      <name val="Aptos Narrow"/>
      <family val="2"/>
      <scheme val="minor"/>
    </font>
    <font>
      <sz val="11"/>
      <color rgb="FFFF0000"/>
      <name val="Aptos Narrow"/>
      <family val="2"/>
      <scheme val="minor"/>
    </font>
    <font>
      <sz val="10"/>
      <color rgb="FFFF0000"/>
      <name val="Arial"/>
      <family val="2"/>
    </font>
    <font>
      <b/>
      <sz val="14"/>
      <color theme="1"/>
      <name val="Aptos Narrow"/>
      <family val="2"/>
      <scheme val="minor"/>
    </font>
    <font>
      <sz val="11"/>
      <name val="Aptos Narrow"/>
      <family val="2"/>
      <scheme val="minor"/>
    </font>
  </fonts>
  <fills count="4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1"/>
        <bgColor indexed="64"/>
      </patternFill>
    </fill>
    <fill>
      <patternFill patternType="solid">
        <fgColor theme="9" tint="0.59999389629810485"/>
        <bgColor indexed="64"/>
      </patternFill>
    </fill>
    <fill>
      <patternFill patternType="solid">
        <fgColor rgb="FFFFFFFF"/>
        <bgColor rgb="FF000000"/>
      </patternFill>
    </fill>
    <fill>
      <patternFill patternType="solid">
        <fgColor rgb="FFBFC1C3"/>
        <bgColor rgb="FFBFC1C3"/>
      </patternFill>
    </fill>
    <fill>
      <patternFill patternType="solid">
        <fgColor rgb="FFE26B0A"/>
        <bgColor rgb="FF000000"/>
      </patternFill>
    </fill>
    <fill>
      <patternFill patternType="solid">
        <fgColor rgb="FFFCD5B4"/>
        <bgColor rgb="FFBFC1C3"/>
      </patternFill>
    </fill>
    <fill>
      <patternFill patternType="solid">
        <fgColor rgb="FFFABF8F"/>
        <bgColor rgb="FF000000"/>
      </patternFill>
    </fill>
    <fill>
      <patternFill patternType="solid">
        <fgColor rgb="FFCCC0DA"/>
        <bgColor rgb="FF000000"/>
      </patternFill>
    </fill>
    <fill>
      <patternFill patternType="solid">
        <fgColor rgb="FFD9D9D9"/>
        <bgColor rgb="FF000000"/>
      </patternFill>
    </fill>
    <fill>
      <patternFill patternType="solid">
        <fgColor rgb="FFF2F2F2"/>
        <bgColor rgb="FF000000"/>
      </patternFill>
    </fill>
    <fill>
      <patternFill patternType="solid">
        <fgColor theme="9" tint="0.79998168889431442"/>
        <bgColor rgb="FF000000"/>
      </patternFill>
    </fill>
    <fill>
      <patternFill patternType="solid">
        <fgColor rgb="FFD00070"/>
        <bgColor indexed="64"/>
      </patternFill>
    </fill>
    <fill>
      <patternFill patternType="solid">
        <fgColor theme="7" tint="0.59999389629810485"/>
        <bgColor rgb="FF000000"/>
      </patternFill>
    </fill>
    <fill>
      <patternFill patternType="solid">
        <fgColor theme="7" tint="0.59999389629810485"/>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C000"/>
        <bgColor indexed="64"/>
      </patternFill>
    </fill>
    <fill>
      <patternFill patternType="solid">
        <fgColor rgb="FF00B050"/>
        <bgColor indexed="64"/>
      </patternFill>
    </fill>
    <fill>
      <patternFill patternType="solid">
        <fgColor rgb="FF92D050"/>
        <bgColor indexed="64"/>
      </patternFill>
    </fill>
    <fill>
      <patternFill patternType="solid">
        <fgColor rgb="FF56B4CA"/>
        <bgColor indexed="64"/>
      </patternFill>
    </fill>
    <fill>
      <patternFill patternType="solid">
        <fgColor rgb="FFFFFF99"/>
        <bgColor indexed="64"/>
      </patternFill>
    </fill>
    <fill>
      <patternFill patternType="solid">
        <fgColor theme="6" tint="-0.249977111117893"/>
        <bgColor indexed="64"/>
      </patternFill>
    </fill>
    <fill>
      <patternFill patternType="solid">
        <fgColor rgb="FFAFFFFF"/>
        <bgColor indexed="64"/>
      </patternFill>
    </fill>
    <fill>
      <patternFill patternType="solid">
        <fgColor theme="2" tint="-0.249977111117893"/>
        <bgColor indexed="64"/>
      </patternFill>
    </fill>
    <fill>
      <patternFill patternType="solid">
        <fgColor rgb="FFFF0000"/>
        <bgColor indexed="64"/>
      </patternFill>
    </fill>
    <fill>
      <patternFill patternType="solid">
        <fgColor rgb="FFFFFFCC"/>
        <bgColor indexed="64"/>
      </patternFill>
    </fill>
    <fill>
      <patternFill patternType="solid">
        <fgColor rgb="FFCCECFF"/>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8" tint="0.79998168889431442"/>
        <bgColor indexed="64"/>
      </patternFill>
    </fill>
  </fills>
  <borders count="4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thin">
        <color auto="1"/>
      </left>
      <right/>
      <top/>
      <bottom/>
      <diagonal/>
    </border>
    <border>
      <left style="thin">
        <color auto="1"/>
      </left>
      <right style="hair">
        <color auto="1"/>
      </right>
      <top style="hair">
        <color auto="1"/>
      </top>
      <bottom style="hair">
        <color auto="1"/>
      </bottom>
      <diagonal/>
    </border>
    <border>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bottom style="double">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5">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applyNumberFormat="0" applyFill="0" applyBorder="0" applyAlignment="0" applyProtection="0"/>
    <xf numFmtId="0" fontId="5" fillId="0" borderId="0"/>
    <xf numFmtId="0" fontId="15" fillId="0" borderId="0"/>
    <xf numFmtId="0" fontId="1" fillId="0" borderId="0"/>
    <xf numFmtId="0" fontId="1" fillId="0" borderId="0"/>
    <xf numFmtId="0" fontId="22" fillId="0" borderId="0"/>
    <xf numFmtId="43" fontId="15" fillId="0" borderId="0" applyFont="0" applyFill="0" applyBorder="0" applyAlignment="0" applyProtection="0"/>
    <xf numFmtId="0" fontId="22" fillId="0" borderId="0"/>
    <xf numFmtId="0" fontId="1" fillId="0" borderId="0"/>
    <xf numFmtId="0" fontId="5" fillId="0" borderId="0"/>
    <xf numFmtId="0" fontId="15" fillId="0" borderId="0"/>
    <xf numFmtId="44" fontId="15" fillId="0" borderId="0" applyFont="0" applyFill="0" applyBorder="0" applyAlignment="0" applyProtection="0"/>
  </cellStyleXfs>
  <cellXfs count="551">
    <xf numFmtId="0" fontId="0" fillId="0" borderId="0" xfId="0"/>
    <xf numFmtId="0" fontId="0" fillId="2" borderId="0" xfId="0" applyFill="1"/>
    <xf numFmtId="0" fontId="2" fillId="2" borderId="4" xfId="0" applyFont="1" applyFill="1" applyBorder="1"/>
    <xf numFmtId="0" fontId="0" fillId="2" borderId="4" xfId="0" applyFill="1" applyBorder="1"/>
    <xf numFmtId="0" fontId="0" fillId="0" borderId="4" xfId="0" applyBorder="1"/>
    <xf numFmtId="0" fontId="2" fillId="0" borderId="0" xfId="0" applyFont="1"/>
    <xf numFmtId="164" fontId="5" fillId="2" borderId="4" xfId="3" applyNumberFormat="1" applyFont="1" applyFill="1" applyBorder="1" applyAlignment="1" applyProtection="1">
      <alignment horizontal="left" vertical="center"/>
      <protection locked="0"/>
    </xf>
    <xf numFmtId="165" fontId="0" fillId="2" borderId="4" xfId="1" applyNumberFormat="1" applyFont="1" applyFill="1" applyBorder="1"/>
    <xf numFmtId="164" fontId="0" fillId="2" borderId="4" xfId="0" applyNumberFormat="1" applyFill="1" applyBorder="1" applyAlignment="1">
      <alignment horizontal="left" vertical="center"/>
    </xf>
    <xf numFmtId="166" fontId="5" fillId="2" borderId="4" xfId="3" applyNumberFormat="1" applyFont="1" applyFill="1" applyBorder="1" applyAlignment="1" applyProtection="1">
      <alignment horizontal="left" vertical="center"/>
      <protection locked="0"/>
    </xf>
    <xf numFmtId="164" fontId="0" fillId="2" borderId="0" xfId="0" applyNumberFormat="1" applyFill="1"/>
    <xf numFmtId="0" fontId="2" fillId="0" borderId="6" xfId="0" applyFont="1" applyBorder="1" applyAlignment="1">
      <alignment horizontal="center" vertical="top" wrapText="1"/>
    </xf>
    <xf numFmtId="0" fontId="2" fillId="0" borderId="7" xfId="0" applyFont="1" applyBorder="1" applyAlignment="1">
      <alignment horizontal="center" vertical="top"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43" fontId="0" fillId="0" borderId="11" xfId="0" applyNumberFormat="1" applyBorder="1" applyAlignment="1">
      <alignment vertical="center" wrapText="1"/>
    </xf>
    <xf numFmtId="43" fontId="0" fillId="0" borderId="12" xfId="0" applyNumberFormat="1" applyBorder="1" applyAlignment="1">
      <alignment vertical="center" wrapText="1"/>
    </xf>
    <xf numFmtId="0" fontId="0" fillId="0" borderId="13" xfId="0" applyBorder="1"/>
    <xf numFmtId="0" fontId="0" fillId="4" borderId="13" xfId="0" applyFill="1" applyBorder="1"/>
    <xf numFmtId="0" fontId="0" fillId="4" borderId="4" xfId="0" applyFill="1" applyBorder="1"/>
    <xf numFmtId="43" fontId="0" fillId="4" borderId="11" xfId="0" applyNumberFormat="1" applyFill="1" applyBorder="1" applyAlignment="1">
      <alignment vertical="center" wrapText="1"/>
    </xf>
    <xf numFmtId="43" fontId="0" fillId="4" borderId="12" xfId="0" applyNumberFormat="1" applyFill="1" applyBorder="1" applyAlignment="1">
      <alignment vertical="center" wrapText="1"/>
    </xf>
    <xf numFmtId="0" fontId="0" fillId="4" borderId="10" xfId="0" applyFill="1" applyBorder="1"/>
    <xf numFmtId="0" fontId="0" fillId="0" borderId="13" xfId="0" applyBorder="1" applyAlignment="1">
      <alignment vertical="center" wrapText="1"/>
    </xf>
    <xf numFmtId="0" fontId="0" fillId="4" borderId="11" xfId="0" applyFill="1" applyBorder="1"/>
    <xf numFmtId="0" fontId="0" fillId="0" borderId="4" xfId="0" applyBorder="1" applyAlignment="1">
      <alignment vertical="center" wrapText="1"/>
    </xf>
    <xf numFmtId="0" fontId="6" fillId="0" borderId="0" xfId="0" applyFont="1" applyAlignment="1">
      <alignment horizontal="center"/>
    </xf>
    <xf numFmtId="0" fontId="6" fillId="0" borderId="0" xfId="0" applyFont="1"/>
    <xf numFmtId="0" fontId="7" fillId="0" borderId="14" xfId="0" applyFont="1" applyBorder="1"/>
    <xf numFmtId="5" fontId="6" fillId="0" borderId="0" xfId="0" applyNumberFormat="1" applyFont="1"/>
    <xf numFmtId="165" fontId="6" fillId="0" borderId="0" xfId="0" applyNumberFormat="1" applyFont="1" applyAlignment="1">
      <alignment horizontal="center"/>
    </xf>
    <xf numFmtId="6" fontId="6" fillId="0" borderId="0" xfId="0" applyNumberFormat="1" applyFont="1"/>
    <xf numFmtId="165" fontId="7" fillId="5" borderId="0" xfId="1" applyNumberFormat="1" applyFont="1" applyFill="1" applyAlignment="1">
      <alignment horizontal="center"/>
    </xf>
    <xf numFmtId="165" fontId="7" fillId="5" borderId="0" xfId="1" applyNumberFormat="1" applyFont="1" applyFill="1"/>
    <xf numFmtId="44" fontId="7" fillId="5" borderId="0" xfId="2" applyFont="1" applyFill="1"/>
    <xf numFmtId="167" fontId="7" fillId="5" borderId="0" xfId="2" applyNumberFormat="1" applyFont="1" applyFill="1"/>
    <xf numFmtId="165" fontId="7" fillId="0" borderId="0" xfId="1" applyNumberFormat="1" applyFont="1" applyFill="1"/>
    <xf numFmtId="7" fontId="7" fillId="0" borderId="0" xfId="0" applyNumberFormat="1" applyFont="1"/>
    <xf numFmtId="8" fontId="7" fillId="0" borderId="0" xfId="0" applyNumberFormat="1" applyFont="1"/>
    <xf numFmtId="7" fontId="6" fillId="0" borderId="0" xfId="0" applyNumberFormat="1" applyFont="1"/>
    <xf numFmtId="43" fontId="6" fillId="0" borderId="0" xfId="1" applyFont="1" applyAlignment="1">
      <alignment horizontal="center"/>
    </xf>
    <xf numFmtId="0" fontId="6" fillId="6" borderId="0" xfId="0" applyFont="1" applyFill="1"/>
    <xf numFmtId="44" fontId="6" fillId="0" borderId="0" xfId="2" applyFont="1"/>
    <xf numFmtId="0" fontId="7" fillId="0" borderId="0" xfId="0" applyFont="1" applyAlignment="1">
      <alignment horizontal="center" vertical="center" wrapText="1"/>
    </xf>
    <xf numFmtId="0" fontId="7" fillId="0" borderId="0" xfId="0" applyFont="1" applyAlignment="1">
      <alignment horizontal="center" wrapText="1"/>
    </xf>
    <xf numFmtId="5" fontId="7" fillId="0" borderId="0" xfId="0" applyNumberFormat="1" applyFont="1" applyAlignment="1">
      <alignment horizontal="center" wrapText="1"/>
    </xf>
    <xf numFmtId="6" fontId="7" fillId="0" borderId="0" xfId="0" applyNumberFormat="1" applyFont="1" applyAlignment="1">
      <alignment horizontal="center" wrapText="1"/>
    </xf>
    <xf numFmtId="0" fontId="7" fillId="6" borderId="0" xfId="0" applyFont="1" applyFill="1" applyAlignment="1">
      <alignment horizontal="center" wrapText="1"/>
    </xf>
    <xf numFmtId="9" fontId="7" fillId="7" borderId="0" xfId="0" applyNumberFormat="1" applyFont="1" applyFill="1" applyAlignment="1">
      <alignment horizontal="center" wrapText="1"/>
    </xf>
    <xf numFmtId="166" fontId="6" fillId="0" borderId="0" xfId="0" applyNumberFormat="1" applyFont="1"/>
    <xf numFmtId="167" fontId="6" fillId="0" borderId="0" xfId="2" applyNumberFormat="1" applyFont="1" applyAlignment="1">
      <alignment horizontal="center"/>
    </xf>
    <xf numFmtId="166" fontId="6" fillId="6" borderId="0" xfId="0" applyNumberFormat="1" applyFont="1" applyFill="1"/>
    <xf numFmtId="164" fontId="6" fillId="0" borderId="0" xfId="0" applyNumberFormat="1" applyFont="1"/>
    <xf numFmtId="7" fontId="6" fillId="7" borderId="0" xfId="0" applyNumberFormat="1" applyFont="1" applyFill="1"/>
    <xf numFmtId="43" fontId="6" fillId="0" borderId="0" xfId="1" applyFont="1"/>
    <xf numFmtId="43" fontId="6" fillId="0" borderId="0" xfId="0" applyNumberFormat="1" applyFont="1"/>
    <xf numFmtId="1" fontId="6" fillId="0" borderId="0" xfId="0" applyNumberFormat="1" applyFont="1"/>
    <xf numFmtId="0" fontId="6" fillId="8" borderId="0" xfId="0" applyFont="1" applyFill="1"/>
    <xf numFmtId="0" fontId="6" fillId="8" borderId="0" xfId="0" applyFont="1" applyFill="1" applyAlignment="1">
      <alignment horizontal="center"/>
    </xf>
    <xf numFmtId="5" fontId="6" fillId="8" borderId="0" xfId="0" applyNumberFormat="1" applyFont="1" applyFill="1"/>
    <xf numFmtId="6" fontId="6" fillId="8" borderId="0" xfId="0" applyNumberFormat="1" applyFont="1" applyFill="1"/>
    <xf numFmtId="166" fontId="6" fillId="8" borderId="0" xfId="0" applyNumberFormat="1" applyFont="1" applyFill="1"/>
    <xf numFmtId="1" fontId="6" fillId="8" borderId="0" xfId="0" applyNumberFormat="1" applyFont="1" applyFill="1" applyAlignment="1">
      <alignment horizontal="center"/>
    </xf>
    <xf numFmtId="165" fontId="6" fillId="8" borderId="0" xfId="1" applyNumberFormat="1" applyFont="1" applyFill="1"/>
    <xf numFmtId="164" fontId="6" fillId="8" borderId="0" xfId="0" applyNumberFormat="1" applyFont="1" applyFill="1"/>
    <xf numFmtId="0" fontId="7" fillId="0" borderId="0" xfId="0" applyFont="1"/>
    <xf numFmtId="0" fontId="8" fillId="0" borderId="0" xfId="4" applyFont="1"/>
    <xf numFmtId="0" fontId="6" fillId="2" borderId="0" xfId="0" applyFont="1" applyFill="1"/>
    <xf numFmtId="0" fontId="8" fillId="0" borderId="0" xfId="4" applyFont="1" applyAlignment="1">
      <alignment horizontal="center"/>
    </xf>
    <xf numFmtId="0" fontId="9" fillId="0" borderId="0" xfId="4" applyFont="1" applyAlignment="1">
      <alignment horizontal="center"/>
    </xf>
    <xf numFmtId="0" fontId="10" fillId="0" borderId="0" xfId="4" applyFont="1" applyAlignment="1">
      <alignment horizontal="center"/>
    </xf>
    <xf numFmtId="0" fontId="8" fillId="5" borderId="0" xfId="4" applyFont="1" applyFill="1" applyAlignment="1">
      <alignment horizontal="center"/>
    </xf>
    <xf numFmtId="0" fontId="10" fillId="5" borderId="0" xfId="4" applyFont="1" applyFill="1" applyAlignment="1">
      <alignment horizontal="center"/>
    </xf>
    <xf numFmtId="0" fontId="11" fillId="0" borderId="0" xfId="4" applyFont="1" applyAlignment="1">
      <alignment horizontal="center"/>
    </xf>
    <xf numFmtId="0" fontId="12" fillId="0" borderId="0" xfId="0" applyFont="1"/>
    <xf numFmtId="165" fontId="6" fillId="0" borderId="0" xfId="0" applyNumberFormat="1" applyFont="1"/>
    <xf numFmtId="8" fontId="6" fillId="0" borderId="0" xfId="0" applyNumberFormat="1" applyFont="1"/>
    <xf numFmtId="164" fontId="6" fillId="4" borderId="0" xfId="0" applyNumberFormat="1" applyFont="1" applyFill="1"/>
    <xf numFmtId="164" fontId="6" fillId="7" borderId="0" xfId="0" applyNumberFormat="1" applyFont="1" applyFill="1"/>
    <xf numFmtId="164" fontId="6" fillId="0" borderId="0" xfId="1" applyNumberFormat="1" applyFont="1"/>
    <xf numFmtId="167" fontId="7" fillId="5" borderId="0" xfId="2" applyNumberFormat="1" applyFont="1" applyFill="1" applyAlignment="1">
      <alignment horizontal="center"/>
    </xf>
    <xf numFmtId="44" fontId="6" fillId="0" borderId="0" xfId="2" applyFont="1" applyAlignment="1">
      <alignment horizontal="center"/>
    </xf>
    <xf numFmtId="9" fontId="7" fillId="0" borderId="0" xfId="0" applyNumberFormat="1" applyFont="1" applyAlignment="1">
      <alignment horizontal="center" wrapText="1"/>
    </xf>
    <xf numFmtId="1" fontId="6" fillId="0" borderId="0" xfId="0" applyNumberFormat="1" applyFont="1" applyAlignment="1">
      <alignment horizontal="center"/>
    </xf>
    <xf numFmtId="0" fontId="6" fillId="9" borderId="0" xfId="0" applyFont="1" applyFill="1" applyAlignment="1">
      <alignment horizontal="center"/>
    </xf>
    <xf numFmtId="0" fontId="6" fillId="9" borderId="0" xfId="0" applyFont="1" applyFill="1"/>
    <xf numFmtId="1" fontId="6" fillId="9" borderId="0" xfId="0" applyNumberFormat="1" applyFont="1" applyFill="1" applyAlignment="1">
      <alignment horizontal="center"/>
    </xf>
    <xf numFmtId="5" fontId="6" fillId="9" borderId="0" xfId="0" applyNumberFormat="1" applyFont="1" applyFill="1"/>
    <xf numFmtId="164" fontId="6" fillId="9" borderId="0" xfId="0" applyNumberFormat="1" applyFont="1" applyFill="1"/>
    <xf numFmtId="0" fontId="6" fillId="2" borderId="0" xfId="0" applyFont="1" applyFill="1" applyAlignment="1">
      <alignment horizontal="center"/>
    </xf>
    <xf numFmtId="5" fontId="6" fillId="2" borderId="0" xfId="0" applyNumberFormat="1" applyFont="1" applyFill="1"/>
    <xf numFmtId="6" fontId="6" fillId="2" borderId="0" xfId="0" applyNumberFormat="1" applyFont="1" applyFill="1"/>
    <xf numFmtId="166" fontId="6" fillId="2" borderId="0" xfId="0" applyNumberFormat="1" applyFont="1" applyFill="1"/>
    <xf numFmtId="1" fontId="6" fillId="2" borderId="0" xfId="0" applyNumberFormat="1" applyFont="1" applyFill="1" applyAlignment="1">
      <alignment horizontal="center"/>
    </xf>
    <xf numFmtId="165" fontId="6" fillId="2" borderId="0" xfId="1" applyNumberFormat="1" applyFont="1" applyFill="1"/>
    <xf numFmtId="164" fontId="6" fillId="2" borderId="0" xfId="0" applyNumberFormat="1" applyFont="1" applyFill="1"/>
    <xf numFmtId="0" fontId="17" fillId="0" borderId="0" xfId="6" applyFont="1"/>
    <xf numFmtId="0" fontId="17" fillId="10" borderId="0" xfId="7" applyFont="1" applyFill="1"/>
    <xf numFmtId="0" fontId="18" fillId="0" borderId="0" xfId="3" applyFont="1" applyFill="1" applyBorder="1"/>
    <xf numFmtId="0" fontId="19" fillId="0" borderId="0" xfId="6" applyFont="1"/>
    <xf numFmtId="0" fontId="20" fillId="10" borderId="0" xfId="7" applyFont="1" applyFill="1"/>
    <xf numFmtId="0" fontId="21" fillId="0" borderId="0" xfId="6" applyFont="1"/>
    <xf numFmtId="0" fontId="23" fillId="11" borderId="4" xfId="8" applyFont="1" applyFill="1" applyBorder="1" applyAlignment="1" applyProtection="1">
      <alignment horizontal="centerContinuous" vertical="center" wrapText="1"/>
      <protection hidden="1"/>
    </xf>
    <xf numFmtId="0" fontId="20" fillId="0" borderId="0" xfId="6" applyFont="1"/>
    <xf numFmtId="0" fontId="23" fillId="13" borderId="4" xfId="8" applyFont="1" applyFill="1" applyBorder="1" applyAlignment="1" applyProtection="1">
      <alignment horizontal="left" vertical="center"/>
      <protection hidden="1"/>
    </xf>
    <xf numFmtId="0" fontId="23" fillId="13" borderId="4" xfId="8" applyFont="1" applyFill="1" applyBorder="1" applyAlignment="1" applyProtection="1">
      <alignment vertical="center"/>
      <protection hidden="1"/>
    </xf>
    <xf numFmtId="0" fontId="25" fillId="10" borderId="0" xfId="7" applyFont="1" applyFill="1"/>
    <xf numFmtId="0" fontId="26" fillId="10" borderId="0" xfId="7" applyFont="1" applyFill="1"/>
    <xf numFmtId="0" fontId="20" fillId="10" borderId="0" xfId="6" applyFont="1" applyFill="1"/>
    <xf numFmtId="0" fontId="25" fillId="10" borderId="0" xfId="6" applyFont="1" applyFill="1"/>
    <xf numFmtId="0" fontId="27" fillId="0" borderId="4" xfId="6" applyFont="1" applyBorder="1"/>
    <xf numFmtId="0" fontId="25" fillId="0" borderId="4" xfId="6" applyFont="1" applyBorder="1" applyAlignment="1">
      <alignment wrapText="1"/>
    </xf>
    <xf numFmtId="0" fontId="25" fillId="0" borderId="0" xfId="6" applyFont="1"/>
    <xf numFmtId="5" fontId="27" fillId="0" borderId="4" xfId="6" applyNumberFormat="1" applyFont="1" applyBorder="1"/>
    <xf numFmtId="0" fontId="28" fillId="0" borderId="0" xfId="6" applyFont="1" applyAlignment="1">
      <alignment horizontal="center"/>
    </xf>
    <xf numFmtId="0" fontId="28" fillId="10" borderId="0" xfId="6" applyFont="1" applyFill="1" applyAlignment="1">
      <alignment horizontal="center"/>
    </xf>
    <xf numFmtId="0" fontId="26" fillId="10" borderId="0" xfId="6" applyFont="1" applyFill="1"/>
    <xf numFmtId="43" fontId="26" fillId="10" borderId="17" xfId="9" applyFont="1" applyFill="1" applyBorder="1"/>
    <xf numFmtId="43" fontId="26" fillId="10" borderId="0" xfId="6" applyNumberFormat="1" applyFont="1" applyFill="1"/>
    <xf numFmtId="0" fontId="22" fillId="0" borderId="0" xfId="10"/>
    <xf numFmtId="43" fontId="26" fillId="18" borderId="17" xfId="9" applyFont="1" applyFill="1" applyBorder="1"/>
    <xf numFmtId="43" fontId="26" fillId="18" borderId="0" xfId="6" applyNumberFormat="1" applyFont="1" applyFill="1"/>
    <xf numFmtId="0" fontId="20" fillId="18" borderId="0" xfId="7" applyFont="1" applyFill="1"/>
    <xf numFmtId="0" fontId="15" fillId="0" borderId="0" xfId="5"/>
    <xf numFmtId="8" fontId="32" fillId="15" borderId="4" xfId="6" applyNumberFormat="1" applyFont="1" applyFill="1" applyBorder="1"/>
    <xf numFmtId="8" fontId="32" fillId="15" borderId="0" xfId="6" applyNumberFormat="1" applyFont="1" applyFill="1"/>
    <xf numFmtId="8" fontId="20" fillId="0" borderId="0" xfId="6" applyNumberFormat="1" applyFont="1"/>
    <xf numFmtId="0" fontId="32" fillId="0" borderId="0" xfId="6" applyFont="1" applyAlignment="1">
      <alignment horizontal="center"/>
    </xf>
    <xf numFmtId="6" fontId="20" fillId="0" borderId="0" xfId="6" applyNumberFormat="1" applyFont="1"/>
    <xf numFmtId="168" fontId="20" fillId="0" borderId="0" xfId="6" applyNumberFormat="1" applyFont="1"/>
    <xf numFmtId="0" fontId="20" fillId="0" borderId="0" xfId="7" applyFont="1"/>
    <xf numFmtId="6" fontId="32" fillId="0" borderId="18" xfId="6" applyNumberFormat="1" applyFont="1" applyBorder="1"/>
    <xf numFmtId="0" fontId="36" fillId="19" borderId="20" xfId="0" applyFont="1" applyFill="1" applyBorder="1"/>
    <xf numFmtId="0" fontId="34" fillId="19" borderId="20" xfId="0" applyFont="1" applyFill="1" applyBorder="1"/>
    <xf numFmtId="0" fontId="0" fillId="19" borderId="20" xfId="0" applyFill="1" applyBorder="1"/>
    <xf numFmtId="0" fontId="0" fillId="19" borderId="20" xfId="0" applyFill="1" applyBorder="1" applyProtection="1">
      <protection hidden="1"/>
    </xf>
    <xf numFmtId="0" fontId="2" fillId="19" borderId="22" xfId="0" applyFont="1" applyFill="1" applyBorder="1"/>
    <xf numFmtId="0" fontId="0" fillId="19" borderId="22" xfId="0" applyFill="1" applyBorder="1"/>
    <xf numFmtId="0" fontId="2" fillId="0" borderId="23" xfId="0" applyFont="1" applyBorder="1" applyAlignment="1">
      <alignment horizontal="center" vertical="top" wrapText="1"/>
    </xf>
    <xf numFmtId="0" fontId="2" fillId="0" borderId="24" xfId="0" applyFont="1" applyBorder="1" applyAlignment="1">
      <alignment horizontal="center" vertical="top" wrapText="1"/>
    </xf>
    <xf numFmtId="0" fontId="2" fillId="0" borderId="25" xfId="0" applyFont="1" applyBorder="1" applyAlignment="1">
      <alignment horizontal="center" vertical="top" wrapText="1"/>
    </xf>
    <xf numFmtId="0" fontId="2" fillId="0" borderId="16" xfId="0" applyFont="1" applyBorder="1" applyAlignment="1">
      <alignment horizontal="center" vertical="top" wrapText="1"/>
    </xf>
    <xf numFmtId="0" fontId="2" fillId="0" borderId="26" xfId="0" applyFont="1" applyBorder="1" applyAlignment="1">
      <alignment horizontal="center" vertical="top" wrapText="1"/>
    </xf>
    <xf numFmtId="0" fontId="0" fillId="2" borderId="2" xfId="0" applyFill="1" applyBorder="1" applyAlignment="1">
      <alignment horizontal="centerContinuous"/>
    </xf>
    <xf numFmtId="0" fontId="0" fillId="2" borderId="3" xfId="0" applyFill="1" applyBorder="1" applyAlignment="1">
      <alignment horizontal="centerContinuous"/>
    </xf>
    <xf numFmtId="0" fontId="16" fillId="10" borderId="0" xfId="11" applyFont="1" applyFill="1"/>
    <xf numFmtId="0" fontId="20" fillId="20" borderId="0" xfId="7" applyFont="1" applyFill="1"/>
    <xf numFmtId="0" fontId="24" fillId="12" borderId="4" xfId="11" applyFont="1" applyFill="1" applyBorder="1" applyAlignment="1">
      <alignment horizontal="center" vertical="center" wrapText="1"/>
    </xf>
    <xf numFmtId="6" fontId="24" fillId="14" borderId="4" xfId="11" applyNumberFormat="1" applyFont="1" applyFill="1" applyBorder="1"/>
    <xf numFmtId="0" fontId="26" fillId="20" borderId="0" xfId="7" applyFont="1" applyFill="1"/>
    <xf numFmtId="0" fontId="16" fillId="10" borderId="0" xfId="11" applyFont="1" applyFill="1" applyAlignment="1">
      <alignment horizontal="left" wrapText="1"/>
    </xf>
    <xf numFmtId="0" fontId="26" fillId="0" borderId="0" xfId="7" applyFont="1"/>
    <xf numFmtId="0" fontId="3" fillId="0" borderId="0" xfId="3"/>
    <xf numFmtId="0" fontId="26" fillId="21" borderId="0" xfId="7" applyFont="1" applyFill="1"/>
    <xf numFmtId="0" fontId="29" fillId="15" borderId="4" xfId="11" applyFont="1" applyFill="1" applyBorder="1" applyAlignment="1">
      <alignment horizontal="center" vertical="center"/>
    </xf>
    <xf numFmtId="0" fontId="29" fillId="15" borderId="15" xfId="11" applyFont="1" applyFill="1" applyBorder="1" applyAlignment="1">
      <alignment horizontal="center" vertical="center" wrapText="1"/>
    </xf>
    <xf numFmtId="0" fontId="30" fillId="16" borderId="15" xfId="11" applyFont="1" applyFill="1" applyBorder="1" applyAlignment="1">
      <alignment horizontal="center" vertical="center" wrapText="1"/>
    </xf>
    <xf numFmtId="0" fontId="32" fillId="0" borderId="0" xfId="7" applyFont="1" applyAlignment="1">
      <alignment horizontal="center"/>
    </xf>
    <xf numFmtId="0" fontId="32" fillId="0" borderId="0" xfId="7" applyFont="1" applyAlignment="1">
      <alignment horizontal="center" wrapText="1"/>
    </xf>
    <xf numFmtId="0" fontId="32" fillId="21" borderId="0" xfId="7" applyFont="1" applyFill="1" applyAlignment="1">
      <alignment horizontal="center" wrapText="1"/>
    </xf>
    <xf numFmtId="0" fontId="31" fillId="0" borderId="4" xfId="11" applyFont="1" applyBorder="1" applyAlignment="1">
      <alignment horizontal="left"/>
    </xf>
    <xf numFmtId="0" fontId="31" fillId="0" borderId="4" xfId="11" applyFont="1" applyBorder="1"/>
    <xf numFmtId="0" fontId="31" fillId="0" borderId="4" xfId="11" applyFont="1" applyBorder="1" applyAlignment="1">
      <alignment horizontal="center"/>
    </xf>
    <xf numFmtId="3" fontId="31" fillId="0" borderId="4" xfId="11" applyNumberFormat="1" applyFont="1" applyBorder="1"/>
    <xf numFmtId="40" fontId="31" fillId="17" borderId="15" xfId="11" applyNumberFormat="1" applyFont="1" applyFill="1" applyBorder="1"/>
    <xf numFmtId="40" fontId="31" fillId="17" borderId="16" xfId="11" applyNumberFormat="1" applyFont="1" applyFill="1" applyBorder="1"/>
    <xf numFmtId="43" fontId="20" fillId="0" borderId="0" xfId="7" applyNumberFormat="1" applyFont="1"/>
    <xf numFmtId="43" fontId="20" fillId="0" borderId="0" xfId="1" applyFont="1" applyFill="1"/>
    <xf numFmtId="169" fontId="20" fillId="21" borderId="0" xfId="1" applyNumberFormat="1" applyFont="1" applyFill="1"/>
    <xf numFmtId="0" fontId="31" fillId="3" borderId="4" xfId="11" applyFont="1" applyFill="1" applyBorder="1" applyAlignment="1">
      <alignment horizontal="left"/>
    </xf>
    <xf numFmtId="0" fontId="31" fillId="3" borderId="4" xfId="11" applyFont="1" applyFill="1" applyBorder="1"/>
    <xf numFmtId="0" fontId="31" fillId="3" borderId="4" xfId="11" applyFont="1" applyFill="1" applyBorder="1" applyAlignment="1">
      <alignment horizontal="center"/>
    </xf>
    <xf numFmtId="3" fontId="31" fillId="3" borderId="4" xfId="11" applyNumberFormat="1" applyFont="1" applyFill="1" applyBorder="1"/>
    <xf numFmtId="40" fontId="31" fillId="18" borderId="16" xfId="11" applyNumberFormat="1" applyFont="1" applyFill="1" applyBorder="1"/>
    <xf numFmtId="0" fontId="1" fillId="0" borderId="0" xfId="11"/>
    <xf numFmtId="3" fontId="31" fillId="0" borderId="15" xfId="11" applyNumberFormat="1" applyFont="1" applyBorder="1"/>
    <xf numFmtId="3" fontId="29" fillId="3" borderId="4" xfId="11" applyNumberFormat="1" applyFont="1" applyFill="1" applyBorder="1"/>
    <xf numFmtId="43" fontId="1" fillId="0" borderId="0" xfId="11" applyNumberFormat="1"/>
    <xf numFmtId="169" fontId="1" fillId="21" borderId="0" xfId="11" applyNumberFormat="1" applyFill="1"/>
    <xf numFmtId="0" fontId="1" fillId="21" borderId="0" xfId="11" applyFill="1"/>
    <xf numFmtId="0" fontId="39" fillId="22" borderId="4" xfId="5" applyFont="1" applyFill="1" applyBorder="1" applyAlignment="1">
      <alignment horizontal="center" vertical="center"/>
    </xf>
    <xf numFmtId="0" fontId="39" fillId="22" borderId="4" xfId="5" applyFont="1" applyFill="1" applyBorder="1" applyAlignment="1">
      <alignment horizontal="center" vertical="center" wrapText="1"/>
    </xf>
    <xf numFmtId="0" fontId="15" fillId="2" borderId="0" xfId="5" applyFill="1"/>
    <xf numFmtId="0" fontId="40" fillId="9" borderId="0" xfId="0" applyFont="1" applyFill="1" applyAlignment="1">
      <alignment horizontal="center" wrapText="1"/>
    </xf>
    <xf numFmtId="0" fontId="41" fillId="2" borderId="4" xfId="5" applyFont="1" applyFill="1" applyBorder="1"/>
    <xf numFmtId="7" fontId="41" fillId="2" borderId="4" xfId="5" applyNumberFormat="1" applyFont="1" applyFill="1" applyBorder="1"/>
    <xf numFmtId="1" fontId="41" fillId="2" borderId="4" xfId="5" applyNumberFormat="1" applyFont="1" applyFill="1" applyBorder="1"/>
    <xf numFmtId="0" fontId="12" fillId="9" borderId="0" xfId="0" applyFont="1" applyFill="1"/>
    <xf numFmtId="0" fontId="42" fillId="2" borderId="0" xfId="5" applyFont="1" applyFill="1" applyAlignment="1">
      <alignment horizontal="center" vertical="center"/>
    </xf>
    <xf numFmtId="0" fontId="43" fillId="26" borderId="0" xfId="5" applyFont="1" applyFill="1" applyAlignment="1">
      <alignment horizontal="center" vertical="center" wrapText="1"/>
    </xf>
    <xf numFmtId="0" fontId="4" fillId="21" borderId="4" xfId="12" applyFont="1" applyFill="1" applyBorder="1" applyAlignment="1">
      <alignment horizontal="center" vertical="center" wrapText="1"/>
    </xf>
    <xf numFmtId="0" fontId="4" fillId="21" borderId="27" xfId="12" applyFont="1" applyFill="1" applyBorder="1" applyAlignment="1">
      <alignment horizontal="center" vertical="center" wrapText="1"/>
    </xf>
    <xf numFmtId="0" fontId="4" fillId="23" borderId="0" xfId="12" applyFont="1" applyFill="1" applyAlignment="1">
      <alignment horizontal="center" vertical="center" wrapText="1"/>
    </xf>
    <xf numFmtId="0" fontId="4" fillId="24" borderId="23" xfId="12" applyFont="1" applyFill="1" applyBorder="1" applyAlignment="1">
      <alignment horizontal="center" vertical="center" wrapText="1"/>
    </xf>
    <xf numFmtId="0" fontId="4" fillId="24" borderId="25" xfId="12" applyFont="1" applyFill="1" applyBorder="1" applyAlignment="1">
      <alignment horizontal="center" vertical="center" wrapText="1"/>
    </xf>
    <xf numFmtId="0" fontId="4" fillId="24" borderId="16" xfId="12" applyFont="1" applyFill="1" applyBorder="1" applyAlignment="1">
      <alignment horizontal="center" vertical="center" wrapText="1"/>
    </xf>
    <xf numFmtId="0" fontId="2" fillId="0" borderId="0" xfId="0" applyFont="1" applyAlignment="1">
      <alignment horizontal="center" wrapText="1"/>
    </xf>
    <xf numFmtId="0" fontId="5" fillId="0" borderId="0" xfId="12"/>
    <xf numFmtId="0" fontId="5" fillId="0" borderId="0" xfId="12" applyAlignment="1">
      <alignment horizontal="center"/>
    </xf>
    <xf numFmtId="0" fontId="5" fillId="0" borderId="4" xfId="12" applyBorder="1"/>
    <xf numFmtId="165" fontId="5" fillId="0" borderId="4" xfId="1" applyNumberFormat="1" applyFont="1" applyBorder="1"/>
    <xf numFmtId="40" fontId="5" fillId="27" borderId="30" xfId="5" applyNumberFormat="1" applyFont="1" applyFill="1" applyBorder="1"/>
    <xf numFmtId="40" fontId="4" fillId="26" borderId="30" xfId="5" applyNumberFormat="1" applyFont="1" applyFill="1" applyBorder="1"/>
    <xf numFmtId="40" fontId="4" fillId="26" borderId="0" xfId="5" applyNumberFormat="1" applyFont="1" applyFill="1"/>
    <xf numFmtId="44" fontId="0" fillId="0" borderId="0" xfId="2" applyFont="1"/>
    <xf numFmtId="44" fontId="0" fillId="0" borderId="0" xfId="0" applyNumberFormat="1"/>
    <xf numFmtId="0" fontId="44" fillId="0" borderId="0" xfId="12" applyFont="1"/>
    <xf numFmtId="0" fontId="5" fillId="28" borderId="0" xfId="12" applyFill="1"/>
    <xf numFmtId="0" fontId="5" fillId="29" borderId="4" xfId="12" applyFill="1" applyBorder="1" applyAlignment="1">
      <alignment horizontal="center"/>
    </xf>
    <xf numFmtId="0" fontId="5" fillId="29" borderId="4" xfId="12" applyFill="1" applyBorder="1"/>
    <xf numFmtId="44" fontId="4" fillId="29" borderId="4" xfId="2" applyFont="1" applyFill="1" applyBorder="1"/>
    <xf numFmtId="170" fontId="6" fillId="0" borderId="0" xfId="0" applyNumberFormat="1" applyFont="1"/>
    <xf numFmtId="165" fontId="0" fillId="0" borderId="0" xfId="0" applyNumberFormat="1"/>
    <xf numFmtId="43" fontId="0" fillId="0" borderId="0" xfId="1" applyFont="1"/>
    <xf numFmtId="44" fontId="0" fillId="4" borderId="0" xfId="0" applyNumberFormat="1" applyFill="1"/>
    <xf numFmtId="43" fontId="0" fillId="0" borderId="0" xfId="0" applyNumberFormat="1"/>
    <xf numFmtId="0" fontId="2" fillId="2" borderId="5" xfId="0" applyFont="1" applyFill="1" applyBorder="1" applyAlignment="1">
      <alignment horizontal="centerContinuous"/>
    </xf>
    <xf numFmtId="0" fontId="0" fillId="2" borderId="20" xfId="0" applyFill="1" applyBorder="1"/>
    <xf numFmtId="0" fontId="5" fillId="2" borderId="0" xfId="3" applyNumberFormat="1" applyFont="1" applyFill="1" applyBorder="1" applyAlignment="1" applyProtection="1">
      <alignment horizontal="left" vertical="center"/>
      <protection locked="0"/>
    </xf>
    <xf numFmtId="0" fontId="0" fillId="2" borderId="22" xfId="0" applyFill="1" applyBorder="1"/>
    <xf numFmtId="166" fontId="5" fillId="2" borderId="0" xfId="3" applyNumberFormat="1" applyFont="1" applyFill="1" applyBorder="1" applyAlignment="1" applyProtection="1">
      <alignment horizontal="left" vertical="center"/>
      <protection locked="0"/>
    </xf>
    <xf numFmtId="165" fontId="0" fillId="0" borderId="0" xfId="1" applyNumberFormat="1" applyFont="1" applyFill="1" applyBorder="1"/>
    <xf numFmtId="0" fontId="4" fillId="0" borderId="0" xfId="3" applyNumberFormat="1" applyFont="1" applyFill="1" applyBorder="1" applyAlignment="1" applyProtection="1">
      <alignment horizontal="left" vertical="center"/>
      <protection locked="0"/>
    </xf>
    <xf numFmtId="166" fontId="5" fillId="0" borderId="0" xfId="3" applyNumberFormat="1" applyFont="1" applyFill="1" applyBorder="1" applyAlignment="1" applyProtection="1">
      <alignment horizontal="left" vertical="center"/>
      <protection locked="0"/>
    </xf>
    <xf numFmtId="0" fontId="2" fillId="2" borderId="1" xfId="0" applyFont="1" applyFill="1" applyBorder="1" applyAlignment="1">
      <alignment horizontal="centerContinuous"/>
    </xf>
    <xf numFmtId="0" fontId="0" fillId="2" borderId="31" xfId="0" applyFill="1" applyBorder="1"/>
    <xf numFmtId="0" fontId="15" fillId="2" borderId="0" xfId="5" applyFill="1" applyAlignment="1">
      <alignment horizontal="center"/>
    </xf>
    <xf numFmtId="0" fontId="15" fillId="2" borderId="0" xfId="5" applyFill="1" applyAlignment="1">
      <alignment horizontal="left" wrapText="1"/>
    </xf>
    <xf numFmtId="7" fontId="45" fillId="2" borderId="0" xfId="5" applyNumberFormat="1" applyFont="1" applyFill="1"/>
    <xf numFmtId="0" fontId="15" fillId="2" borderId="0" xfId="5" applyFill="1" applyAlignment="1">
      <alignment wrapText="1"/>
    </xf>
    <xf numFmtId="0" fontId="46" fillId="2" borderId="0" xfId="5" applyFont="1" applyFill="1"/>
    <xf numFmtId="4" fontId="15" fillId="2" borderId="0" xfId="5" applyNumberFormat="1" applyFill="1"/>
    <xf numFmtId="171" fontId="15" fillId="2" borderId="0" xfId="5" applyNumberFormat="1" applyFill="1"/>
    <xf numFmtId="0" fontId="45" fillId="2" borderId="0" xfId="5" applyFont="1" applyFill="1"/>
    <xf numFmtId="0" fontId="45" fillId="2" borderId="0" xfId="5" applyFont="1" applyFill="1" applyAlignment="1">
      <alignment horizontal="center"/>
    </xf>
    <xf numFmtId="0" fontId="45" fillId="2" borderId="0" xfId="5" applyFont="1" applyFill="1" applyAlignment="1">
      <alignment horizontal="left" wrapText="1"/>
    </xf>
    <xf numFmtId="0" fontId="45" fillId="2" borderId="0" xfId="5" applyFont="1" applyFill="1" applyAlignment="1">
      <alignment wrapText="1"/>
    </xf>
    <xf numFmtId="9" fontId="45" fillId="2" borderId="0" xfId="5" applyNumberFormat="1" applyFont="1" applyFill="1"/>
    <xf numFmtId="0" fontId="45" fillId="0" borderId="0" xfId="5" applyFont="1"/>
    <xf numFmtId="172" fontId="45" fillId="2" borderId="0" xfId="5" applyNumberFormat="1" applyFont="1" applyFill="1" applyAlignment="1">
      <alignment wrapText="1"/>
    </xf>
    <xf numFmtId="4" fontId="45" fillId="2" borderId="0" xfId="5" applyNumberFormat="1" applyFont="1" applyFill="1"/>
    <xf numFmtId="4" fontId="45" fillId="0" borderId="0" xfId="5" applyNumberFormat="1" applyFont="1"/>
    <xf numFmtId="40" fontId="45" fillId="2" borderId="0" xfId="5" applyNumberFormat="1" applyFont="1" applyFill="1" applyAlignment="1">
      <alignment wrapText="1"/>
    </xf>
    <xf numFmtId="40" fontId="45" fillId="2" borderId="0" xfId="5" applyNumberFormat="1" applyFont="1" applyFill="1"/>
    <xf numFmtId="4" fontId="15" fillId="30" borderId="0" xfId="5" applyNumberFormat="1" applyFill="1"/>
    <xf numFmtId="0" fontId="47" fillId="30" borderId="27" xfId="5" applyFont="1" applyFill="1" applyBorder="1" applyAlignment="1">
      <alignment horizontal="center" wrapText="1"/>
    </xf>
    <xf numFmtId="0" fontId="47" fillId="30" borderId="27" xfId="5" applyFont="1" applyFill="1" applyBorder="1" applyAlignment="1">
      <alignment horizontal="center"/>
    </xf>
    <xf numFmtId="0" fontId="47" fillId="30" borderId="4" xfId="5" applyFont="1" applyFill="1" applyBorder="1" applyAlignment="1">
      <alignment horizontal="center" wrapText="1"/>
    </xf>
    <xf numFmtId="0" fontId="47" fillId="28" borderId="4" xfId="5" applyFont="1" applyFill="1" applyBorder="1" applyAlignment="1">
      <alignment horizontal="center"/>
    </xf>
    <xf numFmtId="0" fontId="47" fillId="30" borderId="4" xfId="5" applyFont="1" applyFill="1" applyBorder="1" applyAlignment="1">
      <alignment horizontal="center"/>
    </xf>
    <xf numFmtId="0" fontId="5" fillId="21" borderId="4" xfId="12" applyFill="1" applyBorder="1" applyAlignment="1">
      <alignment vertical="center" wrapText="1"/>
    </xf>
    <xf numFmtId="0" fontId="5" fillId="21" borderId="4" xfId="12" applyFill="1" applyBorder="1" applyAlignment="1">
      <alignment horizontal="center" vertical="center" wrapText="1"/>
    </xf>
    <xf numFmtId="0" fontId="5" fillId="21" borderId="4" xfId="12" applyFill="1" applyBorder="1" applyAlignment="1">
      <alignment horizontal="left" vertical="center" wrapText="1"/>
    </xf>
    <xf numFmtId="0" fontId="3" fillId="32" borderId="27" xfId="3" applyFill="1" applyBorder="1" applyAlignment="1">
      <alignment horizontal="center" vertical="center" wrapText="1"/>
    </xf>
    <xf numFmtId="0" fontId="3" fillId="29" borderId="4" xfId="3" applyFill="1" applyBorder="1" applyAlignment="1">
      <alignment horizontal="center" vertical="center" wrapText="1"/>
    </xf>
    <xf numFmtId="0" fontId="3" fillId="33" borderId="4" xfId="3" applyFill="1" applyBorder="1" applyAlignment="1">
      <alignment horizontal="center" vertical="center" wrapText="1"/>
    </xf>
    <xf numFmtId="0" fontId="3" fillId="34" borderId="4" xfId="3" applyFill="1" applyBorder="1" applyAlignment="1">
      <alignment horizontal="center" vertical="center" wrapText="1"/>
    </xf>
    <xf numFmtId="0" fontId="3" fillId="35" borderId="4" xfId="3" applyFill="1" applyBorder="1" applyAlignment="1">
      <alignment horizontal="center" vertical="center" wrapText="1"/>
    </xf>
    <xf numFmtId="0" fontId="3" fillId="21" borderId="4" xfId="3" applyFill="1" applyBorder="1" applyAlignment="1">
      <alignment horizontal="center" vertical="center" wrapText="1"/>
    </xf>
    <xf numFmtId="0" fontId="3" fillId="24" borderId="4" xfId="3" applyFill="1" applyBorder="1" applyAlignment="1">
      <alignment horizontal="center" vertical="center" wrapText="1"/>
    </xf>
    <xf numFmtId="0" fontId="3" fillId="31" borderId="4" xfId="3" applyFill="1" applyBorder="1" applyAlignment="1">
      <alignment horizontal="center" vertical="center" wrapText="1"/>
    </xf>
    <xf numFmtId="0" fontId="3" fillId="36" borderId="4" xfId="3" applyFill="1" applyBorder="1" applyAlignment="1">
      <alignment horizontal="center" vertical="center" wrapText="1"/>
    </xf>
    <xf numFmtId="0" fontId="43" fillId="28" borderId="4" xfId="5" applyFont="1" applyFill="1" applyBorder="1" applyAlignment="1">
      <alignment horizontal="center" vertical="center" wrapText="1"/>
    </xf>
    <xf numFmtId="4" fontId="15" fillId="0" borderId="0" xfId="5" applyNumberFormat="1"/>
    <xf numFmtId="0" fontId="5" fillId="0" borderId="0" xfId="12" applyAlignment="1">
      <alignment horizontal="left" wrapText="1"/>
    </xf>
    <xf numFmtId="4" fontId="5" fillId="2" borderId="16" xfId="5" applyNumberFormat="1" applyFont="1" applyFill="1" applyBorder="1" applyAlignment="1">
      <alignment horizontal="right"/>
    </xf>
    <xf numFmtId="4" fontId="5" fillId="2" borderId="15" xfId="5" applyNumberFormat="1" applyFont="1" applyFill="1" applyBorder="1" applyAlignment="1">
      <alignment horizontal="right"/>
    </xf>
    <xf numFmtId="4" fontId="5" fillId="2" borderId="25" xfId="5" applyNumberFormat="1" applyFont="1" applyFill="1" applyBorder="1" applyAlignment="1">
      <alignment horizontal="right"/>
    </xf>
    <xf numFmtId="4" fontId="22" fillId="2" borderId="15" xfId="5" applyNumberFormat="1" applyFont="1" applyFill="1" applyBorder="1" applyAlignment="1">
      <alignment horizontal="right"/>
    </xf>
    <xf numFmtId="4" fontId="22" fillId="2" borderId="25" xfId="5" applyNumberFormat="1" applyFont="1" applyFill="1" applyBorder="1" applyAlignment="1">
      <alignment horizontal="right"/>
    </xf>
    <xf numFmtId="40" fontId="5" fillId="27" borderId="15" xfId="5" applyNumberFormat="1" applyFont="1" applyFill="1" applyBorder="1"/>
    <xf numFmtId="173" fontId="15" fillId="2" borderId="15" xfId="5" applyNumberFormat="1" applyFill="1" applyBorder="1"/>
    <xf numFmtId="40" fontId="5" fillId="27" borderId="25" xfId="5" applyNumberFormat="1" applyFont="1" applyFill="1" applyBorder="1"/>
    <xf numFmtId="173" fontId="15" fillId="2" borderId="25" xfId="5" applyNumberFormat="1" applyFill="1" applyBorder="1"/>
    <xf numFmtId="173" fontId="15" fillId="0" borderId="0" xfId="5" applyNumberFormat="1"/>
    <xf numFmtId="4" fontId="5" fillId="0" borderId="16" xfId="5" applyNumberFormat="1" applyFont="1" applyBorder="1" applyAlignment="1">
      <alignment horizontal="right"/>
    </xf>
    <xf numFmtId="4" fontId="5" fillId="0" borderId="25" xfId="5" applyNumberFormat="1" applyFont="1" applyBorder="1" applyAlignment="1">
      <alignment horizontal="right"/>
    </xf>
    <xf numFmtId="4" fontId="22" fillId="0" borderId="25" xfId="5" applyNumberFormat="1" applyFont="1" applyBorder="1" applyAlignment="1">
      <alignment horizontal="right"/>
    </xf>
    <xf numFmtId="173" fontId="15" fillId="0" borderId="25" xfId="5" applyNumberFormat="1" applyBorder="1"/>
    <xf numFmtId="0" fontId="5" fillId="37" borderId="0" xfId="12" applyFill="1"/>
    <xf numFmtId="0" fontId="5" fillId="37" borderId="0" xfId="12" applyFill="1" applyAlignment="1">
      <alignment horizontal="center"/>
    </xf>
    <xf numFmtId="0" fontId="5" fillId="37" borderId="0" xfId="12" applyFill="1" applyAlignment="1">
      <alignment horizontal="left" wrapText="1"/>
    </xf>
    <xf numFmtId="0" fontId="15" fillId="37" borderId="0" xfId="5" applyFill="1"/>
    <xf numFmtId="0" fontId="5" fillId="0" borderId="0" xfId="12" applyAlignment="1">
      <alignment vertical="top" wrapText="1"/>
    </xf>
    <xf numFmtId="0" fontId="15" fillId="4" borderId="0" xfId="5" applyFill="1"/>
    <xf numFmtId="0" fontId="5" fillId="0" borderId="0" xfId="12" applyAlignment="1">
      <alignment wrapText="1"/>
    </xf>
    <xf numFmtId="4" fontId="5" fillId="2" borderId="32" xfId="5" applyNumberFormat="1" applyFont="1" applyFill="1" applyBorder="1" applyAlignment="1">
      <alignment horizontal="right"/>
    </xf>
    <xf numFmtId="4" fontId="5" fillId="2" borderId="11" xfId="5" applyNumberFormat="1" applyFont="1" applyFill="1" applyBorder="1" applyAlignment="1">
      <alignment horizontal="right"/>
    </xf>
    <xf numFmtId="4" fontId="22" fillId="2" borderId="11" xfId="5" applyNumberFormat="1" applyFont="1" applyFill="1" applyBorder="1" applyAlignment="1">
      <alignment horizontal="right"/>
    </xf>
    <xf numFmtId="40" fontId="5" fillId="27" borderId="11" xfId="5" applyNumberFormat="1" applyFont="1" applyFill="1" applyBorder="1"/>
    <xf numFmtId="173" fontId="15" fillId="2" borderId="11" xfId="5" applyNumberFormat="1" applyFill="1" applyBorder="1"/>
    <xf numFmtId="4" fontId="5" fillId="2" borderId="33" xfId="5" applyNumberFormat="1" applyFont="1" applyFill="1" applyBorder="1" applyAlignment="1">
      <alignment horizontal="right"/>
    </xf>
    <xf numFmtId="40" fontId="15" fillId="2" borderId="0" xfId="5" applyNumberFormat="1" applyFill="1"/>
    <xf numFmtId="43" fontId="0" fillId="2" borderId="0" xfId="9" applyFont="1" applyFill="1"/>
    <xf numFmtId="43" fontId="0" fillId="2" borderId="18" xfId="9" applyFont="1" applyFill="1" applyBorder="1"/>
    <xf numFmtId="43" fontId="15" fillId="2" borderId="0" xfId="5" applyNumberFormat="1" applyFill="1"/>
    <xf numFmtId="4" fontId="15" fillId="2" borderId="18" xfId="5" applyNumberFormat="1" applyFill="1" applyBorder="1"/>
    <xf numFmtId="0" fontId="48" fillId="0" borderId="0" xfId="5" applyFont="1"/>
    <xf numFmtId="2" fontId="15" fillId="0" borderId="0" xfId="5" applyNumberFormat="1"/>
    <xf numFmtId="0" fontId="39" fillId="22" borderId="4" xfId="13" applyFont="1" applyFill="1" applyBorder="1" applyAlignment="1">
      <alignment horizontal="center" vertical="center"/>
    </xf>
    <xf numFmtId="0" fontId="39" fillId="22" borderId="4" xfId="13" applyFont="1" applyFill="1" applyBorder="1" applyAlignment="1">
      <alignment horizontal="center" vertical="center" wrapText="1"/>
    </xf>
    <xf numFmtId="0" fontId="15" fillId="2" borderId="0" xfId="13" applyFill="1"/>
    <xf numFmtId="6" fontId="7" fillId="0" borderId="0" xfId="5" applyNumberFormat="1" applyFont="1" applyAlignment="1">
      <alignment horizontal="center" wrapText="1"/>
    </xf>
    <xf numFmtId="0" fontId="40" fillId="9" borderId="0" xfId="5" applyFont="1" applyFill="1" applyAlignment="1">
      <alignment horizontal="center" wrapText="1"/>
    </xf>
    <xf numFmtId="0" fontId="47" fillId="0" borderId="0" xfId="5" applyFont="1"/>
    <xf numFmtId="0" fontId="41" fillId="2" borderId="4" xfId="13" applyFont="1" applyFill="1" applyBorder="1"/>
    <xf numFmtId="7" fontId="41" fillId="2" borderId="4" xfId="13" applyNumberFormat="1" applyFont="1" applyFill="1" applyBorder="1"/>
    <xf numFmtId="1" fontId="41" fillId="2" borderId="4" xfId="13" applyNumberFormat="1" applyFont="1" applyFill="1" applyBorder="1"/>
    <xf numFmtId="1" fontId="6" fillId="0" borderId="0" xfId="5" applyNumberFormat="1" applyFont="1" applyAlignment="1">
      <alignment horizontal="center"/>
    </xf>
    <xf numFmtId="0" fontId="12" fillId="9" borderId="0" xfId="5" applyFont="1" applyFill="1"/>
    <xf numFmtId="0" fontId="6" fillId="0" borderId="0" xfId="5" applyFont="1" applyAlignment="1">
      <alignment horizontal="center"/>
    </xf>
    <xf numFmtId="0" fontId="6" fillId="0" borderId="0" xfId="5" applyFont="1"/>
    <xf numFmtId="0" fontId="42" fillId="2" borderId="0" xfId="13" applyFont="1" applyFill="1" applyAlignment="1">
      <alignment horizontal="center" vertical="center"/>
    </xf>
    <xf numFmtId="0" fontId="49" fillId="2" borderId="0" xfId="13" applyFont="1" applyFill="1" applyAlignment="1">
      <alignment horizontal="center" vertical="center"/>
    </xf>
    <xf numFmtId="0" fontId="2" fillId="0" borderId="0" xfId="5" applyFont="1" applyAlignment="1">
      <alignment horizontal="center" wrapText="1"/>
    </xf>
    <xf numFmtId="165" fontId="5" fillId="0" borderId="4" xfId="9" applyNumberFormat="1" applyFont="1" applyBorder="1"/>
    <xf numFmtId="40" fontId="5" fillId="27" borderId="30" xfId="13" applyNumberFormat="1" applyFont="1" applyFill="1" applyBorder="1"/>
    <xf numFmtId="40" fontId="4" fillId="26" borderId="30" xfId="13" applyNumberFormat="1" applyFont="1" applyFill="1" applyBorder="1"/>
    <xf numFmtId="44" fontId="47" fillId="0" borderId="0" xfId="14" applyFont="1"/>
    <xf numFmtId="44" fontId="0" fillId="0" borderId="0" xfId="14" applyFont="1"/>
    <xf numFmtId="44" fontId="15" fillId="0" borderId="0" xfId="5" applyNumberFormat="1"/>
    <xf numFmtId="44" fontId="4" fillId="29" borderId="4" xfId="14" applyFont="1" applyFill="1" applyBorder="1"/>
    <xf numFmtId="6" fontId="6" fillId="0" borderId="0" xfId="5" applyNumberFormat="1" applyFont="1"/>
    <xf numFmtId="170" fontId="6" fillId="0" borderId="0" xfId="5" applyNumberFormat="1" applyFont="1"/>
    <xf numFmtId="0" fontId="12" fillId="0" borderId="0" xfId="5" applyFont="1"/>
    <xf numFmtId="165" fontId="15" fillId="0" borderId="0" xfId="5" applyNumberFormat="1"/>
    <xf numFmtId="43" fontId="0" fillId="0" borderId="0" xfId="9" applyFont="1"/>
    <xf numFmtId="43" fontId="47" fillId="0" borderId="0" xfId="9" applyFont="1"/>
    <xf numFmtId="44" fontId="15" fillId="4" borderId="0" xfId="5" applyNumberFormat="1" applyFill="1"/>
    <xf numFmtId="43" fontId="15" fillId="0" borderId="0" xfId="5" applyNumberFormat="1"/>
    <xf numFmtId="165" fontId="0" fillId="2" borderId="0" xfId="1" applyNumberFormat="1" applyFont="1" applyFill="1" applyBorder="1"/>
    <xf numFmtId="0" fontId="50" fillId="27" borderId="4" xfId="0" applyFont="1" applyFill="1" applyBorder="1" applyAlignment="1" applyProtection="1">
      <alignment horizontal="left" vertical="center"/>
      <protection locked="0"/>
    </xf>
    <xf numFmtId="0" fontId="2" fillId="27" borderId="4" xfId="0" applyFont="1" applyFill="1" applyBorder="1"/>
    <xf numFmtId="0" fontId="4" fillId="27" borderId="4" xfId="3" applyNumberFormat="1" applyFont="1" applyFill="1" applyBorder="1" applyAlignment="1" applyProtection="1">
      <alignment horizontal="left" vertical="center"/>
      <protection locked="0"/>
    </xf>
    <xf numFmtId="0" fontId="35" fillId="27" borderId="4" xfId="0" applyFont="1" applyFill="1" applyBorder="1" applyAlignment="1" applyProtection="1">
      <alignment horizontal="left" vertical="center"/>
      <protection locked="0"/>
    </xf>
    <xf numFmtId="0" fontId="0" fillId="38" borderId="4" xfId="0" applyFill="1" applyBorder="1" applyProtection="1">
      <protection locked="0"/>
    </xf>
    <xf numFmtId="3" fontId="0" fillId="38" borderId="4" xfId="0" applyNumberFormat="1" applyFill="1" applyBorder="1" applyProtection="1">
      <protection locked="0"/>
    </xf>
    <xf numFmtId="0" fontId="2" fillId="27" borderId="4" xfId="0" applyFont="1" applyFill="1" applyBorder="1" applyAlignment="1">
      <alignment horizontal="left"/>
    </xf>
    <xf numFmtId="0" fontId="29" fillId="38" borderId="0" xfId="0" applyFont="1" applyFill="1" applyAlignment="1">
      <alignment vertical="center"/>
    </xf>
    <xf numFmtId="0" fontId="29" fillId="39" borderId="0" xfId="0" applyFont="1" applyFill="1" applyAlignment="1">
      <alignment vertical="center"/>
    </xf>
    <xf numFmtId="165" fontId="0" fillId="39" borderId="4" xfId="1" applyNumberFormat="1" applyFont="1" applyFill="1" applyBorder="1"/>
    <xf numFmtId="164" fontId="0" fillId="39" borderId="4" xfId="0" applyNumberFormat="1" applyFill="1" applyBorder="1"/>
    <xf numFmtId="0" fontId="29" fillId="0" borderId="0" xfId="0" applyFont="1" applyAlignment="1">
      <alignment vertical="center"/>
    </xf>
    <xf numFmtId="0" fontId="0" fillId="0" borderId="31" xfId="0" applyBorder="1"/>
    <xf numFmtId="0" fontId="2" fillId="2" borderId="27" xfId="0" applyFont="1" applyFill="1" applyBorder="1"/>
    <xf numFmtId="0" fontId="0" fillId="38" borderId="31" xfId="0" applyFill="1" applyBorder="1" applyProtection="1">
      <protection locked="0"/>
    </xf>
    <xf numFmtId="0" fontId="51" fillId="19" borderId="20" xfId="0" applyFont="1" applyFill="1" applyBorder="1" applyProtection="1">
      <protection hidden="1"/>
    </xf>
    <xf numFmtId="0" fontId="50" fillId="27" borderId="4" xfId="3" applyFont="1" applyFill="1" applyBorder="1" applyAlignment="1" applyProtection="1">
      <alignment horizontal="left" vertical="center"/>
      <protection locked="0"/>
    </xf>
    <xf numFmtId="0" fontId="4" fillId="27" borderId="4" xfId="3" applyFont="1" applyFill="1" applyBorder="1" applyAlignment="1" applyProtection="1">
      <alignment horizontal="left" vertical="center"/>
      <protection locked="0"/>
    </xf>
    <xf numFmtId="0" fontId="4" fillId="27" borderId="4" xfId="0" applyFont="1" applyFill="1" applyBorder="1" applyAlignment="1" applyProtection="1">
      <alignment horizontal="left" vertical="center"/>
      <protection locked="0"/>
    </xf>
    <xf numFmtId="173" fontId="0" fillId="39" borderId="4" xfId="0" applyNumberFormat="1" applyFill="1" applyBorder="1"/>
    <xf numFmtId="0" fontId="0" fillId="0" borderId="31" xfId="0" applyBorder="1" applyProtection="1">
      <protection locked="0"/>
    </xf>
    <xf numFmtId="0" fontId="0" fillId="0" borderId="4" xfId="0" applyBorder="1" applyProtection="1">
      <protection locked="0"/>
    </xf>
    <xf numFmtId="0" fontId="0" fillId="0" borderId="0" xfId="0" applyAlignment="1">
      <alignment wrapText="1"/>
    </xf>
    <xf numFmtId="0" fontId="0" fillId="0" borderId="0" xfId="0" applyAlignment="1">
      <alignment vertical="top"/>
    </xf>
    <xf numFmtId="0" fontId="52" fillId="2" borderId="5" xfId="0" applyFont="1" applyFill="1" applyBorder="1" applyAlignment="1">
      <alignment horizontal="centerContinuous"/>
    </xf>
    <xf numFmtId="0" fontId="52" fillId="0" borderId="0" xfId="0" applyFont="1"/>
    <xf numFmtId="0" fontId="53" fillId="0" borderId="0" xfId="0" applyFont="1"/>
    <xf numFmtId="0" fontId="2" fillId="0" borderId="4" xfId="0" applyFont="1" applyBorder="1"/>
    <xf numFmtId="164" fontId="0" fillId="0" borderId="4" xfId="0" applyNumberFormat="1" applyBorder="1"/>
    <xf numFmtId="0" fontId="0" fillId="0" borderId="0" xfId="0" applyAlignment="1">
      <alignment horizontal="left" vertical="top"/>
    </xf>
    <xf numFmtId="0" fontId="50" fillId="27" borderId="0" xfId="3" applyFont="1" applyFill="1" applyBorder="1" applyAlignment="1" applyProtection="1">
      <alignment horizontal="left" vertical="center"/>
      <protection locked="0"/>
    </xf>
    <xf numFmtId="0" fontId="4" fillId="0" borderId="0" xfId="3" applyFont="1" applyFill="1" applyBorder="1" applyAlignment="1" applyProtection="1">
      <alignment horizontal="left" vertical="center"/>
      <protection locked="0"/>
    </xf>
    <xf numFmtId="173" fontId="0" fillId="0" borderId="0" xfId="0" applyNumberFormat="1"/>
    <xf numFmtId="0" fontId="5" fillId="0" borderId="0" xfId="4"/>
    <xf numFmtId="0" fontId="5" fillId="0" borderId="0" xfId="4" applyAlignment="1">
      <alignment horizontal="center"/>
    </xf>
    <xf numFmtId="0" fontId="54" fillId="0" borderId="0" xfId="4" applyFont="1"/>
    <xf numFmtId="0" fontId="5" fillId="0" borderId="0" xfId="4" applyAlignment="1">
      <alignment vertical="center" wrapText="1"/>
    </xf>
    <xf numFmtId="0" fontId="5" fillId="0" borderId="0" xfId="4" applyAlignment="1">
      <alignment horizontal="center" vertical="center" wrapText="1"/>
    </xf>
    <xf numFmtId="0" fontId="4" fillId="0" borderId="0" xfId="4" applyFont="1" applyAlignment="1">
      <alignment horizontal="center" vertical="center" wrapText="1"/>
    </xf>
    <xf numFmtId="9" fontId="5" fillId="0" borderId="0" xfId="4" applyNumberFormat="1" applyAlignment="1">
      <alignment horizontal="center" vertical="center" wrapText="1"/>
    </xf>
    <xf numFmtId="9" fontId="54" fillId="0" borderId="0" xfId="4" applyNumberFormat="1" applyFont="1" applyAlignment="1">
      <alignment horizontal="center" vertical="center" wrapText="1"/>
    </xf>
    <xf numFmtId="0" fontId="54" fillId="0" borderId="0" xfId="4" applyFont="1" applyAlignment="1">
      <alignment horizontal="center" vertical="center" wrapText="1"/>
    </xf>
    <xf numFmtId="0" fontId="22" fillId="31" borderId="0" xfId="4" applyFont="1" applyFill="1" applyAlignment="1">
      <alignment horizontal="center" vertical="center" wrapText="1"/>
    </xf>
    <xf numFmtId="0" fontId="22" fillId="9" borderId="0" xfId="4" applyFont="1" applyFill="1" applyAlignment="1">
      <alignment horizontal="center" vertical="center" wrapText="1"/>
    </xf>
    <xf numFmtId="0" fontId="5" fillId="31" borderId="0" xfId="4" applyFill="1" applyAlignment="1">
      <alignment horizontal="center" vertical="center" wrapText="1"/>
    </xf>
    <xf numFmtId="0" fontId="5" fillId="40" borderId="0" xfId="4" applyFill="1" applyAlignment="1">
      <alignment horizontal="center" vertical="center" wrapText="1"/>
    </xf>
    <xf numFmtId="0" fontId="4" fillId="0" borderId="0" xfId="4" applyFont="1" applyAlignment="1">
      <alignment horizontal="center"/>
    </xf>
    <xf numFmtId="0" fontId="54" fillId="0" borderId="0" xfId="4" applyFont="1" applyAlignment="1">
      <alignment horizontal="center"/>
    </xf>
    <xf numFmtId="0" fontId="22" fillId="0" borderId="0" xfId="4" applyFont="1" applyAlignment="1">
      <alignment horizontal="center"/>
    </xf>
    <xf numFmtId="43" fontId="5" fillId="0" borderId="0" xfId="1" applyFont="1"/>
    <xf numFmtId="165" fontId="5" fillId="0" borderId="0" xfId="1" applyNumberFormat="1" applyFont="1"/>
    <xf numFmtId="0" fontId="0" fillId="28" borderId="0" xfId="0" applyFill="1"/>
    <xf numFmtId="0" fontId="2" fillId="0" borderId="0" xfId="0" applyFont="1" applyAlignment="1">
      <alignment horizontal="right"/>
    </xf>
    <xf numFmtId="0" fontId="2" fillId="0" borderId="14" xfId="0" applyFont="1" applyBorder="1" applyAlignment="1">
      <alignment horizontal="centerContinuous"/>
    </xf>
    <xf numFmtId="0" fontId="2" fillId="0" borderId="2" xfId="0" applyFont="1" applyBorder="1" applyAlignment="1">
      <alignment horizontal="centerContinuous"/>
    </xf>
    <xf numFmtId="0" fontId="2" fillId="0" borderId="3" xfId="0" applyFont="1" applyBorder="1" applyAlignment="1">
      <alignment horizontal="centerContinuous"/>
    </xf>
    <xf numFmtId="0" fontId="55" fillId="0" borderId="1" xfId="0" applyFont="1" applyBorder="1" applyAlignment="1">
      <alignment horizontal="centerContinuous"/>
    </xf>
    <xf numFmtId="0" fontId="55" fillId="0" borderId="2" xfId="0" applyFont="1" applyBorder="1" applyAlignment="1">
      <alignment horizontal="centerContinuous"/>
    </xf>
    <xf numFmtId="0" fontId="55" fillId="28" borderId="2" xfId="0" applyFont="1" applyFill="1" applyBorder="1" applyAlignment="1">
      <alignment horizontal="centerContinuous"/>
    </xf>
    <xf numFmtId="0" fontId="0" fillId="0" borderId="2" xfId="0" applyBorder="1" applyAlignment="1">
      <alignment horizontal="centerContinuous"/>
    </xf>
    <xf numFmtId="0" fontId="0" fillId="0" borderId="3" xfId="0" applyBorder="1" applyAlignment="1">
      <alignment horizontal="centerContinuous"/>
    </xf>
    <xf numFmtId="0" fontId="2" fillId="0" borderId="1" xfId="0" applyFont="1" applyBorder="1" applyAlignment="1">
      <alignment horizontal="centerContinuous"/>
    </xf>
    <xf numFmtId="0" fontId="2" fillId="0" borderId="0" xfId="0" applyFont="1" applyAlignment="1">
      <alignment horizontal="center" vertical="top" wrapText="1"/>
    </xf>
    <xf numFmtId="0" fontId="2" fillId="21" borderId="0" xfId="0" applyFont="1" applyFill="1" applyAlignment="1">
      <alignment horizontal="center" vertical="top" wrapText="1"/>
    </xf>
    <xf numFmtId="0" fontId="2" fillId="28" borderId="0" xfId="0" applyFont="1" applyFill="1" applyAlignment="1">
      <alignment horizontal="center" vertical="top" wrapText="1"/>
    </xf>
    <xf numFmtId="0" fontId="2" fillId="7" borderId="0" xfId="0" applyFont="1" applyFill="1" applyAlignment="1">
      <alignment horizontal="center" vertical="top" wrapText="1"/>
    </xf>
    <xf numFmtId="0" fontId="2" fillId="41" borderId="0" xfId="0" applyFont="1" applyFill="1" applyAlignment="1">
      <alignment horizontal="center" vertical="top" wrapText="1"/>
    </xf>
    <xf numFmtId="0" fontId="2" fillId="40" borderId="0" xfId="0" applyFont="1" applyFill="1" applyAlignment="1">
      <alignment horizontal="center" vertical="top" wrapText="1"/>
    </xf>
    <xf numFmtId="0" fontId="2" fillId="42" borderId="0" xfId="0" applyFont="1" applyFill="1" applyAlignment="1">
      <alignment horizontal="center" vertical="top" wrapText="1"/>
    </xf>
    <xf numFmtId="0" fontId="2" fillId="43" borderId="0" xfId="0" applyFont="1" applyFill="1" applyAlignment="1">
      <alignment horizontal="center" vertical="top" wrapText="1"/>
    </xf>
    <xf numFmtId="0" fontId="56" fillId="0" borderId="0" xfId="0" applyFont="1"/>
    <xf numFmtId="0" fontId="56" fillId="0" borderId="0" xfId="3" applyFont="1" applyFill="1" applyBorder="1" applyAlignment="1">
      <alignment horizontal="center" vertical="center" wrapText="1"/>
    </xf>
    <xf numFmtId="0" fontId="27" fillId="0" borderId="0" xfId="0" applyFont="1" applyAlignment="1">
      <alignment horizontal="center" vertical="center" wrapText="1"/>
    </xf>
    <xf numFmtId="0" fontId="0" fillId="0" borderId="34" xfId="0" applyBorder="1"/>
    <xf numFmtId="0" fontId="0" fillId="0" borderId="35" xfId="0" applyBorder="1"/>
    <xf numFmtId="0" fontId="0" fillId="0" borderId="36" xfId="0" applyBorder="1"/>
    <xf numFmtId="0" fontId="0" fillId="0" borderId="10" xfId="0" applyBorder="1" applyAlignment="1">
      <alignment vertical="center" wrapText="1"/>
    </xf>
    <xf numFmtId="0" fontId="0" fillId="0" borderId="11" xfId="0" applyBorder="1" applyAlignment="1">
      <alignment vertical="center" wrapText="1"/>
    </xf>
    <xf numFmtId="43" fontId="0" fillId="0" borderId="0" xfId="0" applyNumberFormat="1" applyAlignment="1">
      <alignment vertical="center" wrapText="1"/>
    </xf>
    <xf numFmtId="173" fontId="0" fillId="28" borderId="0" xfId="0" applyNumberFormat="1" applyFill="1"/>
    <xf numFmtId="43" fontId="0" fillId="0" borderId="0" xfId="1" applyFont="1" applyFill="1" applyBorder="1"/>
    <xf numFmtId="44" fontId="0" fillId="0" borderId="0" xfId="1" applyNumberFormat="1" applyFont="1" applyFill="1" applyBorder="1"/>
    <xf numFmtId="174" fontId="0" fillId="0" borderId="0" xfId="1" applyNumberFormat="1" applyFont="1" applyFill="1" applyBorder="1"/>
    <xf numFmtId="175" fontId="0" fillId="0" borderId="0" xfId="0" applyNumberFormat="1"/>
    <xf numFmtId="43" fontId="0" fillId="0" borderId="13" xfId="1" applyFont="1" applyBorder="1"/>
    <xf numFmtId="43" fontId="0" fillId="0" borderId="37" xfId="0" applyNumberFormat="1" applyBorder="1"/>
    <xf numFmtId="43" fontId="0" fillId="4" borderId="0" xfId="0" applyNumberFormat="1" applyFill="1"/>
    <xf numFmtId="173" fontId="0" fillId="4" borderId="0" xfId="0" applyNumberFormat="1" applyFill="1"/>
    <xf numFmtId="43" fontId="0" fillId="4" borderId="0" xfId="1" applyFont="1" applyFill="1" applyBorder="1"/>
    <xf numFmtId="44" fontId="0" fillId="4" borderId="0" xfId="1" applyNumberFormat="1" applyFont="1" applyFill="1" applyBorder="1"/>
    <xf numFmtId="174" fontId="0" fillId="4" borderId="0" xfId="1" applyNumberFormat="1" applyFont="1" applyFill="1" applyBorder="1"/>
    <xf numFmtId="0" fontId="0" fillId="4" borderId="0" xfId="0" applyFill="1"/>
    <xf numFmtId="175" fontId="0" fillId="4" borderId="0" xfId="0" applyNumberFormat="1" applyFill="1"/>
    <xf numFmtId="43" fontId="0" fillId="4" borderId="37" xfId="0" applyNumberFormat="1" applyFill="1" applyBorder="1"/>
    <xf numFmtId="43" fontId="0" fillId="4" borderId="13" xfId="1" applyFont="1" applyFill="1" applyBorder="1"/>
    <xf numFmtId="0" fontId="0" fillId="28" borderId="13" xfId="0" applyFill="1" applyBorder="1"/>
    <xf numFmtId="0" fontId="0" fillId="28" borderId="4" xfId="0" applyFill="1" applyBorder="1"/>
    <xf numFmtId="0" fontId="2" fillId="28" borderId="4" xfId="0" applyFont="1" applyFill="1" applyBorder="1"/>
    <xf numFmtId="43" fontId="0" fillId="28" borderId="11" xfId="0" applyNumberFormat="1" applyFill="1" applyBorder="1" applyAlignment="1">
      <alignment vertical="center" wrapText="1"/>
    </xf>
    <xf numFmtId="43" fontId="0" fillId="28" borderId="37" xfId="0" applyNumberFormat="1" applyFill="1" applyBorder="1"/>
    <xf numFmtId="43" fontId="0" fillId="28" borderId="0" xfId="0" applyNumberFormat="1" applyFill="1"/>
    <xf numFmtId="173" fontId="0" fillId="0" borderId="0" xfId="0" applyNumberFormat="1" applyAlignment="1">
      <alignment vertical="center" wrapText="1"/>
    </xf>
    <xf numFmtId="173" fontId="0" fillId="28" borderId="0" xfId="0" applyNumberFormat="1" applyFill="1" applyAlignment="1">
      <alignment vertical="center" wrapText="1"/>
    </xf>
    <xf numFmtId="173" fontId="0" fillId="0" borderId="18" xfId="0" applyNumberFormat="1" applyBorder="1" applyAlignment="1">
      <alignment vertical="center" wrapText="1"/>
    </xf>
    <xf numFmtId="44" fontId="0" fillId="0" borderId="0" xfId="0" applyNumberFormat="1" applyAlignment="1">
      <alignment vertical="center" wrapText="1"/>
    </xf>
    <xf numFmtId="43" fontId="0" fillId="28" borderId="38" xfId="1" applyFont="1" applyFill="1" applyBorder="1"/>
    <xf numFmtId="43" fontId="0" fillId="28" borderId="39" xfId="1" applyFont="1" applyFill="1" applyBorder="1"/>
    <xf numFmtId="43" fontId="0" fillId="28" borderId="40" xfId="1" applyFont="1" applyFill="1" applyBorder="1"/>
    <xf numFmtId="43" fontId="6" fillId="0" borderId="0" xfId="0" applyNumberFormat="1" applyFont="1" applyAlignment="1">
      <alignment horizontal="center"/>
    </xf>
    <xf numFmtId="3" fontId="0" fillId="7" borderId="4" xfId="0" applyNumberFormat="1" applyFill="1" applyBorder="1" applyProtection="1">
      <protection locked="0"/>
    </xf>
    <xf numFmtId="0" fontId="0" fillId="7" borderId="31" xfId="0" applyFill="1" applyBorder="1" applyProtection="1">
      <protection locked="0"/>
    </xf>
    <xf numFmtId="164" fontId="0" fillId="7" borderId="4" xfId="0" applyNumberFormat="1" applyFill="1" applyBorder="1"/>
    <xf numFmtId="43" fontId="15" fillId="0" borderId="0" xfId="1" applyFont="1"/>
    <xf numFmtId="2" fontId="0" fillId="2" borderId="0" xfId="0" applyNumberFormat="1" applyFill="1"/>
    <xf numFmtId="175" fontId="0" fillId="44" borderId="4" xfId="0" applyNumberFormat="1" applyFill="1" applyBorder="1"/>
    <xf numFmtId="176" fontId="0" fillId="44" borderId="4" xfId="0" applyNumberFormat="1" applyFill="1" applyBorder="1"/>
    <xf numFmtId="176" fontId="4" fillId="27" borderId="4" xfId="3" applyNumberFormat="1" applyFont="1" applyFill="1" applyBorder="1" applyAlignment="1" applyProtection="1">
      <alignment horizontal="left" vertical="center"/>
      <protection locked="0"/>
    </xf>
    <xf numFmtId="43" fontId="5" fillId="0" borderId="0" xfId="4" applyNumberFormat="1"/>
    <xf numFmtId="165" fontId="5" fillId="40" borderId="0" xfId="1" applyNumberFormat="1" applyFont="1" applyFill="1" applyAlignment="1">
      <alignment horizontal="center" vertical="center" wrapText="1"/>
    </xf>
    <xf numFmtId="165" fontId="5" fillId="40" borderId="0" xfId="1" applyNumberFormat="1" applyFont="1" applyFill="1" applyAlignment="1">
      <alignment vertical="center" wrapText="1"/>
    </xf>
    <xf numFmtId="0" fontId="5" fillId="40" borderId="0" xfId="4" applyFill="1" applyAlignment="1">
      <alignment vertical="center" wrapText="1"/>
    </xf>
    <xf numFmtId="43" fontId="5" fillId="40" borderId="0" xfId="1" applyFont="1" applyFill="1"/>
    <xf numFmtId="43" fontId="5" fillId="40" borderId="0" xfId="4" applyNumberFormat="1" applyFill="1"/>
    <xf numFmtId="43" fontId="4" fillId="40" borderId="41" xfId="4" applyNumberFormat="1" applyFont="1" applyFill="1" applyBorder="1"/>
    <xf numFmtId="165" fontId="5" fillId="44" borderId="4" xfId="1" applyNumberFormat="1" applyFont="1" applyFill="1" applyBorder="1" applyAlignment="1">
      <alignment horizontal="center" vertical="center" wrapText="1"/>
    </xf>
    <xf numFmtId="165" fontId="5" fillId="44" borderId="4" xfId="1" applyNumberFormat="1" applyFont="1" applyFill="1" applyBorder="1" applyAlignment="1">
      <alignment vertical="center" wrapText="1"/>
    </xf>
    <xf numFmtId="0" fontId="5" fillId="44" borderId="4" xfId="4" applyFill="1" applyBorder="1" applyAlignment="1">
      <alignment vertical="center" wrapText="1"/>
    </xf>
    <xf numFmtId="43" fontId="5" fillId="44" borderId="4" xfId="1" applyFont="1" applyFill="1" applyBorder="1"/>
    <xf numFmtId="43" fontId="4" fillId="44" borderId="41" xfId="4" applyNumberFormat="1" applyFont="1" applyFill="1" applyBorder="1"/>
    <xf numFmtId="43" fontId="4" fillId="40" borderId="42" xfId="4" applyNumberFormat="1" applyFont="1" applyFill="1" applyBorder="1"/>
    <xf numFmtId="43" fontId="4" fillId="38" borderId="4" xfId="4" applyNumberFormat="1" applyFont="1" applyFill="1" applyBorder="1"/>
    <xf numFmtId="0" fontId="4" fillId="38" borderId="4" xfId="4" applyFont="1" applyFill="1" applyBorder="1" applyAlignment="1">
      <alignment vertical="center" wrapText="1"/>
    </xf>
    <xf numFmtId="169" fontId="4" fillId="38" borderId="4" xfId="1" applyNumberFormat="1" applyFont="1" applyFill="1" applyBorder="1"/>
    <xf numFmtId="0" fontId="5" fillId="4" borderId="0" xfId="4" applyFill="1" applyAlignment="1">
      <alignment horizontal="center" vertical="center" wrapText="1"/>
    </xf>
    <xf numFmtId="0" fontId="22" fillId="4" borderId="0" xfId="4" applyFont="1" applyFill="1" applyAlignment="1">
      <alignment horizontal="center"/>
    </xf>
    <xf numFmtId="0" fontId="5" fillId="4" borderId="0" xfId="4" applyFill="1" applyAlignment="1">
      <alignment horizontal="center"/>
    </xf>
    <xf numFmtId="0" fontId="5" fillId="4" borderId="0" xfId="4" applyFill="1"/>
    <xf numFmtId="165" fontId="4" fillId="0" borderId="43" xfId="1" applyNumberFormat="1" applyFont="1" applyBorder="1"/>
    <xf numFmtId="165" fontId="35" fillId="0" borderId="43" xfId="1" applyNumberFormat="1" applyFont="1" applyBorder="1"/>
    <xf numFmtId="0" fontId="0" fillId="2" borderId="19" xfId="0" applyFill="1" applyBorder="1"/>
    <xf numFmtId="0" fontId="0" fillId="2" borderId="21" xfId="0" applyFill="1" applyBorder="1"/>
    <xf numFmtId="0" fontId="0" fillId="2" borderId="44" xfId="0" applyFill="1" applyBorder="1"/>
    <xf numFmtId="0" fontId="0" fillId="2" borderId="45" xfId="0" applyFill="1" applyBorder="1"/>
    <xf numFmtId="0" fontId="2" fillId="2" borderId="0" xfId="0" applyFont="1" applyFill="1"/>
    <xf numFmtId="3" fontId="0" fillId="0" borderId="0" xfId="0" applyNumberFormat="1" applyProtection="1">
      <protection locked="0"/>
    </xf>
    <xf numFmtId="164" fontId="0" fillId="0" borderId="0" xfId="0" applyNumberFormat="1"/>
    <xf numFmtId="166" fontId="5" fillId="0" borderId="0" xfId="3" applyNumberFormat="1" applyFont="1" applyBorder="1" applyAlignment="1" applyProtection="1">
      <alignment horizontal="left" vertical="center"/>
      <protection locked="0"/>
    </xf>
    <xf numFmtId="165" fontId="0" fillId="0" borderId="0" xfId="1" applyNumberFormat="1" applyFont="1" applyBorder="1"/>
    <xf numFmtId="0" fontId="4" fillId="0" borderId="0" xfId="3" applyFont="1" applyBorder="1" applyAlignment="1" applyProtection="1">
      <alignment horizontal="left" vertical="center"/>
      <protection locked="0"/>
    </xf>
    <xf numFmtId="0" fontId="5" fillId="2" borderId="0" xfId="3" applyFont="1" applyFill="1" applyBorder="1" applyAlignment="1" applyProtection="1">
      <alignment horizontal="left" vertical="center"/>
      <protection locked="0"/>
    </xf>
    <xf numFmtId="0" fontId="2" fillId="2" borderId="0" xfId="0" applyFont="1" applyFill="1" applyAlignment="1">
      <alignment horizontal="center"/>
    </xf>
    <xf numFmtId="43" fontId="0" fillId="2" borderId="0" xfId="1" applyFont="1" applyFill="1" applyBorder="1"/>
    <xf numFmtId="0" fontId="0" fillId="2" borderId="46" xfId="0" applyFill="1" applyBorder="1"/>
    <xf numFmtId="0" fontId="0" fillId="2" borderId="47" xfId="0" applyFill="1" applyBorder="1"/>
    <xf numFmtId="0" fontId="34" fillId="19" borderId="0" xfId="0" applyFont="1" applyFill="1"/>
    <xf numFmtId="0" fontId="0" fillId="19" borderId="0" xfId="0" applyFill="1"/>
    <xf numFmtId="0" fontId="0" fillId="19" borderId="0" xfId="0" applyFill="1" applyProtection="1">
      <protection hidden="1"/>
    </xf>
    <xf numFmtId="0" fontId="37" fillId="19" borderId="0" xfId="0" applyFont="1" applyFill="1" applyAlignment="1">
      <alignment horizontal="left"/>
    </xf>
    <xf numFmtId="0" fontId="37" fillId="19" borderId="0" xfId="0" applyFont="1" applyFill="1" applyProtection="1">
      <protection locked="0"/>
    </xf>
    <xf numFmtId="0" fontId="34" fillId="19" borderId="0" xfId="0" applyFont="1" applyFill="1" applyAlignment="1">
      <alignment horizontal="left"/>
    </xf>
    <xf numFmtId="0" fontId="33" fillId="19" borderId="0" xfId="0" applyFont="1" applyFill="1"/>
    <xf numFmtId="0" fontId="0" fillId="19" borderId="21" xfId="0" applyFill="1" applyBorder="1"/>
    <xf numFmtId="0" fontId="0" fillId="19" borderId="44" xfId="0" applyFill="1" applyBorder="1"/>
    <xf numFmtId="0" fontId="0" fillId="19" borderId="47" xfId="0" applyFill="1" applyBorder="1"/>
    <xf numFmtId="0" fontId="0" fillId="0" borderId="44" xfId="0" applyBorder="1"/>
    <xf numFmtId="0" fontId="36" fillId="19" borderId="0" xfId="0" applyFont="1" applyFill="1"/>
    <xf numFmtId="0" fontId="0" fillId="0" borderId="45" xfId="0" applyBorder="1"/>
    <xf numFmtId="0" fontId="0" fillId="19" borderId="19" xfId="0" applyFill="1" applyBorder="1"/>
    <xf numFmtId="0" fontId="0" fillId="19" borderId="45" xfId="0" applyFill="1" applyBorder="1"/>
    <xf numFmtId="0" fontId="0" fillId="19" borderId="46" xfId="0" applyFill="1" applyBorder="1"/>
    <xf numFmtId="176" fontId="0" fillId="2" borderId="0" xfId="0" applyNumberFormat="1" applyFill="1"/>
    <xf numFmtId="43" fontId="0" fillId="2" borderId="0" xfId="0" applyNumberFormat="1" applyFill="1"/>
    <xf numFmtId="165" fontId="5" fillId="0" borderId="4" xfId="1" applyNumberFormat="1" applyFont="1" applyBorder="1" applyAlignment="1">
      <alignment horizontal="center" vertical="center" wrapText="1"/>
    </xf>
    <xf numFmtId="165" fontId="5" fillId="0" borderId="4" xfId="1" applyNumberFormat="1" applyFont="1" applyBorder="1" applyAlignment="1">
      <alignment vertical="center" wrapText="1"/>
    </xf>
    <xf numFmtId="165" fontId="5" fillId="0" borderId="31" xfId="1" applyNumberFormat="1" applyFont="1" applyBorder="1"/>
    <xf numFmtId="165" fontId="5" fillId="0" borderId="4" xfId="1" applyNumberFormat="1" applyFont="1" applyBorder="1" applyAlignment="1">
      <alignment horizontal="center"/>
    </xf>
    <xf numFmtId="165" fontId="4" fillId="0" borderId="4" xfId="1" applyNumberFormat="1" applyFont="1" applyBorder="1" applyAlignment="1">
      <alignment horizontal="center"/>
    </xf>
    <xf numFmtId="165" fontId="54" fillId="0" borderId="4" xfId="1" applyNumberFormat="1" applyFont="1" applyBorder="1" applyAlignment="1">
      <alignment horizontal="center"/>
    </xf>
    <xf numFmtId="165" fontId="22" fillId="0" borderId="4" xfId="1" applyNumberFormat="1" applyFont="1" applyBorder="1" applyAlignment="1">
      <alignment horizontal="center"/>
    </xf>
    <xf numFmtId="165" fontId="54" fillId="0" borderId="4" xfId="1" applyNumberFormat="1" applyFont="1" applyBorder="1"/>
    <xf numFmtId="175" fontId="2" fillId="44" borderId="4" xfId="0" applyNumberFormat="1" applyFont="1" applyFill="1" applyBorder="1"/>
    <xf numFmtId="176" fontId="2" fillId="44" borderId="4" xfId="0" applyNumberFormat="1" applyFont="1" applyFill="1" applyBorder="1"/>
    <xf numFmtId="164" fontId="2" fillId="7" borderId="4" xfId="0" applyNumberFormat="1" applyFont="1" applyFill="1" applyBorder="1"/>
    <xf numFmtId="165" fontId="2" fillId="2" borderId="4" xfId="1" applyNumberFormat="1" applyFont="1" applyFill="1" applyBorder="1"/>
    <xf numFmtId="165" fontId="2" fillId="39" borderId="4" xfId="1" applyNumberFormat="1" applyFont="1" applyFill="1" applyBorder="1"/>
    <xf numFmtId="164" fontId="2" fillId="39" borderId="4" xfId="0" applyNumberFormat="1" applyFont="1" applyFill="1" applyBorder="1"/>
    <xf numFmtId="165" fontId="0" fillId="39" borderId="4" xfId="1" applyNumberFormat="1" applyFont="1" applyFill="1" applyBorder="1" applyProtection="1"/>
    <xf numFmtId="3" fontId="0" fillId="39" borderId="4" xfId="0" applyNumberFormat="1" applyFill="1" applyBorder="1"/>
    <xf numFmtId="164" fontId="0" fillId="2" borderId="4" xfId="0" applyNumberFormat="1" applyFill="1" applyBorder="1"/>
    <xf numFmtId="0" fontId="5" fillId="0" borderId="1" xfId="4" applyBorder="1" applyAlignment="1">
      <alignment horizontal="center"/>
    </xf>
    <xf numFmtId="0" fontId="5" fillId="0" borderId="2" xfId="4" applyBorder="1" applyAlignment="1">
      <alignment horizontal="center"/>
    </xf>
    <xf numFmtId="0" fontId="5" fillId="0" borderId="3" xfId="4" applyBorder="1" applyAlignment="1">
      <alignment horizontal="center"/>
    </xf>
    <xf numFmtId="0" fontId="5" fillId="0" borderId="0" xfId="4" applyAlignment="1">
      <alignment horizontal="center"/>
    </xf>
    <xf numFmtId="0" fontId="5" fillId="0" borderId="19" xfId="4" applyBorder="1" applyAlignment="1">
      <alignment horizontal="center"/>
    </xf>
    <xf numFmtId="0" fontId="5" fillId="0" borderId="20" xfId="4" applyBorder="1" applyAlignment="1">
      <alignment horizontal="center"/>
    </xf>
    <xf numFmtId="0" fontId="5" fillId="0" borderId="21" xfId="4" applyBorder="1" applyAlignment="1">
      <alignment horizontal="center"/>
    </xf>
    <xf numFmtId="0" fontId="16" fillId="10" borderId="0" xfId="11" applyFont="1" applyFill="1" applyAlignment="1">
      <alignment horizontal="left" wrapText="1"/>
    </xf>
    <xf numFmtId="0" fontId="43" fillId="25" borderId="29" xfId="5" applyFont="1" applyFill="1" applyBorder="1" applyAlignment="1">
      <alignment horizontal="center" vertical="center" wrapText="1"/>
    </xf>
    <xf numFmtId="0" fontId="43" fillId="25" borderId="10" xfId="5" applyFont="1" applyFill="1" applyBorder="1" applyAlignment="1">
      <alignment horizontal="center" vertical="center" wrapText="1"/>
    </xf>
    <xf numFmtId="0" fontId="43" fillId="26" borderId="29" xfId="5" applyFont="1" applyFill="1" applyBorder="1" applyAlignment="1">
      <alignment horizontal="center" vertical="center" wrapText="1"/>
    </xf>
    <xf numFmtId="0" fontId="43" fillId="26" borderId="10" xfId="5" applyFont="1" applyFill="1" applyBorder="1" applyAlignment="1">
      <alignment horizontal="center" vertical="center" wrapText="1"/>
    </xf>
    <xf numFmtId="0" fontId="15" fillId="6" borderId="27" xfId="5" applyFill="1" applyBorder="1" applyAlignment="1">
      <alignment horizontal="center"/>
    </xf>
    <xf numFmtId="0" fontId="15" fillId="6" borderId="28" xfId="5" applyFill="1" applyBorder="1" applyAlignment="1">
      <alignment horizontal="center"/>
    </xf>
    <xf numFmtId="0" fontId="4" fillId="23" borderId="1" xfId="5" applyFont="1" applyFill="1" applyBorder="1" applyAlignment="1">
      <alignment horizontal="center"/>
    </xf>
    <xf numFmtId="0" fontId="4" fillId="23" borderId="2" xfId="5" applyFont="1" applyFill="1" applyBorder="1" applyAlignment="1">
      <alignment horizontal="center"/>
    </xf>
    <xf numFmtId="0" fontId="4" fillId="24" borderId="1" xfId="5" applyFont="1" applyFill="1" applyBorder="1" applyAlignment="1">
      <alignment horizontal="center"/>
    </xf>
    <xf numFmtId="0" fontId="4" fillId="24" borderId="2" xfId="5" applyFont="1" applyFill="1" applyBorder="1" applyAlignment="1">
      <alignment horizontal="center"/>
    </xf>
    <xf numFmtId="0" fontId="4" fillId="24" borderId="3" xfId="5" applyFont="1" applyFill="1" applyBorder="1" applyAlignment="1">
      <alignment horizontal="center"/>
    </xf>
    <xf numFmtId="0" fontId="15" fillId="2" borderId="0" xfId="5" applyFill="1" applyAlignment="1">
      <alignment horizontal="center"/>
    </xf>
    <xf numFmtId="0" fontId="43" fillId="25" borderId="29" xfId="13" applyFont="1" applyFill="1" applyBorder="1" applyAlignment="1">
      <alignment horizontal="center" vertical="center" wrapText="1"/>
    </xf>
    <xf numFmtId="0" fontId="43" fillId="25" borderId="10" xfId="13" applyFont="1" applyFill="1" applyBorder="1" applyAlignment="1">
      <alignment horizontal="center" vertical="center" wrapText="1"/>
    </xf>
    <xf numFmtId="0" fontId="43" fillId="26" borderId="29" xfId="13" applyFont="1" applyFill="1" applyBorder="1" applyAlignment="1">
      <alignment horizontal="center" vertical="center" wrapText="1"/>
    </xf>
    <xf numFmtId="0" fontId="43" fillId="26" borderId="10" xfId="13" applyFont="1" applyFill="1" applyBorder="1" applyAlignment="1">
      <alignment horizontal="center" vertical="center" wrapText="1"/>
    </xf>
    <xf numFmtId="0" fontId="15" fillId="6" borderId="27" xfId="13" applyFill="1" applyBorder="1" applyAlignment="1">
      <alignment horizontal="center"/>
    </xf>
    <xf numFmtId="0" fontId="15" fillId="6" borderId="28" xfId="13" applyFill="1" applyBorder="1" applyAlignment="1">
      <alignment horizontal="center"/>
    </xf>
    <xf numFmtId="0" fontId="4" fillId="23" borderId="1" xfId="13" applyFont="1" applyFill="1" applyBorder="1" applyAlignment="1">
      <alignment horizontal="center"/>
    </xf>
    <xf numFmtId="0" fontId="4" fillId="23" borderId="2" xfId="13" applyFont="1" applyFill="1" applyBorder="1" applyAlignment="1">
      <alignment horizontal="center"/>
    </xf>
    <xf numFmtId="0" fontId="4" fillId="24" borderId="1" xfId="13" applyFont="1" applyFill="1" applyBorder="1" applyAlignment="1">
      <alignment horizontal="center"/>
    </xf>
    <xf numFmtId="0" fontId="4" fillId="24" borderId="2" xfId="13" applyFont="1" applyFill="1" applyBorder="1" applyAlignment="1">
      <alignment horizontal="center"/>
    </xf>
    <xf numFmtId="0" fontId="4" fillId="24" borderId="3" xfId="13" applyFont="1" applyFill="1" applyBorder="1" applyAlignment="1">
      <alignment horizontal="center"/>
    </xf>
  </cellXfs>
  <cellStyles count="15">
    <cellStyle name="%" xfId="8" xr:uid="{B72D2E1C-1476-4413-A7E8-552ED771B52B}"/>
    <cellStyle name="Comma" xfId="1" builtinId="3"/>
    <cellStyle name="Comma 3" xfId="9" xr:uid="{5C775392-CDC3-4F20-8414-4C83BC16ED38}"/>
    <cellStyle name="Currency" xfId="2" builtinId="4"/>
    <cellStyle name="Currency 2" xfId="14" xr:uid="{292818C3-BD6C-47E0-9E37-0CB2F8C41961}"/>
    <cellStyle name="Hyperlink" xfId="3" builtinId="8"/>
    <cellStyle name="Normal" xfId="0" builtinId="0"/>
    <cellStyle name="Normal 14" xfId="10" xr:uid="{7A28665D-CC7D-4D4C-B953-370CDD162C2B}"/>
    <cellStyle name="Normal 143" xfId="6" xr:uid="{20B1F56E-781B-4E0B-8E78-069E3547828E}"/>
    <cellStyle name="Normal 143 2" xfId="7" xr:uid="{8CE1DD11-B87E-4EB5-85EB-BE996A9347FB}"/>
    <cellStyle name="Normal 2" xfId="4" xr:uid="{6C18BAED-1E72-4BC2-A255-2D015FDA3252}"/>
    <cellStyle name="Normal 5" xfId="5" xr:uid="{E37BBFA2-05F8-492A-8364-9CBBBF78A133}"/>
    <cellStyle name="Normal 5 2" xfId="11" xr:uid="{21670246-9F2A-437F-8D15-BCEAB7EBAD75}"/>
    <cellStyle name="Normal 5 3" xfId="13" xr:uid="{16B55D5A-83A3-4C97-B052-B1CF0DA9E8E5}"/>
    <cellStyle name="Normal 8" xfId="12" xr:uid="{9431870E-BD00-4C79-8352-0A780EEEA3C5}"/>
  </cellStyles>
  <dxfs count="7">
    <dxf>
      <font>
        <color rgb="FF9C0006"/>
      </font>
      <fill>
        <patternFill>
          <bgColor rgb="FFFFC7CE"/>
        </patternFill>
      </fill>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CCECFF"/>
      <color rgb="FFD0007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18</xdr:col>
      <xdr:colOff>100006</xdr:colOff>
      <xdr:row>0</xdr:row>
      <xdr:rowOff>121860</xdr:rowOff>
    </xdr:from>
    <xdr:ext cx="3016785" cy="941991"/>
    <xdr:pic>
      <xdr:nvPicPr>
        <xdr:cNvPr id="8" name="Picture 1" descr="Birmingham City Council">
          <a:extLst>
            <a:ext uri="{FF2B5EF4-FFF2-40B4-BE49-F238E27FC236}">
              <a16:creationId xmlns:a16="http://schemas.microsoft.com/office/drawing/2014/main" id="{7ED5C81C-CFEE-4D05-B3D8-E7FF3B55E4E6}"/>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stretch>
          <a:fillRect/>
        </a:stretch>
      </xdr:blipFill>
      <xdr:spPr>
        <a:xfrm>
          <a:off x="14292256" y="121860"/>
          <a:ext cx="3016785" cy="941991"/>
        </a:xfrm>
        <a:prstGeom prst="rect">
          <a:avLst/>
        </a:prstGeom>
      </xdr:spPr>
    </xdr:pic>
    <xdr:clientData/>
  </xdr:oneCellAnchor>
  <xdr:twoCellAnchor editAs="oneCell">
    <xdr:from>
      <xdr:col>17</xdr:col>
      <xdr:colOff>864806</xdr:colOff>
      <xdr:row>4</xdr:row>
      <xdr:rowOff>149075</xdr:rowOff>
    </xdr:from>
    <xdr:to>
      <xdr:col>22</xdr:col>
      <xdr:colOff>83606</xdr:colOff>
      <xdr:row>6</xdr:row>
      <xdr:rowOff>164137</xdr:rowOff>
    </xdr:to>
    <xdr:pic>
      <xdr:nvPicPr>
        <xdr:cNvPr id="9" name="Picture 2" descr="Reset Reshape Restart">
          <a:extLst>
            <a:ext uri="{FF2B5EF4-FFF2-40B4-BE49-F238E27FC236}">
              <a16:creationId xmlns:a16="http://schemas.microsoft.com/office/drawing/2014/main" id="{5F67DD8A-3726-4D08-9135-F2B2017C6D2A}"/>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stretch>
          <a:fillRect/>
        </a:stretch>
      </xdr:blipFill>
      <xdr:spPr>
        <a:xfrm>
          <a:off x="14157473" y="1069825"/>
          <a:ext cx="3658509" cy="5018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18</xdr:col>
      <xdr:colOff>100006</xdr:colOff>
      <xdr:row>0</xdr:row>
      <xdr:rowOff>121860</xdr:rowOff>
    </xdr:from>
    <xdr:ext cx="3016785" cy="941991"/>
    <xdr:pic>
      <xdr:nvPicPr>
        <xdr:cNvPr id="2" name="Picture 1" descr="Birmingham City Council">
          <a:extLst>
            <a:ext uri="{FF2B5EF4-FFF2-40B4-BE49-F238E27FC236}">
              <a16:creationId xmlns:a16="http://schemas.microsoft.com/office/drawing/2014/main" id="{59CEFB56-2766-461D-81CF-1E29858AD186}"/>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stretch>
          <a:fillRect/>
        </a:stretch>
      </xdr:blipFill>
      <xdr:spPr>
        <a:xfrm>
          <a:off x="16178206" y="121860"/>
          <a:ext cx="3016785" cy="941991"/>
        </a:xfrm>
        <a:prstGeom prst="rect">
          <a:avLst/>
        </a:prstGeom>
      </xdr:spPr>
    </xdr:pic>
    <xdr:clientData/>
  </xdr:oneCellAnchor>
  <xdr:twoCellAnchor editAs="oneCell">
    <xdr:from>
      <xdr:col>17</xdr:col>
      <xdr:colOff>864806</xdr:colOff>
      <xdr:row>4</xdr:row>
      <xdr:rowOff>149075</xdr:rowOff>
    </xdr:from>
    <xdr:to>
      <xdr:col>22</xdr:col>
      <xdr:colOff>131232</xdr:colOff>
      <xdr:row>6</xdr:row>
      <xdr:rowOff>164137</xdr:rowOff>
    </xdr:to>
    <xdr:pic>
      <xdr:nvPicPr>
        <xdr:cNvPr id="3" name="Picture 2" descr="Reset Reshape Restart">
          <a:extLst>
            <a:ext uri="{FF2B5EF4-FFF2-40B4-BE49-F238E27FC236}">
              <a16:creationId xmlns:a16="http://schemas.microsoft.com/office/drawing/2014/main" id="{A7F2D7B2-1983-4009-A8ED-C5AEA314F0DB}"/>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stretch>
          <a:fillRect/>
        </a:stretch>
      </xdr:blipFill>
      <xdr:spPr>
        <a:xfrm>
          <a:off x="16047656" y="1053950"/>
          <a:ext cx="3533626" cy="4913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16</xdr:col>
      <xdr:colOff>1223956</xdr:colOff>
      <xdr:row>0</xdr:row>
      <xdr:rowOff>93285</xdr:rowOff>
    </xdr:from>
    <xdr:ext cx="3016785" cy="941991"/>
    <xdr:pic>
      <xdr:nvPicPr>
        <xdr:cNvPr id="2" name="Picture 1">
          <a:extLst>
            <a:ext uri="{FF2B5EF4-FFF2-40B4-BE49-F238E27FC236}">
              <a16:creationId xmlns:a16="http://schemas.microsoft.com/office/drawing/2014/main" id="{2D317A49-2342-401B-A9A7-4FDE17A0DFBA}"/>
            </a:ext>
          </a:extLst>
        </xdr:cNvPr>
        <xdr:cNvPicPr>
          <a:picLocks noChangeAspect="1"/>
        </xdr:cNvPicPr>
      </xdr:nvPicPr>
      <xdr:blipFill>
        <a:blip xmlns:r="http://schemas.openxmlformats.org/officeDocument/2006/relationships" r:embed="rId1"/>
        <a:stretch>
          <a:fillRect/>
        </a:stretch>
      </xdr:blipFill>
      <xdr:spPr>
        <a:xfrm>
          <a:off x="11263306" y="93285"/>
          <a:ext cx="3016785" cy="941991"/>
        </a:xfrm>
        <a:prstGeom prst="rect">
          <a:avLst/>
        </a:prstGeom>
      </xdr:spPr>
    </xdr:pic>
    <xdr:clientData/>
  </xdr:oneCellAnchor>
  <xdr:twoCellAnchor editAs="oneCell">
    <xdr:from>
      <xdr:col>16</xdr:col>
      <xdr:colOff>798131</xdr:colOff>
      <xdr:row>4</xdr:row>
      <xdr:rowOff>149075</xdr:rowOff>
    </xdr:from>
    <xdr:to>
      <xdr:col>22</xdr:col>
      <xdr:colOff>305858</xdr:colOff>
      <xdr:row>6</xdr:row>
      <xdr:rowOff>164137</xdr:rowOff>
    </xdr:to>
    <xdr:pic>
      <xdr:nvPicPr>
        <xdr:cNvPr id="3" name="Picture 2">
          <a:extLst>
            <a:ext uri="{FF2B5EF4-FFF2-40B4-BE49-F238E27FC236}">
              <a16:creationId xmlns:a16="http://schemas.microsoft.com/office/drawing/2014/main" id="{57C37BBD-56A3-4E0D-BEC2-CB246E6E2089}"/>
            </a:ext>
          </a:extLst>
        </xdr:cNvPr>
        <xdr:cNvPicPr>
          <a:picLocks noChangeAspect="1"/>
        </xdr:cNvPicPr>
      </xdr:nvPicPr>
      <xdr:blipFill>
        <a:blip xmlns:r="http://schemas.openxmlformats.org/officeDocument/2006/relationships" r:embed="rId2"/>
        <a:stretch>
          <a:fillRect/>
        </a:stretch>
      </xdr:blipFill>
      <xdr:spPr>
        <a:xfrm>
          <a:off x="10837481" y="1053950"/>
          <a:ext cx="3527277" cy="49131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Cameron Birkett" id="{6587EDF7-D997-4915-A490-27B2D4C39362}" userId="S::Cameron.Birkett@birmingham.gov.uk::92177288-7bf8-432f-b8e4-24cf83a0a80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C153" dT="2024-10-17T13:30:58.54" personId="{6587EDF7-D997-4915-A490-27B2D4C39362}" id="{82CD1F18-9F15-411D-86CF-AC7E0C6BD0B1}">
    <text>Paid direct to academy</text>
  </threadedComment>
</ThreadedComments>
</file>

<file path=xl/worksheets/_rels/sheet10.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2.xml.rels><?xml version="1.0" encoding="UTF-8" standalone="yes"?>
<Relationships xmlns="http://schemas.openxmlformats.org/package/2006/relationships"><Relationship Id="rId2" Type="http://schemas.openxmlformats.org/officeDocument/2006/relationships/hyperlink" Target="file:///C:\:x:\s\SchoolFairfundingTeam\EZ64mjG_JMRIoeDA3RGBZ-AByjth7m17hQrayRbsbp0DYw%3fe=CSxYuA" TargetMode="External"/><Relationship Id="rId1" Type="http://schemas.openxmlformats.org/officeDocument/2006/relationships/hyperlink" Target="https://skillsfunding.service.gov.uk/view-latest-funding/dedicated-schools-grant/funding-breakdown/2021-to-2022/330/18-7-2022?includeHistory=true"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4A7F4-6EB9-4C6F-AFB2-99BED0DD6856}">
  <sheetPr codeName="Sheet1"/>
  <dimension ref="A1:I36"/>
  <sheetViews>
    <sheetView workbookViewId="0">
      <selection activeCell="A2" sqref="A2"/>
    </sheetView>
  </sheetViews>
  <sheetFormatPr defaultRowHeight="14.5" x14ac:dyDescent="0.35"/>
  <cols>
    <col min="1" max="1" width="41.1796875" customWidth="1"/>
    <col min="2" max="2" width="89.26953125" bestFit="1" customWidth="1"/>
    <col min="3" max="3" width="2.54296875" customWidth="1"/>
    <col min="8" max="8" width="13.26953125" bestFit="1" customWidth="1"/>
  </cols>
  <sheetData>
    <row r="1" spans="1:7" x14ac:dyDescent="0.35">
      <c r="A1" s="356" t="s">
        <v>1134</v>
      </c>
      <c r="B1" s="357"/>
    </row>
    <row r="3" spans="1:7" x14ac:dyDescent="0.35">
      <c r="A3" s="339" t="s">
        <v>737</v>
      </c>
      <c r="B3" s="339"/>
      <c r="C3" s="342"/>
      <c r="D3" s="342"/>
      <c r="E3" s="342"/>
      <c r="F3" s="342"/>
      <c r="G3" s="342"/>
    </row>
    <row r="4" spans="1:7" x14ac:dyDescent="0.35">
      <c r="A4" s="338" t="s">
        <v>736</v>
      </c>
      <c r="B4" s="338"/>
      <c r="C4" s="342"/>
      <c r="D4" s="342"/>
      <c r="E4" s="342"/>
      <c r="F4" s="342"/>
      <c r="G4" s="342"/>
    </row>
    <row r="6" spans="1:7" x14ac:dyDescent="0.35">
      <c r="A6" s="5" t="s">
        <v>748</v>
      </c>
    </row>
    <row r="7" spans="1:7" x14ac:dyDescent="0.35">
      <c r="A7" s="5" t="s">
        <v>753</v>
      </c>
      <c r="B7" t="s">
        <v>738</v>
      </c>
    </row>
    <row r="8" spans="1:7" x14ac:dyDescent="0.35">
      <c r="A8" s="354" t="s">
        <v>750</v>
      </c>
      <c r="B8" s="353" t="s">
        <v>740</v>
      </c>
    </row>
    <row r="9" spans="1:7" ht="29" x14ac:dyDescent="0.35">
      <c r="A9" s="360" t="s">
        <v>744</v>
      </c>
      <c r="B9" s="353" t="s">
        <v>762</v>
      </c>
    </row>
    <row r="10" spans="1:7" ht="58" x14ac:dyDescent="0.35">
      <c r="A10" s="354" t="s">
        <v>543</v>
      </c>
      <c r="B10" s="353" t="s">
        <v>761</v>
      </c>
    </row>
    <row r="11" spans="1:7" x14ac:dyDescent="0.35">
      <c r="A11" s="5" t="s">
        <v>745</v>
      </c>
    </row>
    <row r="12" spans="1:7" ht="29" x14ac:dyDescent="0.35">
      <c r="A12" s="354" t="s">
        <v>744</v>
      </c>
      <c r="B12" s="353" t="s">
        <v>763</v>
      </c>
    </row>
    <row r="13" spans="1:7" x14ac:dyDescent="0.35">
      <c r="A13" t="s">
        <v>759</v>
      </c>
      <c r="B13" t="s">
        <v>741</v>
      </c>
      <c r="D13" s="5" t="s">
        <v>1119</v>
      </c>
    </row>
    <row r="14" spans="1:7" x14ac:dyDescent="0.35">
      <c r="A14" t="s">
        <v>760</v>
      </c>
      <c r="D14" s="358" t="s">
        <v>513</v>
      </c>
      <c r="E14" s="358" t="s">
        <v>515</v>
      </c>
      <c r="F14" s="358" t="s">
        <v>517</v>
      </c>
      <c r="G14" s="358" t="s">
        <v>755</v>
      </c>
    </row>
    <row r="15" spans="1:7" x14ac:dyDescent="0.35">
      <c r="D15" s="4">
        <v>13</v>
      </c>
      <c r="E15" s="4">
        <v>13</v>
      </c>
      <c r="F15" s="4">
        <v>12</v>
      </c>
      <c r="G15" s="4">
        <v>38</v>
      </c>
    </row>
    <row r="17" spans="1:9" x14ac:dyDescent="0.35">
      <c r="A17" s="5" t="s">
        <v>739</v>
      </c>
      <c r="B17" s="5" t="s">
        <v>1123</v>
      </c>
      <c r="D17" s="5" t="s">
        <v>756</v>
      </c>
    </row>
    <row r="18" spans="1:9" x14ac:dyDescent="0.35">
      <c r="A18" s="5"/>
      <c r="D18" s="358" t="s">
        <v>513</v>
      </c>
      <c r="E18" s="358" t="s">
        <v>515</v>
      </c>
      <c r="F18" s="358" t="s">
        <v>517</v>
      </c>
      <c r="G18" s="358" t="s">
        <v>755</v>
      </c>
    </row>
    <row r="19" spans="1:9" x14ac:dyDescent="0.35">
      <c r="A19" t="s">
        <v>9</v>
      </c>
      <c r="B19" t="s">
        <v>1128</v>
      </c>
      <c r="D19" s="359">
        <v>5.66</v>
      </c>
      <c r="E19" s="359">
        <v>5.66</v>
      </c>
      <c r="F19" s="359">
        <v>5.66</v>
      </c>
      <c r="G19" s="359"/>
      <c r="H19" s="4" t="s">
        <v>758</v>
      </c>
    </row>
    <row r="20" spans="1:9" x14ac:dyDescent="0.35">
      <c r="A20" t="s">
        <v>10</v>
      </c>
      <c r="B20" t="s">
        <v>1128</v>
      </c>
      <c r="D20" s="359">
        <v>5.66</v>
      </c>
      <c r="E20" s="359">
        <v>5.66</v>
      </c>
      <c r="F20" s="359">
        <v>5.66</v>
      </c>
      <c r="G20" s="359"/>
      <c r="H20" s="4" t="s">
        <v>758</v>
      </c>
    </row>
    <row r="21" spans="1:9" x14ac:dyDescent="0.35">
      <c r="A21" t="s">
        <v>11</v>
      </c>
      <c r="B21" t="s">
        <v>1128</v>
      </c>
      <c r="D21" s="359">
        <v>8.51</v>
      </c>
      <c r="E21" s="359">
        <v>8.51</v>
      </c>
      <c r="F21" s="359">
        <v>8.51</v>
      </c>
      <c r="G21" s="359"/>
      <c r="H21" s="4" t="s">
        <v>758</v>
      </c>
    </row>
    <row r="22" spans="1:9" x14ac:dyDescent="0.35">
      <c r="A22" t="s">
        <v>220</v>
      </c>
      <c r="B22" t="s">
        <v>1128</v>
      </c>
      <c r="D22" s="359">
        <v>8.51</v>
      </c>
      <c r="E22" s="359">
        <v>8.51</v>
      </c>
      <c r="F22" s="359">
        <v>8.51</v>
      </c>
      <c r="G22" s="359"/>
      <c r="H22" s="4" t="s">
        <v>758</v>
      </c>
    </row>
    <row r="23" spans="1:9" x14ac:dyDescent="0.35">
      <c r="A23" t="s">
        <v>12</v>
      </c>
      <c r="B23" t="s">
        <v>1128</v>
      </c>
      <c r="D23" s="359">
        <v>11.92</v>
      </c>
      <c r="E23" s="359">
        <v>11.92</v>
      </c>
      <c r="F23" s="359">
        <v>11.92</v>
      </c>
      <c r="G23" s="359"/>
      <c r="H23" s="4" t="s">
        <v>758</v>
      </c>
    </row>
    <row r="24" spans="1:9" x14ac:dyDescent="0.35">
      <c r="A24" t="s">
        <v>492</v>
      </c>
      <c r="B24" t="s">
        <v>1128</v>
      </c>
      <c r="D24" s="359">
        <v>0.61</v>
      </c>
      <c r="E24" s="359">
        <v>0.61</v>
      </c>
      <c r="F24" s="359">
        <v>0.61</v>
      </c>
      <c r="G24" s="359"/>
      <c r="H24" s="4" t="s">
        <v>758</v>
      </c>
    </row>
    <row r="25" spans="1:9" x14ac:dyDescent="0.35">
      <c r="A25" t="s">
        <v>493</v>
      </c>
      <c r="B25" t="s">
        <v>1128</v>
      </c>
      <c r="D25" s="359">
        <v>0.28999999999999998</v>
      </c>
      <c r="E25" s="359">
        <v>0.28999999999999998</v>
      </c>
      <c r="F25" s="359">
        <v>0.28999999999999998</v>
      </c>
      <c r="G25" s="359"/>
      <c r="H25" s="4" t="s">
        <v>758</v>
      </c>
    </row>
    <row r="26" spans="1:9" x14ac:dyDescent="0.35">
      <c r="A26" t="s">
        <v>494</v>
      </c>
      <c r="B26" t="s">
        <v>1128</v>
      </c>
      <c r="D26" s="359">
        <v>0.08</v>
      </c>
      <c r="E26" s="359">
        <v>0.08</v>
      </c>
      <c r="F26" s="359">
        <v>0.08</v>
      </c>
      <c r="G26" s="359"/>
      <c r="H26" s="4" t="s">
        <v>758</v>
      </c>
    </row>
    <row r="27" spans="1:9" x14ac:dyDescent="0.35">
      <c r="A27" t="s">
        <v>1099</v>
      </c>
      <c r="B27" t="s">
        <v>1129</v>
      </c>
      <c r="D27" s="359">
        <v>2.29</v>
      </c>
      <c r="E27" s="359">
        <v>2.29</v>
      </c>
      <c r="F27" s="359">
        <v>2.29</v>
      </c>
      <c r="G27" s="359"/>
      <c r="H27" s="4" t="s">
        <v>1116</v>
      </c>
    </row>
    <row r="28" spans="1:9" x14ac:dyDescent="0.35">
      <c r="A28" t="s">
        <v>1117</v>
      </c>
      <c r="B28" t="s">
        <v>1129</v>
      </c>
      <c r="D28" s="359">
        <v>14.34</v>
      </c>
      <c r="E28" s="359">
        <v>14.34</v>
      </c>
      <c r="F28" s="359">
        <v>14.34</v>
      </c>
      <c r="G28" s="359"/>
      <c r="H28" s="4" t="s">
        <v>1116</v>
      </c>
    </row>
    <row r="29" spans="1:9" x14ac:dyDescent="0.35">
      <c r="A29" t="s">
        <v>13</v>
      </c>
      <c r="B29" t="s">
        <v>1133</v>
      </c>
      <c r="D29" s="359">
        <v>1</v>
      </c>
      <c r="E29" s="359">
        <v>1</v>
      </c>
      <c r="F29" s="359">
        <v>1</v>
      </c>
      <c r="G29" s="359"/>
      <c r="H29" s="4" t="s">
        <v>1118</v>
      </c>
    </row>
    <row r="30" spans="1:9" x14ac:dyDescent="0.35">
      <c r="A30" t="s">
        <v>14</v>
      </c>
      <c r="B30" t="s">
        <v>1127</v>
      </c>
      <c r="D30" s="359">
        <v>938</v>
      </c>
      <c r="E30" s="359"/>
      <c r="F30" s="359"/>
      <c r="G30" s="359"/>
      <c r="H30" s="4" t="s">
        <v>757</v>
      </c>
      <c r="I30" t="s">
        <v>1120</v>
      </c>
    </row>
    <row r="31" spans="1:9" x14ac:dyDescent="0.35">
      <c r="A31" t="s">
        <v>754</v>
      </c>
      <c r="B31" t="s">
        <v>1130</v>
      </c>
    </row>
    <row r="34" spans="1:1" x14ac:dyDescent="0.35">
      <c r="A34" s="5" t="s">
        <v>1121</v>
      </c>
    </row>
    <row r="36" spans="1:1" x14ac:dyDescent="0.35">
      <c r="A36" t="s">
        <v>1122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D7D67-F16E-4853-8943-174A99CB8846}">
  <sheetPr codeName="Sheet5" filterMode="1"/>
  <dimension ref="A1:AO208"/>
  <sheetViews>
    <sheetView zoomScale="80" zoomScaleNormal="80" workbookViewId="0">
      <selection activeCell="M3" sqref="M3"/>
    </sheetView>
  </sheetViews>
  <sheetFormatPr defaultColWidth="8.7265625" defaultRowHeight="13" x14ac:dyDescent="0.3"/>
  <cols>
    <col min="1" max="1" width="9" style="26" bestFit="1" customWidth="1"/>
    <col min="2" max="2" width="32.1796875" style="27" customWidth="1"/>
    <col min="3" max="3" width="15.1796875" style="27" customWidth="1"/>
    <col min="4" max="6" width="9.54296875" style="27" customWidth="1"/>
    <col min="7" max="8" width="8.7265625" style="27" customWidth="1"/>
    <col min="9" max="9" width="12.81640625" style="29" customWidth="1"/>
    <col min="10" max="10" width="12.453125" style="26" customWidth="1"/>
    <col min="11" max="13" width="9" style="26" customWidth="1"/>
    <col min="14" max="14" width="15.7265625" style="31" customWidth="1"/>
    <col min="15" max="16" width="8.7265625" style="27" customWidth="1"/>
    <col min="17" max="17" width="13" style="27" customWidth="1"/>
    <col min="18" max="18" width="10.26953125" style="26" customWidth="1"/>
    <col min="19" max="19" width="12.7265625" style="26" customWidth="1"/>
    <col min="20" max="20" width="14.453125" style="27" customWidth="1"/>
    <col min="21" max="21" width="11" style="27" customWidth="1"/>
    <col min="22" max="22" width="11.26953125" style="27" customWidth="1"/>
    <col min="23" max="23" width="11.453125" style="27" bestFit="1" customWidth="1"/>
    <col min="24" max="24" width="12.1796875" style="27" customWidth="1"/>
    <col min="25" max="25" width="10.81640625" style="27" bestFit="1" customWidth="1"/>
    <col min="26" max="26" width="12.453125" style="27" bestFit="1" customWidth="1"/>
    <col min="27" max="27" width="10.453125" style="27" bestFit="1" customWidth="1"/>
    <col min="28" max="29" width="8.7265625" style="27"/>
    <col min="30" max="32" width="8.7265625" style="27" bestFit="1" customWidth="1"/>
    <col min="33" max="16384" width="8.7265625" style="27"/>
  </cols>
  <sheetData>
    <row r="1" spans="1:26" ht="13.5" thickBot="1" x14ac:dyDescent="0.35">
      <c r="B1" s="27" t="s">
        <v>222</v>
      </c>
      <c r="D1" s="28">
        <v>13</v>
      </c>
      <c r="J1" s="30">
        <v>0</v>
      </c>
    </row>
    <row r="2" spans="1:26" x14ac:dyDescent="0.3">
      <c r="A2" s="26">
        <v>1</v>
      </c>
      <c r="B2" s="26">
        <v>2</v>
      </c>
      <c r="C2" s="26">
        <v>3</v>
      </c>
      <c r="D2" s="26">
        <v>4</v>
      </c>
      <c r="E2" s="26">
        <v>5</v>
      </c>
      <c r="F2" s="26">
        <v>6</v>
      </c>
      <c r="G2" s="26">
        <v>7</v>
      </c>
      <c r="H2" s="26">
        <v>8</v>
      </c>
      <c r="I2" s="26">
        <v>9</v>
      </c>
      <c r="J2" s="26">
        <v>10</v>
      </c>
      <c r="K2" s="26">
        <v>11</v>
      </c>
      <c r="L2" s="26">
        <v>12</v>
      </c>
      <c r="M2" s="26">
        <v>13</v>
      </c>
      <c r="N2" s="26">
        <v>14</v>
      </c>
      <c r="O2" s="26">
        <v>15</v>
      </c>
      <c r="P2" s="26">
        <v>16</v>
      </c>
      <c r="Q2" s="26">
        <v>17</v>
      </c>
      <c r="R2" s="26">
        <v>18</v>
      </c>
      <c r="S2" s="26">
        <v>19</v>
      </c>
      <c r="T2" s="26">
        <v>20</v>
      </c>
      <c r="U2" s="26">
        <v>21</v>
      </c>
      <c r="V2" s="26">
        <v>22</v>
      </c>
      <c r="Z2" s="39"/>
    </row>
    <row r="3" spans="1:26" s="33" customFormat="1" x14ac:dyDescent="0.3">
      <c r="A3" s="32" t="s">
        <v>223</v>
      </c>
      <c r="D3" s="33">
        <v>3</v>
      </c>
      <c r="E3" s="33">
        <v>45</v>
      </c>
      <c r="F3" s="34">
        <v>6973.2000000000007</v>
      </c>
      <c r="G3" s="33">
        <v>983</v>
      </c>
      <c r="H3" s="33">
        <v>14730</v>
      </c>
      <c r="I3" s="35">
        <v>1629579.9</v>
      </c>
      <c r="J3" s="33">
        <v>6387</v>
      </c>
      <c r="K3" s="33">
        <v>95719</v>
      </c>
      <c r="L3" s="33">
        <v>1104</v>
      </c>
      <c r="M3" s="33">
        <v>16120.5</v>
      </c>
      <c r="N3" s="35">
        <v>8229420.4100000067</v>
      </c>
      <c r="O3" s="33">
        <v>2486</v>
      </c>
      <c r="P3" s="33">
        <v>36698</v>
      </c>
      <c r="Q3" s="35">
        <v>477089</v>
      </c>
      <c r="R3" s="33">
        <v>1710</v>
      </c>
      <c r="S3" s="35">
        <v>127530.00000000016</v>
      </c>
      <c r="T3" s="35">
        <v>10470307.509999996</v>
      </c>
      <c r="U3" s="33">
        <v>95</v>
      </c>
      <c r="V3" s="35">
        <v>30485.000000000004</v>
      </c>
    </row>
    <row r="4" spans="1:26" s="33" customFormat="1" x14ac:dyDescent="0.3">
      <c r="A4" s="32" t="s">
        <v>224</v>
      </c>
      <c r="F4" s="34"/>
      <c r="G4" s="33">
        <v>983</v>
      </c>
      <c r="H4" s="33">
        <v>14730</v>
      </c>
      <c r="I4" s="36"/>
      <c r="J4" s="33">
        <v>6387</v>
      </c>
      <c r="K4" s="33">
        <v>95719</v>
      </c>
      <c r="L4" s="36">
        <v>1104</v>
      </c>
      <c r="M4" s="33">
        <v>16120.5</v>
      </c>
      <c r="O4" s="33">
        <v>2486</v>
      </c>
      <c r="P4" s="33">
        <v>36698</v>
      </c>
      <c r="R4" s="33">
        <v>1710</v>
      </c>
      <c r="U4" s="33">
        <v>95</v>
      </c>
    </row>
    <row r="5" spans="1:26" x14ac:dyDescent="0.3">
      <c r="F5" s="37">
        <v>11.92</v>
      </c>
      <c r="I5" s="37">
        <v>8.51</v>
      </c>
      <c r="N5" s="38">
        <v>5.66</v>
      </c>
      <c r="Q5" s="39">
        <v>1</v>
      </c>
      <c r="S5" s="40">
        <v>74.578947368421055</v>
      </c>
      <c r="T5" s="41"/>
      <c r="U5" s="27">
        <v>95</v>
      </c>
      <c r="V5" s="42">
        <v>320.89473684210526</v>
      </c>
    </row>
    <row r="6" spans="1:26" s="44" customFormat="1" ht="104" x14ac:dyDescent="0.3">
      <c r="A6" s="43" t="s">
        <v>225</v>
      </c>
      <c r="B6" s="43" t="s">
        <v>226</v>
      </c>
      <c r="C6" s="43"/>
      <c r="D6" s="43" t="s">
        <v>385</v>
      </c>
      <c r="E6" s="43" t="s">
        <v>228</v>
      </c>
      <c r="F6" s="43" t="s">
        <v>229</v>
      </c>
      <c r="G6" s="44" t="s">
        <v>386</v>
      </c>
      <c r="H6" s="44" t="s">
        <v>387</v>
      </c>
      <c r="I6" s="45" t="s">
        <v>388</v>
      </c>
      <c r="J6" s="44" t="s">
        <v>389</v>
      </c>
      <c r="K6" s="44" t="s">
        <v>390</v>
      </c>
      <c r="L6" s="44" t="s">
        <v>391</v>
      </c>
      <c r="M6" s="44" t="s">
        <v>392</v>
      </c>
      <c r="N6" s="46" t="s">
        <v>393</v>
      </c>
      <c r="O6" s="44" t="s">
        <v>394</v>
      </c>
      <c r="P6" s="44" t="s">
        <v>395</v>
      </c>
      <c r="Q6" s="44" t="s">
        <v>396</v>
      </c>
      <c r="R6" s="44" t="s">
        <v>397</v>
      </c>
      <c r="S6" s="44" t="s">
        <v>398</v>
      </c>
      <c r="T6" s="47" t="s">
        <v>399</v>
      </c>
      <c r="U6" s="44" t="s">
        <v>400</v>
      </c>
      <c r="V6" s="44" t="s">
        <v>14</v>
      </c>
      <c r="X6" s="48" t="s">
        <v>401</v>
      </c>
      <c r="Z6" s="44" t="s">
        <v>402</v>
      </c>
    </row>
    <row r="7" spans="1:26" hidden="1" x14ac:dyDescent="0.3">
      <c r="A7" s="26">
        <v>1000</v>
      </c>
      <c r="B7" s="27" t="s">
        <v>207</v>
      </c>
      <c r="C7" s="27" t="s">
        <v>27</v>
      </c>
      <c r="D7" s="27">
        <v>0</v>
      </c>
      <c r="E7" s="27">
        <v>0</v>
      </c>
      <c r="F7" s="39">
        <v>0</v>
      </c>
      <c r="G7" s="26">
        <v>0</v>
      </c>
      <c r="H7" s="26">
        <v>0</v>
      </c>
      <c r="I7" s="29">
        <v>0</v>
      </c>
      <c r="J7" s="26">
        <v>64</v>
      </c>
      <c r="K7" s="26">
        <v>960</v>
      </c>
      <c r="L7" s="26">
        <v>23</v>
      </c>
      <c r="M7" s="26">
        <v>269.29999999999995</v>
      </c>
      <c r="N7" s="31">
        <v>90451.894</v>
      </c>
      <c r="O7" s="26">
        <v>12</v>
      </c>
      <c r="P7" s="26">
        <v>180</v>
      </c>
      <c r="Q7" s="49">
        <v>2340</v>
      </c>
      <c r="R7" s="26">
        <v>11</v>
      </c>
      <c r="S7" s="50">
        <v>820.36842105263156</v>
      </c>
      <c r="T7" s="51">
        <v>93612.262421052626</v>
      </c>
      <c r="U7" s="26">
        <v>0</v>
      </c>
      <c r="V7" s="52">
        <v>0</v>
      </c>
      <c r="X7" s="78">
        <f>(T7+V7)*0.8</f>
        <v>74889.80993684211</v>
      </c>
      <c r="Y7" s="39"/>
      <c r="Z7" s="27">
        <v>1120.0800000000002</v>
      </c>
    </row>
    <row r="8" spans="1:26" hidden="1" x14ac:dyDescent="0.3">
      <c r="A8" s="26">
        <v>1001</v>
      </c>
      <c r="B8" s="27" t="s">
        <v>181</v>
      </c>
      <c r="C8" s="27" t="s">
        <v>27</v>
      </c>
      <c r="D8" s="27">
        <v>0</v>
      </c>
      <c r="E8" s="27">
        <v>0</v>
      </c>
      <c r="F8" s="39">
        <v>0</v>
      </c>
      <c r="G8" s="26">
        <v>25</v>
      </c>
      <c r="H8" s="26">
        <v>375</v>
      </c>
      <c r="I8" s="29">
        <v>41486.25</v>
      </c>
      <c r="J8" s="26">
        <v>41</v>
      </c>
      <c r="K8" s="26">
        <v>615</v>
      </c>
      <c r="L8" s="26">
        <v>4</v>
      </c>
      <c r="M8" s="26">
        <v>60</v>
      </c>
      <c r="N8" s="31">
        <v>49666.500000000007</v>
      </c>
      <c r="O8" s="26">
        <v>28</v>
      </c>
      <c r="P8" s="26">
        <v>420</v>
      </c>
      <c r="Q8" s="49">
        <v>5460</v>
      </c>
      <c r="R8" s="26">
        <v>0</v>
      </c>
      <c r="S8" s="50">
        <v>0</v>
      </c>
      <c r="T8" s="51">
        <v>96612.75</v>
      </c>
      <c r="U8" s="26">
        <v>1</v>
      </c>
      <c r="V8" s="52">
        <v>320.89473684210526</v>
      </c>
      <c r="X8" s="78">
        <f t="shared" ref="X8:X71" si="0">(T8+V8)*0.8</f>
        <v>77546.915789473685</v>
      </c>
      <c r="Z8" s="27">
        <v>1274.52</v>
      </c>
    </row>
    <row r="9" spans="1:26" hidden="1" x14ac:dyDescent="0.3">
      <c r="A9" s="26">
        <v>1002</v>
      </c>
      <c r="B9" s="27" t="s">
        <v>46</v>
      </c>
      <c r="C9" s="27" t="s">
        <v>27</v>
      </c>
      <c r="D9" s="27">
        <v>0</v>
      </c>
      <c r="E9" s="27">
        <v>0</v>
      </c>
      <c r="F9" s="39">
        <v>0</v>
      </c>
      <c r="G9" s="26">
        <v>36</v>
      </c>
      <c r="H9" s="26">
        <v>540</v>
      </c>
      <c r="I9" s="29">
        <v>59740.2</v>
      </c>
      <c r="J9" s="26">
        <v>56</v>
      </c>
      <c r="K9" s="26">
        <v>840</v>
      </c>
      <c r="L9" s="26">
        <v>3</v>
      </c>
      <c r="M9" s="26">
        <v>30</v>
      </c>
      <c r="N9" s="31">
        <v>64014.600000000006</v>
      </c>
      <c r="O9" s="26">
        <v>62</v>
      </c>
      <c r="P9" s="26">
        <v>915</v>
      </c>
      <c r="Q9" s="49">
        <v>11895</v>
      </c>
      <c r="R9" s="26">
        <v>60</v>
      </c>
      <c r="S9" s="50">
        <v>4474.7368421052633</v>
      </c>
      <c r="T9" s="51">
        <v>140124.53684210524</v>
      </c>
      <c r="U9" s="26">
        <v>2</v>
      </c>
      <c r="V9" s="52">
        <v>641.78947368421052</v>
      </c>
      <c r="X9" s="78">
        <f t="shared" si="0"/>
        <v>112613.06105263157</v>
      </c>
      <c r="Z9" s="27">
        <v>7397.52</v>
      </c>
    </row>
    <row r="10" spans="1:26" hidden="1" x14ac:dyDescent="0.3">
      <c r="A10" s="26">
        <v>1006</v>
      </c>
      <c r="B10" s="27" t="s">
        <v>77</v>
      </c>
      <c r="C10" s="27" t="s">
        <v>27</v>
      </c>
      <c r="D10" s="27">
        <v>0</v>
      </c>
      <c r="E10" s="27">
        <v>0</v>
      </c>
      <c r="F10" s="39">
        <v>0</v>
      </c>
      <c r="G10" s="26">
        <v>5</v>
      </c>
      <c r="H10" s="26">
        <v>75</v>
      </c>
      <c r="I10" s="29">
        <v>8297.25</v>
      </c>
      <c r="J10" s="26">
        <v>64</v>
      </c>
      <c r="K10" s="26">
        <v>960</v>
      </c>
      <c r="L10" s="26">
        <v>21</v>
      </c>
      <c r="M10" s="26">
        <v>315</v>
      </c>
      <c r="N10" s="31">
        <v>93814.5</v>
      </c>
      <c r="O10" s="26">
        <v>13</v>
      </c>
      <c r="P10" s="26">
        <v>180</v>
      </c>
      <c r="Q10" s="49">
        <v>2340</v>
      </c>
      <c r="R10" s="26">
        <v>2</v>
      </c>
      <c r="S10" s="50">
        <v>149.15789473684211</v>
      </c>
      <c r="T10" s="51">
        <v>104600.90789473684</v>
      </c>
      <c r="U10" s="26">
        <v>6</v>
      </c>
      <c r="V10" s="52">
        <v>1925.3684210526317</v>
      </c>
      <c r="X10" s="78">
        <f t="shared" si="0"/>
        <v>85221.021052631579</v>
      </c>
      <c r="Z10" s="27">
        <v>1595.88</v>
      </c>
    </row>
    <row r="11" spans="1:26" hidden="1" x14ac:dyDescent="0.3">
      <c r="A11" s="26">
        <v>1008</v>
      </c>
      <c r="B11" s="27" t="s">
        <v>247</v>
      </c>
      <c r="C11" s="27" t="s">
        <v>27</v>
      </c>
      <c r="D11" s="27">
        <v>0</v>
      </c>
      <c r="E11" s="27">
        <v>0</v>
      </c>
      <c r="F11" s="39">
        <v>0</v>
      </c>
      <c r="G11" s="26">
        <v>0</v>
      </c>
      <c r="H11" s="26">
        <v>0</v>
      </c>
      <c r="I11" s="29">
        <v>0</v>
      </c>
      <c r="J11" s="26">
        <v>61</v>
      </c>
      <c r="K11" s="26">
        <v>915</v>
      </c>
      <c r="L11" s="26">
        <v>27</v>
      </c>
      <c r="M11" s="26">
        <v>405</v>
      </c>
      <c r="N11" s="31">
        <v>97125.6</v>
      </c>
      <c r="O11" s="26">
        <v>12</v>
      </c>
      <c r="P11" s="26">
        <v>180</v>
      </c>
      <c r="Q11" s="49">
        <v>2340</v>
      </c>
      <c r="R11" s="26">
        <v>0</v>
      </c>
      <c r="S11" s="50">
        <v>0</v>
      </c>
      <c r="T11" s="51">
        <v>99465.600000000006</v>
      </c>
      <c r="U11" s="26">
        <v>1</v>
      </c>
      <c r="V11" s="52">
        <v>320.89473684210526</v>
      </c>
      <c r="X11" s="78">
        <f t="shared" si="0"/>
        <v>79829.195789473699</v>
      </c>
      <c r="Z11" s="27">
        <v>235.56</v>
      </c>
    </row>
    <row r="12" spans="1:26" hidden="1" x14ac:dyDescent="0.3">
      <c r="A12" s="26">
        <v>1009</v>
      </c>
      <c r="B12" s="27" t="s">
        <v>248</v>
      </c>
      <c r="C12" s="27" t="s">
        <v>27</v>
      </c>
      <c r="D12" s="27">
        <v>0</v>
      </c>
      <c r="E12" s="27">
        <v>0</v>
      </c>
      <c r="F12" s="39">
        <v>0</v>
      </c>
      <c r="G12" s="26">
        <v>42</v>
      </c>
      <c r="H12" s="26">
        <v>630</v>
      </c>
      <c r="I12" s="29">
        <v>69696.899999999994</v>
      </c>
      <c r="J12" s="26">
        <v>62</v>
      </c>
      <c r="K12" s="26">
        <v>930</v>
      </c>
      <c r="L12" s="26">
        <v>8</v>
      </c>
      <c r="M12" s="26">
        <v>120</v>
      </c>
      <c r="N12" s="31">
        <v>77259.000000000015</v>
      </c>
      <c r="O12" s="26">
        <v>21</v>
      </c>
      <c r="P12" s="26">
        <v>315</v>
      </c>
      <c r="Q12" s="49">
        <v>4095</v>
      </c>
      <c r="R12" s="26">
        <v>18</v>
      </c>
      <c r="S12" s="50">
        <v>1342.421052631579</v>
      </c>
      <c r="T12" s="51">
        <v>152393.3210526316</v>
      </c>
      <c r="U12" s="26">
        <v>0</v>
      </c>
      <c r="V12" s="52">
        <v>0</v>
      </c>
      <c r="X12" s="78">
        <f t="shared" si="0"/>
        <v>121914.65684210528</v>
      </c>
      <c r="Z12" s="27">
        <v>4185.4800000000005</v>
      </c>
    </row>
    <row r="13" spans="1:26" hidden="1" x14ac:dyDescent="0.3">
      <c r="A13" s="26">
        <v>1010</v>
      </c>
      <c r="B13" s="27" t="s">
        <v>249</v>
      </c>
      <c r="C13" s="27" t="s">
        <v>27</v>
      </c>
      <c r="D13" s="27">
        <v>0</v>
      </c>
      <c r="E13" s="27">
        <v>0</v>
      </c>
      <c r="F13" s="39">
        <v>0</v>
      </c>
      <c r="G13" s="26">
        <v>61</v>
      </c>
      <c r="H13" s="26">
        <v>915</v>
      </c>
      <c r="I13" s="29">
        <v>101226.45</v>
      </c>
      <c r="J13" s="26">
        <v>75</v>
      </c>
      <c r="K13" s="26">
        <v>1125</v>
      </c>
      <c r="L13" s="26">
        <v>11</v>
      </c>
      <c r="M13" s="26">
        <v>165</v>
      </c>
      <c r="N13" s="31">
        <v>94918.2</v>
      </c>
      <c r="O13" s="26">
        <v>23</v>
      </c>
      <c r="P13" s="26">
        <v>345</v>
      </c>
      <c r="Q13" s="49">
        <v>4485</v>
      </c>
      <c r="R13" s="26">
        <v>23</v>
      </c>
      <c r="S13" s="50">
        <v>1715.3157894736842</v>
      </c>
      <c r="T13" s="51">
        <v>202344.96578947367</v>
      </c>
      <c r="U13" s="26">
        <v>7</v>
      </c>
      <c r="V13" s="52">
        <v>2246.2631578947367</v>
      </c>
      <c r="X13" s="78">
        <f t="shared" si="0"/>
        <v>163672.98315789475</v>
      </c>
      <c r="Z13" s="27">
        <v>3015.48</v>
      </c>
    </row>
    <row r="14" spans="1:26" hidden="1" x14ac:dyDescent="0.3">
      <c r="A14" s="26">
        <v>1012</v>
      </c>
      <c r="B14" s="27" t="s">
        <v>109</v>
      </c>
      <c r="C14" s="27" t="s">
        <v>27</v>
      </c>
      <c r="D14" s="27">
        <v>0</v>
      </c>
      <c r="E14" s="27">
        <v>0</v>
      </c>
      <c r="F14" s="39">
        <v>0</v>
      </c>
      <c r="G14" s="26">
        <v>39</v>
      </c>
      <c r="H14" s="26">
        <v>585</v>
      </c>
      <c r="I14" s="29">
        <v>64718.549999999996</v>
      </c>
      <c r="J14" s="26">
        <v>74</v>
      </c>
      <c r="K14" s="26">
        <v>1110</v>
      </c>
      <c r="L14" s="26">
        <v>18</v>
      </c>
      <c r="M14" s="26">
        <v>270</v>
      </c>
      <c r="N14" s="31">
        <v>101540.40000000001</v>
      </c>
      <c r="O14" s="26">
        <v>53</v>
      </c>
      <c r="P14" s="26">
        <v>795</v>
      </c>
      <c r="Q14" s="49">
        <v>10335</v>
      </c>
      <c r="R14" s="26">
        <v>0</v>
      </c>
      <c r="S14" s="50">
        <v>0</v>
      </c>
      <c r="T14" s="51">
        <v>176593.95</v>
      </c>
      <c r="U14" s="26">
        <v>1</v>
      </c>
      <c r="V14" s="52">
        <v>320.89473684210526</v>
      </c>
      <c r="X14" s="78">
        <f t="shared" si="0"/>
        <v>141531.87578947371</v>
      </c>
      <c r="Z14" s="27">
        <v>3096.6000000000004</v>
      </c>
    </row>
    <row r="15" spans="1:26" hidden="1" x14ac:dyDescent="0.3">
      <c r="A15" s="26">
        <v>1014</v>
      </c>
      <c r="B15" s="27" t="s">
        <v>167</v>
      </c>
      <c r="C15" s="27" t="s">
        <v>27</v>
      </c>
      <c r="D15" s="27">
        <v>0</v>
      </c>
      <c r="E15" s="27">
        <v>0</v>
      </c>
      <c r="F15" s="39">
        <v>0</v>
      </c>
      <c r="G15" s="26">
        <v>31</v>
      </c>
      <c r="H15" s="26">
        <v>465</v>
      </c>
      <c r="I15" s="29">
        <v>51442.95</v>
      </c>
      <c r="J15" s="26">
        <v>63</v>
      </c>
      <c r="K15" s="26">
        <v>945</v>
      </c>
      <c r="L15" s="26">
        <v>18</v>
      </c>
      <c r="M15" s="26">
        <v>270</v>
      </c>
      <c r="N15" s="31">
        <v>89399.700000000012</v>
      </c>
      <c r="O15" s="26">
        <v>53</v>
      </c>
      <c r="P15" s="26">
        <v>765</v>
      </c>
      <c r="Q15" s="49">
        <v>9945</v>
      </c>
      <c r="R15" s="26">
        <v>18</v>
      </c>
      <c r="S15" s="50">
        <v>1342.421052631579</v>
      </c>
      <c r="T15" s="51">
        <v>152130.0710526316</v>
      </c>
      <c r="U15" s="26">
        <v>3</v>
      </c>
      <c r="V15" s="52">
        <v>962.68421052631584</v>
      </c>
      <c r="X15" s="78">
        <f t="shared" si="0"/>
        <v>122474.20421052634</v>
      </c>
      <c r="Z15" s="27">
        <v>3976.4399999999996</v>
      </c>
    </row>
    <row r="16" spans="1:26" hidden="1" x14ac:dyDescent="0.3">
      <c r="A16" s="26">
        <v>1015</v>
      </c>
      <c r="B16" s="27" t="s">
        <v>250</v>
      </c>
      <c r="C16" s="27" t="s">
        <v>27</v>
      </c>
      <c r="D16" s="27">
        <v>0</v>
      </c>
      <c r="E16" s="27">
        <v>0</v>
      </c>
      <c r="F16" s="39">
        <v>0</v>
      </c>
      <c r="G16" s="26">
        <v>32</v>
      </c>
      <c r="H16" s="26">
        <v>480</v>
      </c>
      <c r="I16" s="29">
        <v>53102.400000000001</v>
      </c>
      <c r="J16" s="26">
        <v>71</v>
      </c>
      <c r="K16" s="26">
        <v>1065</v>
      </c>
      <c r="L16" s="26">
        <v>36</v>
      </c>
      <c r="M16" s="26">
        <v>540</v>
      </c>
      <c r="N16" s="31">
        <v>118095.9</v>
      </c>
      <c r="O16" s="26">
        <v>36</v>
      </c>
      <c r="P16" s="26">
        <v>540</v>
      </c>
      <c r="Q16" s="49">
        <v>7020</v>
      </c>
      <c r="R16" s="26">
        <v>36</v>
      </c>
      <c r="S16" s="50">
        <v>2684.8421052631579</v>
      </c>
      <c r="T16" s="51">
        <v>180903.14210526313</v>
      </c>
      <c r="U16" s="26">
        <v>6</v>
      </c>
      <c r="V16" s="52">
        <v>1925.3684210526317</v>
      </c>
      <c r="X16" s="78">
        <f t="shared" si="0"/>
        <v>146262.80842105261</v>
      </c>
      <c r="Z16" s="27">
        <v>1511.64</v>
      </c>
    </row>
    <row r="17" spans="1:26" hidden="1" x14ac:dyDescent="0.3">
      <c r="A17" s="26">
        <v>1016</v>
      </c>
      <c r="B17" s="27" t="s">
        <v>101</v>
      </c>
      <c r="C17" s="27" t="s">
        <v>27</v>
      </c>
      <c r="D17" s="27">
        <v>0</v>
      </c>
      <c r="E17" s="27">
        <v>0</v>
      </c>
      <c r="F17" s="39">
        <v>0</v>
      </c>
      <c r="G17" s="26">
        <v>21</v>
      </c>
      <c r="H17" s="26">
        <v>315</v>
      </c>
      <c r="I17" s="29">
        <v>34848.449999999997</v>
      </c>
      <c r="J17" s="26">
        <v>62</v>
      </c>
      <c r="K17" s="26">
        <v>930</v>
      </c>
      <c r="L17" s="26">
        <v>26</v>
      </c>
      <c r="M17" s="26">
        <v>378.5</v>
      </c>
      <c r="N17" s="31">
        <v>96279.430000000008</v>
      </c>
      <c r="O17" s="26">
        <v>34</v>
      </c>
      <c r="P17" s="26">
        <v>495</v>
      </c>
      <c r="Q17" s="49">
        <v>6435</v>
      </c>
      <c r="R17" s="26">
        <v>32</v>
      </c>
      <c r="S17" s="50">
        <v>2386.5263157894738</v>
      </c>
      <c r="T17" s="51">
        <v>139949.40631578947</v>
      </c>
      <c r="U17" s="26">
        <v>0</v>
      </c>
      <c r="V17" s="52">
        <v>0</v>
      </c>
      <c r="X17" s="78">
        <f t="shared" si="0"/>
        <v>111959.52505263158</v>
      </c>
      <c r="Z17" s="27">
        <v>2340</v>
      </c>
    </row>
    <row r="18" spans="1:26" hidden="1" x14ac:dyDescent="0.3">
      <c r="A18" s="26">
        <v>1017</v>
      </c>
      <c r="B18" s="27" t="s">
        <v>29</v>
      </c>
      <c r="C18" s="27" t="s">
        <v>27</v>
      </c>
      <c r="D18" s="27">
        <v>0</v>
      </c>
      <c r="E18" s="27">
        <v>0</v>
      </c>
      <c r="F18" s="39">
        <v>0</v>
      </c>
      <c r="G18" s="26">
        <v>51</v>
      </c>
      <c r="H18" s="26">
        <v>765</v>
      </c>
      <c r="I18" s="29">
        <v>84631.95</v>
      </c>
      <c r="J18" s="26">
        <v>78</v>
      </c>
      <c r="K18" s="26">
        <v>1155</v>
      </c>
      <c r="L18" s="26">
        <v>38</v>
      </c>
      <c r="M18" s="26">
        <v>567</v>
      </c>
      <c r="N18" s="31">
        <v>126704.76000000001</v>
      </c>
      <c r="O18" s="26">
        <v>60</v>
      </c>
      <c r="P18" s="26">
        <v>885</v>
      </c>
      <c r="Q18" s="49">
        <v>11505</v>
      </c>
      <c r="R18" s="26">
        <v>58</v>
      </c>
      <c r="S18" s="50">
        <v>4325.5789473684208</v>
      </c>
      <c r="T18" s="51">
        <v>227167.28894736845</v>
      </c>
      <c r="U18" s="26">
        <v>11</v>
      </c>
      <c r="V18" s="52">
        <v>3529.8421052631579</v>
      </c>
      <c r="X18" s="78">
        <f t="shared" si="0"/>
        <v>184557.70484210528</v>
      </c>
      <c r="Z18" s="27">
        <v>3308.76</v>
      </c>
    </row>
    <row r="19" spans="1:26" hidden="1" x14ac:dyDescent="0.3">
      <c r="A19" s="26">
        <v>1018</v>
      </c>
      <c r="B19" s="27" t="s">
        <v>129</v>
      </c>
      <c r="C19" s="27" t="s">
        <v>27</v>
      </c>
      <c r="D19" s="27">
        <v>0</v>
      </c>
      <c r="E19" s="27">
        <v>0</v>
      </c>
      <c r="F19" s="39">
        <v>0</v>
      </c>
      <c r="G19" s="26">
        <v>48</v>
      </c>
      <c r="H19" s="26">
        <v>720</v>
      </c>
      <c r="I19" s="29">
        <v>79653.599999999991</v>
      </c>
      <c r="J19" s="26">
        <v>67</v>
      </c>
      <c r="K19" s="26">
        <v>1005</v>
      </c>
      <c r="L19" s="26">
        <v>27</v>
      </c>
      <c r="M19" s="26">
        <v>405</v>
      </c>
      <c r="N19" s="31">
        <v>103747.80000000002</v>
      </c>
      <c r="O19" s="26">
        <v>71</v>
      </c>
      <c r="P19" s="26">
        <v>1050</v>
      </c>
      <c r="Q19" s="49">
        <v>13650</v>
      </c>
      <c r="R19" s="26">
        <v>70</v>
      </c>
      <c r="S19" s="50">
        <v>5220.5263157894742</v>
      </c>
      <c r="T19" s="51">
        <v>202271.92631578949</v>
      </c>
      <c r="U19" s="26">
        <v>6</v>
      </c>
      <c r="V19" s="52">
        <v>1925.3684210526317</v>
      </c>
      <c r="X19" s="78">
        <f t="shared" si="0"/>
        <v>163357.83578947373</v>
      </c>
      <c r="Z19" s="27">
        <v>4135.5600000000004</v>
      </c>
    </row>
    <row r="20" spans="1:26" hidden="1" x14ac:dyDescent="0.3">
      <c r="A20" s="26">
        <v>1019</v>
      </c>
      <c r="B20" s="27" t="s">
        <v>185</v>
      </c>
      <c r="C20" s="27" t="s">
        <v>27</v>
      </c>
      <c r="D20" s="27">
        <v>0</v>
      </c>
      <c r="E20" s="27">
        <v>0</v>
      </c>
      <c r="F20" s="39">
        <v>0</v>
      </c>
      <c r="G20" s="26">
        <v>33</v>
      </c>
      <c r="H20" s="26">
        <v>495</v>
      </c>
      <c r="I20" s="29">
        <v>54761.85</v>
      </c>
      <c r="J20" s="26">
        <v>60</v>
      </c>
      <c r="K20" s="26">
        <v>900</v>
      </c>
      <c r="L20" s="26">
        <v>10</v>
      </c>
      <c r="M20" s="26">
        <v>150</v>
      </c>
      <c r="N20" s="31">
        <v>77259</v>
      </c>
      <c r="O20" s="26">
        <v>34</v>
      </c>
      <c r="P20" s="26">
        <v>510</v>
      </c>
      <c r="Q20" s="49">
        <v>6630</v>
      </c>
      <c r="R20" s="26">
        <v>3</v>
      </c>
      <c r="S20" s="50">
        <v>223.73684210526318</v>
      </c>
      <c r="T20" s="51">
        <v>138874.58684210526</v>
      </c>
      <c r="U20" s="26">
        <v>0</v>
      </c>
      <c r="V20" s="52">
        <v>0</v>
      </c>
      <c r="X20" s="78">
        <f t="shared" si="0"/>
        <v>111099.66947368422</v>
      </c>
      <c r="Z20" s="27">
        <v>3071.64</v>
      </c>
    </row>
    <row r="21" spans="1:26" hidden="1" x14ac:dyDescent="0.3">
      <c r="A21" s="26">
        <v>1020</v>
      </c>
      <c r="B21" s="27" t="s">
        <v>219</v>
      </c>
      <c r="C21" s="27" t="s">
        <v>27</v>
      </c>
      <c r="D21" s="27">
        <v>2</v>
      </c>
      <c r="E21" s="27">
        <v>30</v>
      </c>
      <c r="F21" s="39">
        <v>4648.8</v>
      </c>
      <c r="G21" s="26">
        <v>72</v>
      </c>
      <c r="H21" s="26">
        <v>1080</v>
      </c>
      <c r="I21" s="29">
        <v>119480.4</v>
      </c>
      <c r="J21" s="26">
        <v>95</v>
      </c>
      <c r="K21" s="26">
        <v>1425</v>
      </c>
      <c r="L21" s="26">
        <v>24</v>
      </c>
      <c r="M21" s="26">
        <v>360</v>
      </c>
      <c r="N21" s="31">
        <v>131340.29999999999</v>
      </c>
      <c r="O21" s="26">
        <v>97</v>
      </c>
      <c r="P21" s="26">
        <v>1410</v>
      </c>
      <c r="Q21" s="49">
        <v>18330</v>
      </c>
      <c r="R21" s="26">
        <v>94</v>
      </c>
      <c r="S21" s="50">
        <v>7010.4210526315792</v>
      </c>
      <c r="T21" s="51">
        <v>280809.92105263157</v>
      </c>
      <c r="U21" s="26">
        <v>13</v>
      </c>
      <c r="V21" s="52">
        <v>4171.6315789473683</v>
      </c>
      <c r="X21" s="78">
        <f t="shared" si="0"/>
        <v>227985.24210526317</v>
      </c>
      <c r="Z21" s="27">
        <v>7751.6399999999994</v>
      </c>
    </row>
    <row r="22" spans="1:26" hidden="1" x14ac:dyDescent="0.3">
      <c r="A22" s="26">
        <v>1021</v>
      </c>
      <c r="B22" s="27" t="s">
        <v>91</v>
      </c>
      <c r="C22" s="27" t="s">
        <v>27</v>
      </c>
      <c r="D22" s="27">
        <v>0</v>
      </c>
      <c r="E22" s="27">
        <v>0</v>
      </c>
      <c r="F22" s="39">
        <v>0</v>
      </c>
      <c r="G22" s="26">
        <v>16</v>
      </c>
      <c r="H22" s="26">
        <v>240</v>
      </c>
      <c r="I22" s="29">
        <v>26551.200000000001</v>
      </c>
      <c r="J22" s="26">
        <v>34</v>
      </c>
      <c r="K22" s="26">
        <v>510</v>
      </c>
      <c r="L22" s="26">
        <v>8</v>
      </c>
      <c r="M22" s="26">
        <v>120</v>
      </c>
      <c r="N22" s="31">
        <v>46355.4</v>
      </c>
      <c r="O22" s="26">
        <v>20</v>
      </c>
      <c r="P22" s="26">
        <v>300</v>
      </c>
      <c r="Q22" s="49">
        <v>3900</v>
      </c>
      <c r="R22" s="26">
        <v>20</v>
      </c>
      <c r="S22" s="50">
        <v>1491.578947368421</v>
      </c>
      <c r="T22" s="51">
        <v>78298.178947368433</v>
      </c>
      <c r="U22" s="26">
        <v>0</v>
      </c>
      <c r="V22" s="52">
        <v>0</v>
      </c>
      <c r="X22" s="78">
        <f t="shared" si="0"/>
        <v>62638.543157894746</v>
      </c>
      <c r="Z22" s="27">
        <v>851.75999999999988</v>
      </c>
    </row>
    <row r="23" spans="1:26" hidden="1" x14ac:dyDescent="0.3">
      <c r="A23" s="26">
        <v>1022</v>
      </c>
      <c r="B23" s="27" t="s">
        <v>81</v>
      </c>
      <c r="C23" s="27" t="s">
        <v>27</v>
      </c>
      <c r="D23" s="27">
        <v>1</v>
      </c>
      <c r="E23" s="27">
        <v>15</v>
      </c>
      <c r="F23" s="39">
        <v>2324.4</v>
      </c>
      <c r="G23" s="26">
        <v>30</v>
      </c>
      <c r="H23" s="26">
        <v>450</v>
      </c>
      <c r="I23" s="29">
        <v>49783.5</v>
      </c>
      <c r="J23" s="26">
        <v>40</v>
      </c>
      <c r="K23" s="26">
        <v>585</v>
      </c>
      <c r="L23" s="26">
        <v>11</v>
      </c>
      <c r="M23" s="26">
        <v>165</v>
      </c>
      <c r="N23" s="31">
        <v>55185</v>
      </c>
      <c r="O23" s="26">
        <v>28</v>
      </c>
      <c r="P23" s="26">
        <v>420</v>
      </c>
      <c r="Q23" s="49">
        <v>5460</v>
      </c>
      <c r="R23" s="26">
        <v>28</v>
      </c>
      <c r="S23" s="50">
        <v>2088.2105263157896</v>
      </c>
      <c r="T23" s="51">
        <v>114841.11052631578</v>
      </c>
      <c r="U23" s="26">
        <v>0</v>
      </c>
      <c r="V23" s="52">
        <v>0</v>
      </c>
      <c r="X23" s="78">
        <f t="shared" si="0"/>
        <v>91872.88842105263</v>
      </c>
      <c r="Z23" s="27">
        <v>2675.4</v>
      </c>
    </row>
    <row r="24" spans="1:26" hidden="1" x14ac:dyDescent="0.3">
      <c r="A24" s="26">
        <v>1023</v>
      </c>
      <c r="B24" s="27" t="s">
        <v>97</v>
      </c>
      <c r="C24" s="27" t="s">
        <v>27</v>
      </c>
      <c r="D24" s="27">
        <v>0</v>
      </c>
      <c r="E24" s="27">
        <v>0</v>
      </c>
      <c r="F24" s="39">
        <v>0</v>
      </c>
      <c r="G24" s="26">
        <v>18</v>
      </c>
      <c r="H24" s="26">
        <v>270</v>
      </c>
      <c r="I24" s="29">
        <v>29870.1</v>
      </c>
      <c r="J24" s="26">
        <v>45</v>
      </c>
      <c r="K24" s="26">
        <v>675</v>
      </c>
      <c r="L24" s="26">
        <v>5</v>
      </c>
      <c r="M24" s="26">
        <v>75</v>
      </c>
      <c r="N24" s="31">
        <v>55185</v>
      </c>
      <c r="O24" s="26">
        <v>31</v>
      </c>
      <c r="P24" s="26">
        <v>465</v>
      </c>
      <c r="Q24" s="49">
        <v>6045</v>
      </c>
      <c r="R24" s="26">
        <v>22</v>
      </c>
      <c r="S24" s="50">
        <v>1640.7368421052631</v>
      </c>
      <c r="T24" s="51">
        <v>92740.836842105273</v>
      </c>
      <c r="U24" s="26">
        <v>7</v>
      </c>
      <c r="V24" s="52">
        <v>2246.2631578947367</v>
      </c>
      <c r="X24" s="78">
        <f t="shared" si="0"/>
        <v>75989.680000000008</v>
      </c>
      <c r="Z24" s="27">
        <v>1751.88</v>
      </c>
    </row>
    <row r="25" spans="1:26" hidden="1" x14ac:dyDescent="0.3">
      <c r="A25" s="26">
        <v>1024</v>
      </c>
      <c r="B25" s="27" t="s">
        <v>251</v>
      </c>
      <c r="C25" s="27" t="s">
        <v>27</v>
      </c>
      <c r="D25" s="27">
        <v>0</v>
      </c>
      <c r="E25" s="27">
        <v>0</v>
      </c>
      <c r="F25" s="39">
        <v>0</v>
      </c>
      <c r="G25" s="26">
        <v>40</v>
      </c>
      <c r="H25" s="26">
        <v>600</v>
      </c>
      <c r="I25" s="29">
        <v>66378</v>
      </c>
      <c r="J25" s="26">
        <v>37</v>
      </c>
      <c r="K25" s="26">
        <v>555</v>
      </c>
      <c r="L25" s="26">
        <v>7</v>
      </c>
      <c r="M25" s="26">
        <v>105</v>
      </c>
      <c r="N25" s="31">
        <v>48562.8</v>
      </c>
      <c r="O25" s="26">
        <v>44</v>
      </c>
      <c r="P25" s="26">
        <v>660</v>
      </c>
      <c r="Q25" s="49">
        <v>8580</v>
      </c>
      <c r="R25" s="26">
        <v>44</v>
      </c>
      <c r="S25" s="50">
        <v>3281.4736842105262</v>
      </c>
      <c r="T25" s="51">
        <v>126802.27368421052</v>
      </c>
      <c r="U25" s="26">
        <v>0</v>
      </c>
      <c r="V25" s="52">
        <v>0</v>
      </c>
      <c r="X25" s="78">
        <f t="shared" si="0"/>
        <v>101441.81894736842</v>
      </c>
      <c r="Z25" s="27">
        <v>3875.0399999999995</v>
      </c>
    </row>
    <row r="26" spans="1:26" hidden="1" x14ac:dyDescent="0.3">
      <c r="A26" s="26">
        <v>1025</v>
      </c>
      <c r="B26" s="27" t="s">
        <v>40</v>
      </c>
      <c r="C26" s="27" t="s">
        <v>27</v>
      </c>
      <c r="D26" s="27">
        <v>0</v>
      </c>
      <c r="E26" s="27">
        <v>0</v>
      </c>
      <c r="F26" s="39">
        <v>0</v>
      </c>
      <c r="G26" s="26">
        <v>47</v>
      </c>
      <c r="H26" s="26">
        <v>705</v>
      </c>
      <c r="I26" s="29">
        <v>77994.149999999994</v>
      </c>
      <c r="J26" s="26">
        <v>64</v>
      </c>
      <c r="K26" s="26">
        <v>960</v>
      </c>
      <c r="L26" s="26">
        <v>10</v>
      </c>
      <c r="M26" s="26">
        <v>150</v>
      </c>
      <c r="N26" s="31">
        <v>81673.8</v>
      </c>
      <c r="O26" s="26">
        <v>79</v>
      </c>
      <c r="P26" s="26">
        <v>1185</v>
      </c>
      <c r="Q26" s="49">
        <v>15405</v>
      </c>
      <c r="R26" s="26">
        <v>47</v>
      </c>
      <c r="S26" s="50">
        <v>3505.2105263157896</v>
      </c>
      <c r="T26" s="51">
        <v>178578.1605263158</v>
      </c>
      <c r="U26" s="26">
        <v>3</v>
      </c>
      <c r="V26" s="52">
        <v>962.68421052631584</v>
      </c>
      <c r="X26" s="78">
        <f t="shared" si="0"/>
        <v>143632.67578947369</v>
      </c>
      <c r="Z26" s="27">
        <v>7155.72</v>
      </c>
    </row>
    <row r="27" spans="1:26" hidden="1" x14ac:dyDescent="0.3">
      <c r="A27" s="26">
        <v>1026</v>
      </c>
      <c r="B27" s="27" t="s">
        <v>73</v>
      </c>
      <c r="C27" s="27" t="s">
        <v>27</v>
      </c>
      <c r="D27" s="27">
        <v>0</v>
      </c>
      <c r="E27" s="27">
        <v>0</v>
      </c>
      <c r="F27" s="39">
        <v>0</v>
      </c>
      <c r="G27" s="26">
        <v>31</v>
      </c>
      <c r="H27" s="26">
        <v>465</v>
      </c>
      <c r="I27" s="29">
        <v>51442.95</v>
      </c>
      <c r="J27" s="26">
        <v>78</v>
      </c>
      <c r="K27" s="26">
        <v>1170</v>
      </c>
      <c r="L27" s="26">
        <v>15</v>
      </c>
      <c r="M27" s="26">
        <v>225</v>
      </c>
      <c r="N27" s="31">
        <v>102644.1</v>
      </c>
      <c r="O27" s="26">
        <v>47</v>
      </c>
      <c r="P27" s="26">
        <v>690</v>
      </c>
      <c r="Q27" s="49">
        <v>8970</v>
      </c>
      <c r="R27" s="26">
        <v>19</v>
      </c>
      <c r="S27" s="50">
        <v>1417</v>
      </c>
      <c r="T27" s="51">
        <v>164474.04999999999</v>
      </c>
      <c r="U27" s="26">
        <v>3</v>
      </c>
      <c r="V27" s="52">
        <v>962.68421052631584</v>
      </c>
      <c r="X27" s="78">
        <f t="shared" si="0"/>
        <v>132349.38736842104</v>
      </c>
      <c r="Z27" s="27">
        <v>1458.6000000000001</v>
      </c>
    </row>
    <row r="28" spans="1:26" x14ac:dyDescent="0.3">
      <c r="A28" s="26">
        <v>1027</v>
      </c>
      <c r="B28" s="27" t="s">
        <v>25</v>
      </c>
      <c r="C28" s="27" t="s">
        <v>27</v>
      </c>
      <c r="D28" s="27">
        <v>0</v>
      </c>
      <c r="E28" s="27">
        <v>0</v>
      </c>
      <c r="F28" s="39">
        <v>0</v>
      </c>
      <c r="G28" s="26">
        <v>29</v>
      </c>
      <c r="H28" s="26">
        <v>426</v>
      </c>
      <c r="I28" s="29">
        <v>47128.38</v>
      </c>
      <c r="J28" s="26">
        <v>44</v>
      </c>
      <c r="K28" s="26">
        <v>645</v>
      </c>
      <c r="L28" s="26">
        <v>11</v>
      </c>
      <c r="M28" s="26">
        <v>165</v>
      </c>
      <c r="N28" s="31">
        <v>59599.8</v>
      </c>
      <c r="O28" s="26">
        <v>26</v>
      </c>
      <c r="P28" s="26">
        <v>390</v>
      </c>
      <c r="Q28" s="49">
        <v>5070</v>
      </c>
      <c r="R28" s="26">
        <v>5</v>
      </c>
      <c r="S28" s="50">
        <v>372.89473684210526</v>
      </c>
      <c r="T28" s="51">
        <v>112171.0747368421</v>
      </c>
      <c r="U28" s="26">
        <v>2</v>
      </c>
      <c r="V28" s="52">
        <v>641.78947368421052</v>
      </c>
      <c r="X28" s="78">
        <f t="shared" si="0"/>
        <v>90250.291368421051</v>
      </c>
      <c r="Z28" s="27">
        <v>2414.8799999999997</v>
      </c>
    </row>
    <row r="29" spans="1:26" hidden="1" x14ac:dyDescent="0.3">
      <c r="A29" s="26">
        <v>1028</v>
      </c>
      <c r="B29" s="27" t="s">
        <v>201</v>
      </c>
      <c r="C29" s="27" t="s">
        <v>27</v>
      </c>
      <c r="D29" s="27">
        <v>0</v>
      </c>
      <c r="E29" s="27">
        <v>0</v>
      </c>
      <c r="F29" s="39">
        <v>0</v>
      </c>
      <c r="G29" s="26">
        <v>33</v>
      </c>
      <c r="H29" s="26">
        <v>495</v>
      </c>
      <c r="I29" s="29">
        <v>54761.85</v>
      </c>
      <c r="J29" s="26">
        <v>36</v>
      </c>
      <c r="K29" s="26">
        <v>540</v>
      </c>
      <c r="L29" s="26">
        <v>4</v>
      </c>
      <c r="M29" s="26">
        <v>60</v>
      </c>
      <c r="N29" s="31">
        <v>44148.000000000007</v>
      </c>
      <c r="O29" s="26">
        <v>24</v>
      </c>
      <c r="P29" s="26">
        <v>360</v>
      </c>
      <c r="Q29" s="49">
        <v>4680</v>
      </c>
      <c r="R29" s="26">
        <v>14</v>
      </c>
      <c r="S29" s="50">
        <v>1044.1052631578948</v>
      </c>
      <c r="T29" s="51">
        <v>104633.9552631579</v>
      </c>
      <c r="U29" s="26">
        <v>5</v>
      </c>
      <c r="V29" s="52">
        <v>1604.4736842105262</v>
      </c>
      <c r="X29" s="78">
        <f t="shared" si="0"/>
        <v>84990.743157894743</v>
      </c>
      <c r="Z29" s="27">
        <v>4483.4399999999996</v>
      </c>
    </row>
    <row r="30" spans="1:26" hidden="1" x14ac:dyDescent="0.3">
      <c r="A30" s="26">
        <v>1038</v>
      </c>
      <c r="B30" s="27" t="s">
        <v>252</v>
      </c>
      <c r="C30" s="27" t="s">
        <v>27</v>
      </c>
      <c r="D30" s="27">
        <v>0</v>
      </c>
      <c r="E30" s="27">
        <v>0</v>
      </c>
      <c r="F30" s="39">
        <v>0</v>
      </c>
      <c r="G30" s="26">
        <v>49</v>
      </c>
      <c r="H30" s="26">
        <v>735</v>
      </c>
      <c r="I30" s="29">
        <v>81313.05</v>
      </c>
      <c r="J30" s="26">
        <v>78</v>
      </c>
      <c r="K30" s="26">
        <v>1170</v>
      </c>
      <c r="L30" s="26">
        <v>37</v>
      </c>
      <c r="M30" s="26">
        <v>555</v>
      </c>
      <c r="N30" s="31">
        <v>126925.5</v>
      </c>
      <c r="O30" s="26">
        <v>55</v>
      </c>
      <c r="P30" s="26">
        <v>795</v>
      </c>
      <c r="Q30" s="49">
        <v>10335</v>
      </c>
      <c r="R30" s="26">
        <v>52</v>
      </c>
      <c r="S30" s="50">
        <v>3878.105263157895</v>
      </c>
      <c r="T30" s="51">
        <v>222451.65526315788</v>
      </c>
      <c r="U30" s="26">
        <v>3</v>
      </c>
      <c r="V30" s="52">
        <v>962.68421052631584</v>
      </c>
      <c r="X30" s="78">
        <f t="shared" si="0"/>
        <v>178731.47157894738</v>
      </c>
      <c r="Z30" s="27">
        <v>6360.119999999999</v>
      </c>
    </row>
    <row r="31" spans="1:26" hidden="1" x14ac:dyDescent="0.3">
      <c r="A31" s="26">
        <v>1048</v>
      </c>
      <c r="B31" s="27" t="s">
        <v>53</v>
      </c>
      <c r="C31" s="27" t="s">
        <v>27</v>
      </c>
      <c r="D31" s="27">
        <v>0</v>
      </c>
      <c r="E31" s="27">
        <v>0</v>
      </c>
      <c r="F31" s="39">
        <v>0</v>
      </c>
      <c r="G31" s="26">
        <v>66</v>
      </c>
      <c r="H31" s="26">
        <v>990</v>
      </c>
      <c r="I31" s="29">
        <v>109523.7</v>
      </c>
      <c r="J31" s="26">
        <v>75</v>
      </c>
      <c r="K31" s="26">
        <v>1125</v>
      </c>
      <c r="L31" s="26">
        <v>20</v>
      </c>
      <c r="M31" s="26">
        <v>270</v>
      </c>
      <c r="N31" s="31">
        <v>102644.1</v>
      </c>
      <c r="O31" s="26">
        <v>90</v>
      </c>
      <c r="P31" s="26">
        <v>1350</v>
      </c>
      <c r="Q31" s="49">
        <v>17550</v>
      </c>
      <c r="R31" s="26">
        <v>89</v>
      </c>
      <c r="S31" s="50">
        <v>6637.5263157894742</v>
      </c>
      <c r="T31" s="51">
        <v>236355.32631578945</v>
      </c>
      <c r="U31" s="26">
        <v>6</v>
      </c>
      <c r="V31" s="52">
        <v>1925.3684210526317</v>
      </c>
      <c r="X31" s="78">
        <f t="shared" si="0"/>
        <v>190624.5557894737</v>
      </c>
      <c r="Z31" s="27">
        <v>7642.4399999999987</v>
      </c>
    </row>
    <row r="32" spans="1:26" hidden="1" x14ac:dyDescent="0.3">
      <c r="A32" s="26">
        <v>1049</v>
      </c>
      <c r="B32" s="27" t="s">
        <v>117</v>
      </c>
      <c r="C32" s="27" t="s">
        <v>27</v>
      </c>
      <c r="D32" s="27">
        <v>0</v>
      </c>
      <c r="E32" s="27">
        <v>0</v>
      </c>
      <c r="F32" s="39">
        <v>0</v>
      </c>
      <c r="G32" s="26">
        <v>39</v>
      </c>
      <c r="H32" s="26">
        <v>585</v>
      </c>
      <c r="I32" s="29">
        <v>64718.549999999996</v>
      </c>
      <c r="J32" s="26">
        <v>67</v>
      </c>
      <c r="K32" s="26">
        <v>1005</v>
      </c>
      <c r="L32" s="26">
        <v>8</v>
      </c>
      <c r="M32" s="26">
        <v>120</v>
      </c>
      <c r="N32" s="31">
        <v>82777.500000000015</v>
      </c>
      <c r="O32" s="26">
        <v>66</v>
      </c>
      <c r="P32" s="26">
        <v>990</v>
      </c>
      <c r="Q32" s="49">
        <v>12870</v>
      </c>
      <c r="R32" s="26">
        <v>18</v>
      </c>
      <c r="S32" s="50">
        <v>1342.421052631579</v>
      </c>
      <c r="T32" s="51">
        <v>161708.47105263159</v>
      </c>
      <c r="U32" s="26">
        <v>4</v>
      </c>
      <c r="V32" s="52">
        <v>1283.578947368421</v>
      </c>
      <c r="X32" s="78">
        <f t="shared" si="0"/>
        <v>130393.64000000001</v>
      </c>
      <c r="Z32" s="27">
        <v>5528.64</v>
      </c>
    </row>
    <row r="33" spans="1:26" hidden="1" x14ac:dyDescent="0.3">
      <c r="A33" s="26">
        <v>1802</v>
      </c>
      <c r="B33" s="27" t="s">
        <v>189</v>
      </c>
      <c r="C33" s="27" t="s">
        <v>27</v>
      </c>
      <c r="D33" s="27">
        <v>0</v>
      </c>
      <c r="E33" s="27">
        <v>0</v>
      </c>
      <c r="F33" s="39">
        <v>0</v>
      </c>
      <c r="G33" s="26">
        <v>43</v>
      </c>
      <c r="H33" s="26">
        <v>645</v>
      </c>
      <c r="I33" s="29">
        <v>71356.349999999991</v>
      </c>
      <c r="J33" s="26">
        <v>23</v>
      </c>
      <c r="K33" s="26">
        <v>345</v>
      </c>
      <c r="L33" s="26">
        <v>2</v>
      </c>
      <c r="M33" s="26">
        <v>30</v>
      </c>
      <c r="N33" s="31">
        <v>27592.500000000004</v>
      </c>
      <c r="O33" s="26">
        <v>40</v>
      </c>
      <c r="P33" s="26">
        <v>585</v>
      </c>
      <c r="Q33" s="49">
        <v>7605</v>
      </c>
      <c r="R33" s="26">
        <v>36</v>
      </c>
      <c r="S33" s="50">
        <v>2684.8421052631579</v>
      </c>
      <c r="T33" s="51">
        <v>109238.69210526315</v>
      </c>
      <c r="U33" s="26">
        <v>1</v>
      </c>
      <c r="V33" s="52">
        <v>320.89473684210526</v>
      </c>
      <c r="X33" s="78">
        <f t="shared" si="0"/>
        <v>87647.669473684218</v>
      </c>
      <c r="Z33" s="27">
        <v>3534.96</v>
      </c>
    </row>
    <row r="34" spans="1:26" hidden="1" x14ac:dyDescent="0.3">
      <c r="A34" s="26">
        <v>2003</v>
      </c>
      <c r="B34" s="27" t="s">
        <v>253</v>
      </c>
      <c r="C34" s="27" t="s">
        <v>49</v>
      </c>
      <c r="D34" s="27">
        <v>0</v>
      </c>
      <c r="E34" s="27">
        <v>0</v>
      </c>
      <c r="F34" s="39">
        <v>0</v>
      </c>
      <c r="G34" s="26">
        <v>0</v>
      </c>
      <c r="H34" s="26">
        <v>0</v>
      </c>
      <c r="I34" s="29">
        <v>0</v>
      </c>
      <c r="J34" s="26">
        <v>53</v>
      </c>
      <c r="K34" s="26">
        <v>795</v>
      </c>
      <c r="L34" s="26">
        <v>0</v>
      </c>
      <c r="M34" s="26">
        <v>0</v>
      </c>
      <c r="N34" s="31">
        <v>58496.1</v>
      </c>
      <c r="O34" s="26">
        <v>18</v>
      </c>
      <c r="P34" s="26">
        <v>270</v>
      </c>
      <c r="Q34" s="49">
        <v>3510</v>
      </c>
      <c r="R34" s="26">
        <v>16</v>
      </c>
      <c r="S34" s="50">
        <v>1193.2631578947369</v>
      </c>
      <c r="T34" s="51">
        <v>63199.363157894739</v>
      </c>
      <c r="U34" s="26">
        <v>0</v>
      </c>
      <c r="V34" s="52">
        <v>0</v>
      </c>
      <c r="X34" s="78">
        <f>(T34+V34)*0.8</f>
        <v>50559.490526315793</v>
      </c>
      <c r="Z34" s="27">
        <v>1472.64</v>
      </c>
    </row>
    <row r="35" spans="1:26" hidden="1" x14ac:dyDescent="0.3">
      <c r="A35" s="26">
        <v>2004</v>
      </c>
      <c r="B35" s="27" t="s">
        <v>197</v>
      </c>
      <c r="C35" s="27" t="s">
        <v>27</v>
      </c>
      <c r="D35" s="27">
        <v>0</v>
      </c>
      <c r="E35" s="27">
        <v>0</v>
      </c>
      <c r="F35" s="39">
        <v>0</v>
      </c>
      <c r="G35" s="26">
        <v>0</v>
      </c>
      <c r="H35" s="26">
        <v>0</v>
      </c>
      <c r="I35" s="29">
        <v>0</v>
      </c>
      <c r="J35" s="26">
        <v>15</v>
      </c>
      <c r="K35" s="26">
        <v>225</v>
      </c>
      <c r="L35" s="26">
        <v>0</v>
      </c>
      <c r="M35" s="26">
        <v>0</v>
      </c>
      <c r="N35" s="31">
        <v>16555.5</v>
      </c>
      <c r="O35" s="26">
        <v>6</v>
      </c>
      <c r="P35" s="26">
        <v>90</v>
      </c>
      <c r="Q35" s="49">
        <v>1170</v>
      </c>
      <c r="R35" s="26">
        <v>0</v>
      </c>
      <c r="S35" s="50">
        <v>0</v>
      </c>
      <c r="T35" s="51">
        <v>17725.5</v>
      </c>
      <c r="U35" s="26">
        <v>0</v>
      </c>
      <c r="V35" s="52">
        <v>0</v>
      </c>
      <c r="X35" s="78">
        <f t="shared" si="0"/>
        <v>14180.400000000001</v>
      </c>
      <c r="Z35" s="27">
        <v>277.68</v>
      </c>
    </row>
    <row r="36" spans="1:26" hidden="1" x14ac:dyDescent="0.3">
      <c r="A36" s="26">
        <v>2005</v>
      </c>
      <c r="B36" s="27" t="s">
        <v>193</v>
      </c>
      <c r="C36" s="27" t="s">
        <v>27</v>
      </c>
      <c r="D36" s="27">
        <v>0</v>
      </c>
      <c r="E36" s="27">
        <v>0</v>
      </c>
      <c r="F36" s="39">
        <v>0</v>
      </c>
      <c r="G36" s="26">
        <v>0</v>
      </c>
      <c r="H36" s="26">
        <v>0</v>
      </c>
      <c r="I36" s="29">
        <v>0</v>
      </c>
      <c r="J36" s="26">
        <v>39</v>
      </c>
      <c r="K36" s="26">
        <v>582</v>
      </c>
      <c r="L36" s="26">
        <v>12</v>
      </c>
      <c r="M36" s="26">
        <v>43.7</v>
      </c>
      <c r="N36" s="31">
        <v>46039.006000000001</v>
      </c>
      <c r="O36" s="26">
        <v>6</v>
      </c>
      <c r="P36" s="26">
        <v>90</v>
      </c>
      <c r="Q36" s="49">
        <v>1170</v>
      </c>
      <c r="R36" s="26">
        <v>6</v>
      </c>
      <c r="S36" s="50">
        <v>447.47368421052636</v>
      </c>
      <c r="T36" s="51">
        <v>47656.479684210528</v>
      </c>
      <c r="U36" s="26">
        <v>0</v>
      </c>
      <c r="V36" s="52">
        <v>0</v>
      </c>
      <c r="X36" s="78">
        <f t="shared" si="0"/>
        <v>38125.183747368421</v>
      </c>
      <c r="Z36" s="27">
        <v>107.64000000000001</v>
      </c>
    </row>
    <row r="37" spans="1:26" hidden="1" x14ac:dyDescent="0.3">
      <c r="A37" s="26">
        <v>2008</v>
      </c>
      <c r="B37" s="27" t="s">
        <v>133</v>
      </c>
      <c r="C37" s="27" t="s">
        <v>27</v>
      </c>
      <c r="D37" s="27">
        <v>0</v>
      </c>
      <c r="E37" s="27">
        <v>0</v>
      </c>
      <c r="F37" s="39">
        <v>0</v>
      </c>
      <c r="G37" s="26">
        <v>0</v>
      </c>
      <c r="H37" s="26">
        <v>0</v>
      </c>
      <c r="I37" s="29">
        <v>0</v>
      </c>
      <c r="J37" s="26">
        <v>42</v>
      </c>
      <c r="K37" s="26">
        <v>630</v>
      </c>
      <c r="L37" s="26">
        <v>3</v>
      </c>
      <c r="M37" s="26">
        <v>45</v>
      </c>
      <c r="N37" s="31">
        <v>49666.5</v>
      </c>
      <c r="O37" s="26">
        <v>14</v>
      </c>
      <c r="P37" s="26">
        <v>195</v>
      </c>
      <c r="Q37" s="49">
        <v>2535</v>
      </c>
      <c r="R37" s="26">
        <v>0</v>
      </c>
      <c r="S37" s="50">
        <v>0</v>
      </c>
      <c r="T37" s="51">
        <v>52201.5</v>
      </c>
      <c r="U37" s="26">
        <v>0</v>
      </c>
      <c r="V37" s="52">
        <v>0</v>
      </c>
      <c r="X37" s="78">
        <f t="shared" si="0"/>
        <v>41761.200000000004</v>
      </c>
      <c r="Z37" s="27">
        <v>915.72000000000014</v>
      </c>
    </row>
    <row r="38" spans="1:26" hidden="1" x14ac:dyDescent="0.3">
      <c r="A38" s="26">
        <v>2011</v>
      </c>
      <c r="B38" s="27" t="s">
        <v>169</v>
      </c>
      <c r="C38" s="27" t="s">
        <v>27</v>
      </c>
      <c r="D38" s="27">
        <v>0</v>
      </c>
      <c r="E38" s="27">
        <v>0</v>
      </c>
      <c r="F38" s="39">
        <v>0</v>
      </c>
      <c r="G38" s="26">
        <v>0</v>
      </c>
      <c r="H38" s="26">
        <v>0</v>
      </c>
      <c r="I38" s="29">
        <v>0</v>
      </c>
      <c r="J38" s="26">
        <v>38</v>
      </c>
      <c r="K38" s="26">
        <v>570</v>
      </c>
      <c r="L38" s="26">
        <v>0</v>
      </c>
      <c r="M38" s="26">
        <v>0</v>
      </c>
      <c r="N38" s="31">
        <v>41940.6</v>
      </c>
      <c r="O38" s="26">
        <v>12</v>
      </c>
      <c r="P38" s="26">
        <v>180</v>
      </c>
      <c r="Q38" s="49">
        <v>2340</v>
      </c>
      <c r="R38" s="26">
        <v>11</v>
      </c>
      <c r="S38" s="50">
        <v>820.36842105263156</v>
      </c>
      <c r="T38" s="51">
        <v>45100.968421052632</v>
      </c>
      <c r="U38" s="26">
        <v>0</v>
      </c>
      <c r="V38" s="52">
        <v>0</v>
      </c>
      <c r="X38" s="78">
        <f t="shared" si="0"/>
        <v>36080.774736842104</v>
      </c>
      <c r="Z38" s="27">
        <v>1174.6799999999998</v>
      </c>
    </row>
    <row r="39" spans="1:26" hidden="1" x14ac:dyDescent="0.3">
      <c r="A39" s="26">
        <v>2014</v>
      </c>
      <c r="B39" s="27" t="s">
        <v>187</v>
      </c>
      <c r="C39" s="27" t="s">
        <v>27</v>
      </c>
      <c r="D39" s="27">
        <v>0</v>
      </c>
      <c r="E39" s="27">
        <v>0</v>
      </c>
      <c r="F39" s="39">
        <v>0</v>
      </c>
      <c r="G39" s="26">
        <v>0</v>
      </c>
      <c r="H39" s="26">
        <v>0</v>
      </c>
      <c r="I39" s="29">
        <v>0</v>
      </c>
      <c r="J39" s="26">
        <v>36</v>
      </c>
      <c r="K39" s="26">
        <v>540</v>
      </c>
      <c r="L39" s="26">
        <v>0</v>
      </c>
      <c r="M39" s="26">
        <v>0</v>
      </c>
      <c r="N39" s="31">
        <v>39733.200000000004</v>
      </c>
      <c r="O39" s="26">
        <v>12</v>
      </c>
      <c r="P39" s="26">
        <v>180</v>
      </c>
      <c r="Q39" s="49">
        <v>2340</v>
      </c>
      <c r="R39" s="26">
        <v>12</v>
      </c>
      <c r="S39" s="50">
        <v>894.94736842105272</v>
      </c>
      <c r="T39" s="51">
        <v>42968.147368421058</v>
      </c>
      <c r="U39" s="26">
        <v>0</v>
      </c>
      <c r="V39" s="52">
        <v>0</v>
      </c>
      <c r="X39" s="78">
        <f t="shared" si="0"/>
        <v>34374.517894736848</v>
      </c>
      <c r="Z39" s="27">
        <v>1405.5600000000002</v>
      </c>
    </row>
    <row r="40" spans="1:26" hidden="1" x14ac:dyDescent="0.3">
      <c r="A40" s="26">
        <v>2015</v>
      </c>
      <c r="B40" s="27" t="s">
        <v>99</v>
      </c>
      <c r="C40" s="27" t="s">
        <v>27</v>
      </c>
      <c r="D40" s="27">
        <v>0</v>
      </c>
      <c r="E40" s="27">
        <v>0</v>
      </c>
      <c r="F40" s="39">
        <v>0</v>
      </c>
      <c r="G40" s="26">
        <v>0</v>
      </c>
      <c r="H40" s="26">
        <v>0</v>
      </c>
      <c r="I40" s="29">
        <v>0</v>
      </c>
      <c r="J40" s="26">
        <v>41</v>
      </c>
      <c r="K40" s="26">
        <v>615</v>
      </c>
      <c r="L40" s="26">
        <v>0</v>
      </c>
      <c r="M40" s="26">
        <v>0</v>
      </c>
      <c r="N40" s="31">
        <v>45251.700000000004</v>
      </c>
      <c r="O40" s="26">
        <v>10</v>
      </c>
      <c r="P40" s="26">
        <v>150</v>
      </c>
      <c r="Q40" s="49">
        <v>1950</v>
      </c>
      <c r="R40" s="26">
        <v>10</v>
      </c>
      <c r="S40" s="50">
        <v>745.78947368421052</v>
      </c>
      <c r="T40" s="51">
        <v>47947.489473684218</v>
      </c>
      <c r="U40" s="26">
        <v>0</v>
      </c>
      <c r="V40" s="52">
        <v>0</v>
      </c>
      <c r="X40" s="78">
        <f t="shared" si="0"/>
        <v>38357.991578947374</v>
      </c>
      <c r="Z40" s="27">
        <v>1914.1200000000006</v>
      </c>
    </row>
    <row r="41" spans="1:26" hidden="1" x14ac:dyDescent="0.3">
      <c r="A41" s="26">
        <v>2018</v>
      </c>
      <c r="B41" s="27" t="s">
        <v>254</v>
      </c>
      <c r="C41" s="27" t="s">
        <v>49</v>
      </c>
      <c r="D41" s="27">
        <v>0</v>
      </c>
      <c r="E41" s="27">
        <v>0</v>
      </c>
      <c r="F41" s="39">
        <v>0</v>
      </c>
      <c r="G41" s="26">
        <v>15</v>
      </c>
      <c r="H41" s="26">
        <v>225</v>
      </c>
      <c r="I41" s="29">
        <v>24891.75</v>
      </c>
      <c r="J41" s="26">
        <v>28</v>
      </c>
      <c r="K41" s="26">
        <v>420</v>
      </c>
      <c r="L41" s="26">
        <v>3</v>
      </c>
      <c r="M41" s="26">
        <v>45</v>
      </c>
      <c r="N41" s="31">
        <v>34214.700000000004</v>
      </c>
      <c r="O41" s="26">
        <v>32</v>
      </c>
      <c r="P41" s="26">
        <v>450</v>
      </c>
      <c r="Q41" s="49">
        <v>5850</v>
      </c>
      <c r="R41" s="26">
        <v>0</v>
      </c>
      <c r="S41" s="50">
        <v>0</v>
      </c>
      <c r="T41" s="51">
        <v>64956.450000000004</v>
      </c>
      <c r="U41" s="26">
        <v>0</v>
      </c>
      <c r="V41" s="52">
        <v>0</v>
      </c>
      <c r="X41" s="78">
        <f t="shared" si="0"/>
        <v>51965.16</v>
      </c>
      <c r="Z41" s="27">
        <v>3506.8799999999997</v>
      </c>
    </row>
    <row r="42" spans="1:26" hidden="1" x14ac:dyDescent="0.3">
      <c r="A42" s="26">
        <v>2020</v>
      </c>
      <c r="B42" s="27" t="s">
        <v>255</v>
      </c>
      <c r="C42" s="27" t="s">
        <v>49</v>
      </c>
      <c r="D42" s="27">
        <v>0</v>
      </c>
      <c r="E42" s="27">
        <v>0</v>
      </c>
      <c r="F42" s="39">
        <v>0</v>
      </c>
      <c r="G42" s="26">
        <v>0</v>
      </c>
      <c r="H42" s="26">
        <v>0</v>
      </c>
      <c r="I42" s="29">
        <v>0</v>
      </c>
      <c r="J42" s="26">
        <v>47</v>
      </c>
      <c r="K42" s="26">
        <v>705</v>
      </c>
      <c r="L42" s="26">
        <v>14</v>
      </c>
      <c r="M42" s="26">
        <v>210</v>
      </c>
      <c r="N42" s="31">
        <v>67325.7</v>
      </c>
      <c r="O42" s="26">
        <v>10</v>
      </c>
      <c r="P42" s="26">
        <v>150</v>
      </c>
      <c r="Q42" s="49">
        <v>1950</v>
      </c>
      <c r="R42" s="26">
        <v>0</v>
      </c>
      <c r="S42" s="50">
        <v>0</v>
      </c>
      <c r="T42" s="51">
        <v>69275.7</v>
      </c>
      <c r="U42" s="26">
        <v>0</v>
      </c>
      <c r="V42" s="52">
        <v>0</v>
      </c>
      <c r="X42" s="78">
        <f t="shared" si="0"/>
        <v>55420.56</v>
      </c>
      <c r="Z42" s="27">
        <v>516.36</v>
      </c>
    </row>
    <row r="43" spans="1:26" hidden="1" x14ac:dyDescent="0.3">
      <c r="A43" s="26">
        <v>2021</v>
      </c>
      <c r="B43" s="27" t="s">
        <v>256</v>
      </c>
      <c r="C43" s="27" t="s">
        <v>49</v>
      </c>
      <c r="D43" s="27">
        <v>0</v>
      </c>
      <c r="E43" s="27">
        <v>0</v>
      </c>
      <c r="F43" s="39">
        <v>0</v>
      </c>
      <c r="G43" s="26">
        <v>0</v>
      </c>
      <c r="H43" s="26">
        <v>0</v>
      </c>
      <c r="I43" s="29">
        <v>0</v>
      </c>
      <c r="J43" s="26">
        <v>22</v>
      </c>
      <c r="K43" s="26">
        <v>330</v>
      </c>
      <c r="L43" s="26">
        <v>0</v>
      </c>
      <c r="M43" s="26">
        <v>0</v>
      </c>
      <c r="N43" s="31">
        <v>24281.4</v>
      </c>
      <c r="O43" s="26">
        <v>8</v>
      </c>
      <c r="P43" s="26">
        <v>120</v>
      </c>
      <c r="Q43" s="49">
        <v>1560</v>
      </c>
      <c r="R43" s="26">
        <v>5</v>
      </c>
      <c r="S43" s="50">
        <v>372.89473684210526</v>
      </c>
      <c r="T43" s="51">
        <v>26214.294736842108</v>
      </c>
      <c r="U43" s="26">
        <v>0</v>
      </c>
      <c r="V43" s="52">
        <v>0</v>
      </c>
      <c r="X43" s="78">
        <f t="shared" si="0"/>
        <v>20971.43578947369</v>
      </c>
      <c r="Z43" s="27">
        <v>522.6</v>
      </c>
    </row>
    <row r="44" spans="1:26" hidden="1" x14ac:dyDescent="0.3">
      <c r="A44" s="26">
        <v>2030</v>
      </c>
      <c r="B44" s="27" t="s">
        <v>44</v>
      </c>
      <c r="C44" s="27" t="s">
        <v>27</v>
      </c>
      <c r="D44" s="27">
        <v>0</v>
      </c>
      <c r="E44" s="27">
        <v>0</v>
      </c>
      <c r="F44" s="39">
        <v>0</v>
      </c>
      <c r="G44" s="26">
        <v>0</v>
      </c>
      <c r="H44" s="26">
        <v>0</v>
      </c>
      <c r="I44" s="29">
        <v>0</v>
      </c>
      <c r="J44" s="26">
        <v>52</v>
      </c>
      <c r="K44" s="26">
        <v>780</v>
      </c>
      <c r="L44" s="26">
        <v>0</v>
      </c>
      <c r="M44" s="26">
        <v>0</v>
      </c>
      <c r="N44" s="31">
        <v>57392.4</v>
      </c>
      <c r="O44" s="26">
        <v>18</v>
      </c>
      <c r="P44" s="26">
        <v>270</v>
      </c>
      <c r="Q44" s="49">
        <v>3510</v>
      </c>
      <c r="R44" s="26">
        <v>0</v>
      </c>
      <c r="S44" s="50">
        <v>0</v>
      </c>
      <c r="T44" s="51">
        <v>60902.400000000001</v>
      </c>
      <c r="U44" s="26">
        <v>0</v>
      </c>
      <c r="V44" s="52">
        <v>0</v>
      </c>
      <c r="X44" s="78">
        <f t="shared" si="0"/>
        <v>48721.920000000006</v>
      </c>
      <c r="Z44" s="27">
        <v>808.08</v>
      </c>
    </row>
    <row r="45" spans="1:26" hidden="1" x14ac:dyDescent="0.3">
      <c r="A45" s="26">
        <v>2036</v>
      </c>
      <c r="B45" s="27" t="s">
        <v>257</v>
      </c>
      <c r="C45" s="27" t="s">
        <v>49</v>
      </c>
      <c r="D45" s="27">
        <v>0</v>
      </c>
      <c r="E45" s="27">
        <v>0</v>
      </c>
      <c r="F45" s="39">
        <v>0</v>
      </c>
      <c r="G45" s="26">
        <v>0</v>
      </c>
      <c r="H45" s="26">
        <v>0</v>
      </c>
      <c r="I45" s="29">
        <v>0</v>
      </c>
      <c r="J45" s="26">
        <v>16</v>
      </c>
      <c r="K45" s="26">
        <v>240</v>
      </c>
      <c r="L45" s="26">
        <v>0</v>
      </c>
      <c r="M45" s="26">
        <v>0</v>
      </c>
      <c r="N45" s="31">
        <v>17659.2</v>
      </c>
      <c r="O45" s="26">
        <v>6</v>
      </c>
      <c r="P45" s="26">
        <v>90</v>
      </c>
      <c r="Q45" s="49">
        <v>1170</v>
      </c>
      <c r="R45" s="26">
        <v>1</v>
      </c>
      <c r="S45" s="50">
        <v>74.578947368421055</v>
      </c>
      <c r="T45" s="51">
        <v>18903.778947368421</v>
      </c>
      <c r="U45" s="26">
        <v>0</v>
      </c>
      <c r="V45" s="52">
        <v>0</v>
      </c>
      <c r="X45" s="78">
        <f t="shared" si="0"/>
        <v>15123.023157894737</v>
      </c>
      <c r="Z45" s="27">
        <v>539.76</v>
      </c>
    </row>
    <row r="46" spans="1:26" hidden="1" x14ac:dyDescent="0.3">
      <c r="A46" s="26">
        <v>2037</v>
      </c>
      <c r="B46" s="27" t="s">
        <v>258</v>
      </c>
      <c r="C46" s="27" t="s">
        <v>49</v>
      </c>
      <c r="D46" s="27">
        <v>0</v>
      </c>
      <c r="E46" s="27">
        <v>0</v>
      </c>
      <c r="F46" s="39">
        <v>0</v>
      </c>
      <c r="G46" s="26">
        <v>0</v>
      </c>
      <c r="H46" s="26">
        <v>0</v>
      </c>
      <c r="I46" s="29">
        <v>0</v>
      </c>
      <c r="J46" s="26">
        <v>33</v>
      </c>
      <c r="K46" s="26">
        <v>495</v>
      </c>
      <c r="L46" s="26">
        <v>8</v>
      </c>
      <c r="M46" s="26">
        <v>120</v>
      </c>
      <c r="N46" s="31">
        <v>45251.7</v>
      </c>
      <c r="O46" s="26">
        <v>12</v>
      </c>
      <c r="P46" s="26">
        <v>150</v>
      </c>
      <c r="Q46" s="49">
        <v>1950</v>
      </c>
      <c r="R46" s="26">
        <v>0</v>
      </c>
      <c r="S46" s="50">
        <v>0</v>
      </c>
      <c r="T46" s="51">
        <v>47201.7</v>
      </c>
      <c r="U46" s="26">
        <v>0</v>
      </c>
      <c r="V46" s="52">
        <v>0</v>
      </c>
      <c r="X46" s="78">
        <f t="shared" si="0"/>
        <v>37761.360000000001</v>
      </c>
      <c r="Z46" s="27">
        <v>293.28000000000003</v>
      </c>
    </row>
    <row r="47" spans="1:26" hidden="1" x14ac:dyDescent="0.3">
      <c r="A47" s="26">
        <v>2038</v>
      </c>
      <c r="B47" s="27" t="s">
        <v>259</v>
      </c>
      <c r="C47" s="27" t="s">
        <v>49</v>
      </c>
      <c r="D47" s="27">
        <v>0</v>
      </c>
      <c r="E47" s="27">
        <v>0</v>
      </c>
      <c r="F47" s="39">
        <v>0</v>
      </c>
      <c r="G47" s="26">
        <v>0</v>
      </c>
      <c r="H47" s="26">
        <v>0</v>
      </c>
      <c r="I47" s="29">
        <v>0</v>
      </c>
      <c r="J47" s="26">
        <v>19</v>
      </c>
      <c r="K47" s="26">
        <v>285</v>
      </c>
      <c r="L47" s="26">
        <v>0</v>
      </c>
      <c r="M47" s="26">
        <v>0</v>
      </c>
      <c r="N47" s="31">
        <v>20970.3</v>
      </c>
      <c r="O47" s="26">
        <v>0</v>
      </c>
      <c r="P47" s="26">
        <v>0</v>
      </c>
      <c r="Q47" s="49">
        <v>0</v>
      </c>
      <c r="R47" s="26">
        <v>0</v>
      </c>
      <c r="S47" s="50">
        <v>0</v>
      </c>
      <c r="T47" s="51">
        <v>20970.3</v>
      </c>
      <c r="U47" s="26">
        <v>0</v>
      </c>
      <c r="V47" s="52">
        <v>0</v>
      </c>
      <c r="X47" s="78">
        <f t="shared" si="0"/>
        <v>16776.240000000002</v>
      </c>
      <c r="Z47" s="27">
        <v>625.56000000000006</v>
      </c>
    </row>
    <row r="48" spans="1:26" hidden="1" x14ac:dyDescent="0.3">
      <c r="A48" s="26">
        <v>2039</v>
      </c>
      <c r="B48" s="27" t="s">
        <v>260</v>
      </c>
      <c r="C48" s="27" t="s">
        <v>49</v>
      </c>
      <c r="D48" s="27">
        <v>0</v>
      </c>
      <c r="E48" s="27">
        <v>0</v>
      </c>
      <c r="F48" s="39">
        <v>0</v>
      </c>
      <c r="G48" s="26">
        <v>0</v>
      </c>
      <c r="H48" s="26">
        <v>0</v>
      </c>
      <c r="I48" s="29">
        <v>0</v>
      </c>
      <c r="J48" s="26">
        <v>47</v>
      </c>
      <c r="K48" s="26">
        <v>705</v>
      </c>
      <c r="L48" s="26">
        <v>0</v>
      </c>
      <c r="M48" s="26">
        <v>0</v>
      </c>
      <c r="N48" s="31">
        <v>51873.9</v>
      </c>
      <c r="O48" s="26">
        <v>7</v>
      </c>
      <c r="P48" s="26">
        <v>105</v>
      </c>
      <c r="Q48" s="49">
        <v>1365</v>
      </c>
      <c r="R48" s="26">
        <v>7</v>
      </c>
      <c r="S48" s="50">
        <v>522.0526315789474</v>
      </c>
      <c r="T48" s="51">
        <v>53760.952631578948</v>
      </c>
      <c r="U48" s="26">
        <v>0</v>
      </c>
      <c r="V48" s="52">
        <v>0</v>
      </c>
      <c r="X48" s="78">
        <f t="shared" si="0"/>
        <v>43008.762105263158</v>
      </c>
      <c r="Z48" s="27">
        <v>464.88000000000005</v>
      </c>
    </row>
    <row r="49" spans="1:26" hidden="1" x14ac:dyDescent="0.3">
      <c r="A49" s="26">
        <v>2040</v>
      </c>
      <c r="B49" s="27" t="s">
        <v>55</v>
      </c>
      <c r="C49" s="27" t="s">
        <v>27</v>
      </c>
      <c r="D49" s="27">
        <v>0</v>
      </c>
      <c r="E49" s="27">
        <v>0</v>
      </c>
      <c r="F49" s="39">
        <v>0</v>
      </c>
      <c r="G49" s="26">
        <v>0</v>
      </c>
      <c r="H49" s="26">
        <v>0</v>
      </c>
      <c r="I49" s="29">
        <v>0</v>
      </c>
      <c r="J49" s="26">
        <v>25</v>
      </c>
      <c r="K49" s="26">
        <v>375</v>
      </c>
      <c r="L49" s="26">
        <v>0</v>
      </c>
      <c r="M49" s="26">
        <v>0</v>
      </c>
      <c r="N49" s="31">
        <v>27592.5</v>
      </c>
      <c r="O49" s="26">
        <v>3</v>
      </c>
      <c r="P49" s="26">
        <v>45</v>
      </c>
      <c r="Q49" s="49">
        <v>585</v>
      </c>
      <c r="R49" s="26">
        <v>1</v>
      </c>
      <c r="S49" s="50">
        <v>74.578947368421055</v>
      </c>
      <c r="T49" s="51">
        <v>28252.07894736842</v>
      </c>
      <c r="U49" s="26">
        <v>0</v>
      </c>
      <c r="V49" s="52">
        <v>0</v>
      </c>
      <c r="X49" s="78">
        <f t="shared" si="0"/>
        <v>22601.663157894738</v>
      </c>
      <c r="Z49" s="27">
        <v>70.2</v>
      </c>
    </row>
    <row r="50" spans="1:26" hidden="1" x14ac:dyDescent="0.3">
      <c r="A50" s="26">
        <v>2048</v>
      </c>
      <c r="B50" s="27" t="s">
        <v>261</v>
      </c>
      <c r="C50" s="27" t="s">
        <v>49</v>
      </c>
      <c r="D50" s="27">
        <v>0</v>
      </c>
      <c r="E50" s="27">
        <v>0</v>
      </c>
      <c r="F50" s="39">
        <v>0</v>
      </c>
      <c r="G50" s="26">
        <v>0</v>
      </c>
      <c r="H50" s="26">
        <v>0</v>
      </c>
      <c r="I50" s="29">
        <v>0</v>
      </c>
      <c r="J50" s="26">
        <v>7</v>
      </c>
      <c r="K50" s="26">
        <v>105</v>
      </c>
      <c r="L50" s="26">
        <v>0</v>
      </c>
      <c r="M50" s="26">
        <v>0</v>
      </c>
      <c r="N50" s="31">
        <v>7725.9000000000005</v>
      </c>
      <c r="O50" s="26">
        <v>3</v>
      </c>
      <c r="P50" s="26">
        <v>45</v>
      </c>
      <c r="Q50" s="49">
        <v>585</v>
      </c>
      <c r="R50" s="26">
        <v>3</v>
      </c>
      <c r="S50" s="50">
        <v>223.73684210526318</v>
      </c>
      <c r="T50" s="51">
        <v>8534.6368421052648</v>
      </c>
      <c r="U50" s="26">
        <v>0</v>
      </c>
      <c r="V50" s="52">
        <v>0</v>
      </c>
      <c r="X50" s="78">
        <f t="shared" si="0"/>
        <v>6827.7094736842118</v>
      </c>
      <c r="Z50" s="27">
        <v>333.84000000000003</v>
      </c>
    </row>
    <row r="51" spans="1:26" hidden="1" x14ac:dyDescent="0.3">
      <c r="A51" s="26">
        <v>2054</v>
      </c>
      <c r="B51" s="27" t="s">
        <v>67</v>
      </c>
      <c r="C51" s="27" t="s">
        <v>27</v>
      </c>
      <c r="D51" s="27">
        <v>0</v>
      </c>
      <c r="E51" s="27">
        <v>0</v>
      </c>
      <c r="F51" s="39">
        <v>0</v>
      </c>
      <c r="G51" s="26">
        <v>0</v>
      </c>
      <c r="H51" s="26">
        <v>0</v>
      </c>
      <c r="I51" s="29">
        <v>0</v>
      </c>
      <c r="J51" s="26">
        <v>41</v>
      </c>
      <c r="K51" s="26">
        <v>615</v>
      </c>
      <c r="L51" s="26">
        <v>7</v>
      </c>
      <c r="M51" s="26">
        <v>105</v>
      </c>
      <c r="N51" s="31">
        <v>52977.600000000006</v>
      </c>
      <c r="O51" s="26">
        <v>6</v>
      </c>
      <c r="P51" s="26">
        <v>90</v>
      </c>
      <c r="Q51" s="49">
        <v>1170</v>
      </c>
      <c r="R51" s="26">
        <v>3</v>
      </c>
      <c r="S51" s="50">
        <v>223.73684210526318</v>
      </c>
      <c r="T51" s="51">
        <v>54371.336842105266</v>
      </c>
      <c r="U51" s="26">
        <v>0</v>
      </c>
      <c r="V51" s="52">
        <v>0</v>
      </c>
      <c r="X51" s="78">
        <f t="shared" si="0"/>
        <v>43497.069473684212</v>
      </c>
      <c r="Z51" s="27">
        <v>934.44</v>
      </c>
    </row>
    <row r="52" spans="1:26" hidden="1" x14ac:dyDescent="0.3">
      <c r="A52" s="26">
        <v>2055</v>
      </c>
      <c r="B52" s="27" t="s">
        <v>69</v>
      </c>
      <c r="C52" s="27" t="s">
        <v>27</v>
      </c>
      <c r="D52" s="27">
        <v>0</v>
      </c>
      <c r="E52" s="27">
        <v>0</v>
      </c>
      <c r="F52" s="39">
        <v>0</v>
      </c>
      <c r="G52" s="26">
        <v>0</v>
      </c>
      <c r="H52" s="26">
        <v>0</v>
      </c>
      <c r="I52" s="29">
        <v>0</v>
      </c>
      <c r="J52" s="26">
        <v>30</v>
      </c>
      <c r="K52" s="26">
        <v>450</v>
      </c>
      <c r="L52" s="26">
        <v>17</v>
      </c>
      <c r="M52" s="26">
        <v>255</v>
      </c>
      <c r="N52" s="31">
        <v>51873.9</v>
      </c>
      <c r="O52" s="26">
        <v>1</v>
      </c>
      <c r="P52" s="26">
        <v>15</v>
      </c>
      <c r="Q52" s="49">
        <v>195</v>
      </c>
      <c r="R52" s="26">
        <v>0</v>
      </c>
      <c r="S52" s="50">
        <v>0</v>
      </c>
      <c r="T52" s="51">
        <v>52068.9</v>
      </c>
      <c r="U52" s="26">
        <v>0</v>
      </c>
      <c r="V52" s="52">
        <v>0</v>
      </c>
      <c r="X52" s="78">
        <f t="shared" si="0"/>
        <v>41655.120000000003</v>
      </c>
      <c r="Z52" s="27">
        <v>425.87999999999994</v>
      </c>
    </row>
    <row r="53" spans="1:26" hidden="1" x14ac:dyDescent="0.3">
      <c r="A53" s="26">
        <v>2056</v>
      </c>
      <c r="B53" s="27" t="s">
        <v>262</v>
      </c>
      <c r="C53" s="27" t="s">
        <v>49</v>
      </c>
      <c r="D53" s="27">
        <v>0</v>
      </c>
      <c r="E53" s="27">
        <v>0</v>
      </c>
      <c r="F53" s="39">
        <v>0</v>
      </c>
      <c r="G53" s="26">
        <v>0</v>
      </c>
      <c r="H53" s="26">
        <v>0</v>
      </c>
      <c r="I53" s="29">
        <v>0</v>
      </c>
      <c r="J53" s="26">
        <v>37</v>
      </c>
      <c r="K53" s="26">
        <v>555</v>
      </c>
      <c r="L53" s="26">
        <v>0</v>
      </c>
      <c r="M53" s="26">
        <v>0</v>
      </c>
      <c r="N53" s="31">
        <v>40836.9</v>
      </c>
      <c r="O53" s="26">
        <v>9</v>
      </c>
      <c r="P53" s="26">
        <v>135</v>
      </c>
      <c r="Q53" s="49">
        <v>1755</v>
      </c>
      <c r="R53" s="26">
        <v>9</v>
      </c>
      <c r="S53" s="50">
        <v>671.21052631578948</v>
      </c>
      <c r="T53" s="51">
        <v>43263.110526315788</v>
      </c>
      <c r="U53" s="26">
        <v>0</v>
      </c>
      <c r="V53" s="52">
        <v>0</v>
      </c>
      <c r="X53" s="78">
        <f t="shared" si="0"/>
        <v>34610.488421052629</v>
      </c>
      <c r="Z53" s="27">
        <v>1586.5200000000002</v>
      </c>
    </row>
    <row r="54" spans="1:26" hidden="1" x14ac:dyDescent="0.3">
      <c r="A54" s="26">
        <v>2057</v>
      </c>
      <c r="B54" s="27" t="s">
        <v>263</v>
      </c>
      <c r="C54" s="27" t="s">
        <v>49</v>
      </c>
      <c r="D54" s="27">
        <v>0</v>
      </c>
      <c r="E54" s="27">
        <v>0</v>
      </c>
      <c r="F54" s="39">
        <v>0</v>
      </c>
      <c r="G54" s="26">
        <v>0</v>
      </c>
      <c r="H54" s="26">
        <v>0</v>
      </c>
      <c r="I54" s="29">
        <v>0</v>
      </c>
      <c r="J54" s="26">
        <v>38</v>
      </c>
      <c r="K54" s="26">
        <v>570</v>
      </c>
      <c r="L54" s="26">
        <v>0</v>
      </c>
      <c r="M54" s="26">
        <v>0</v>
      </c>
      <c r="N54" s="31">
        <v>41940.6</v>
      </c>
      <c r="O54" s="26">
        <v>7</v>
      </c>
      <c r="P54" s="26">
        <v>105</v>
      </c>
      <c r="Q54" s="49">
        <v>1365</v>
      </c>
      <c r="R54" s="26">
        <v>7</v>
      </c>
      <c r="S54" s="50">
        <v>522.0526315789474</v>
      </c>
      <c r="T54" s="51">
        <v>43827.652631578945</v>
      </c>
      <c r="U54" s="26">
        <v>0</v>
      </c>
      <c r="V54" s="52">
        <v>0</v>
      </c>
      <c r="X54" s="78">
        <f t="shared" si="0"/>
        <v>35062.122105263159</v>
      </c>
      <c r="Z54" s="27">
        <v>1611.48</v>
      </c>
    </row>
    <row r="55" spans="1:26" hidden="1" x14ac:dyDescent="0.3">
      <c r="A55" s="26">
        <v>2058</v>
      </c>
      <c r="B55" s="27" t="s">
        <v>264</v>
      </c>
      <c r="C55" s="27" t="s">
        <v>49</v>
      </c>
      <c r="D55" s="27">
        <v>0</v>
      </c>
      <c r="E55" s="27">
        <v>0</v>
      </c>
      <c r="F55" s="39">
        <v>0</v>
      </c>
      <c r="G55" s="26">
        <v>0</v>
      </c>
      <c r="H55" s="26">
        <v>0</v>
      </c>
      <c r="I55" s="29">
        <v>0</v>
      </c>
      <c r="J55" s="26">
        <v>32</v>
      </c>
      <c r="K55" s="26">
        <v>480</v>
      </c>
      <c r="L55" s="26">
        <v>8</v>
      </c>
      <c r="M55" s="26">
        <v>120</v>
      </c>
      <c r="N55" s="31">
        <v>44148</v>
      </c>
      <c r="O55" s="26">
        <v>18</v>
      </c>
      <c r="P55" s="26">
        <v>240</v>
      </c>
      <c r="Q55" s="49">
        <v>3120</v>
      </c>
      <c r="R55" s="26">
        <v>16</v>
      </c>
      <c r="S55" s="50">
        <v>1193.2631578947369</v>
      </c>
      <c r="T55" s="51">
        <v>48461.26315789474</v>
      </c>
      <c r="U55" s="26">
        <v>0</v>
      </c>
      <c r="V55" s="52">
        <v>0</v>
      </c>
      <c r="X55" s="78">
        <f t="shared" si="0"/>
        <v>38769.010526315797</v>
      </c>
      <c r="Z55" s="27">
        <v>1389.96</v>
      </c>
    </row>
    <row r="56" spans="1:26" hidden="1" x14ac:dyDescent="0.3">
      <c r="A56" s="26">
        <v>2059</v>
      </c>
      <c r="B56" s="27" t="s">
        <v>265</v>
      </c>
      <c r="C56" s="27" t="s">
        <v>49</v>
      </c>
      <c r="D56" s="27">
        <v>0</v>
      </c>
      <c r="E56" s="27">
        <v>0</v>
      </c>
      <c r="F56" s="39">
        <v>0</v>
      </c>
      <c r="G56" s="26">
        <v>0</v>
      </c>
      <c r="H56" s="26">
        <v>0</v>
      </c>
      <c r="I56" s="29">
        <v>0</v>
      </c>
      <c r="J56" s="26">
        <v>10</v>
      </c>
      <c r="K56" s="26">
        <v>150</v>
      </c>
      <c r="L56" s="26">
        <v>3</v>
      </c>
      <c r="M56" s="26">
        <v>45</v>
      </c>
      <c r="N56" s="31">
        <v>14348.1</v>
      </c>
      <c r="O56" s="26">
        <v>1</v>
      </c>
      <c r="P56" s="26">
        <v>15</v>
      </c>
      <c r="Q56" s="49">
        <v>195</v>
      </c>
      <c r="R56" s="26">
        <v>1</v>
      </c>
      <c r="S56" s="50">
        <v>74.578947368421055</v>
      </c>
      <c r="T56" s="51">
        <v>14617.678947368422</v>
      </c>
      <c r="U56" s="26">
        <v>0</v>
      </c>
      <c r="V56" s="52">
        <v>0</v>
      </c>
      <c r="X56" s="78">
        <f t="shared" si="0"/>
        <v>11694.143157894738</v>
      </c>
      <c r="Z56" s="27">
        <v>502.32</v>
      </c>
    </row>
    <row r="57" spans="1:26" hidden="1" x14ac:dyDescent="0.3">
      <c r="A57" s="26">
        <v>2060</v>
      </c>
      <c r="B57" s="27" t="s">
        <v>266</v>
      </c>
      <c r="C57" s="27" t="s">
        <v>49</v>
      </c>
      <c r="D57" s="27">
        <v>0</v>
      </c>
      <c r="E57" s="27">
        <v>0</v>
      </c>
      <c r="F57" s="39">
        <v>0</v>
      </c>
      <c r="G57" s="26">
        <v>0</v>
      </c>
      <c r="H57" s="26">
        <v>0</v>
      </c>
      <c r="I57" s="29">
        <v>0</v>
      </c>
      <c r="J57" s="26">
        <v>18</v>
      </c>
      <c r="K57" s="26">
        <v>270</v>
      </c>
      <c r="L57" s="26">
        <v>0</v>
      </c>
      <c r="M57" s="26">
        <v>0</v>
      </c>
      <c r="N57" s="31">
        <v>19866.600000000002</v>
      </c>
      <c r="O57" s="26">
        <v>10</v>
      </c>
      <c r="P57" s="26">
        <v>150</v>
      </c>
      <c r="Q57" s="49">
        <v>1950</v>
      </c>
      <c r="R57" s="26">
        <v>10</v>
      </c>
      <c r="S57" s="50">
        <v>745.78947368421052</v>
      </c>
      <c r="T57" s="51">
        <v>22562.389473684212</v>
      </c>
      <c r="U57" s="26">
        <v>0</v>
      </c>
      <c r="V57" s="52">
        <v>0</v>
      </c>
      <c r="X57" s="78">
        <f t="shared" si="0"/>
        <v>18049.911578947369</v>
      </c>
      <c r="Z57" s="27">
        <v>1662.96</v>
      </c>
    </row>
    <row r="58" spans="1:26" hidden="1" x14ac:dyDescent="0.3">
      <c r="A58" s="26">
        <v>2062</v>
      </c>
      <c r="B58" s="27" t="s">
        <v>31</v>
      </c>
      <c r="C58" s="27" t="s">
        <v>27</v>
      </c>
      <c r="D58" s="27">
        <v>0</v>
      </c>
      <c r="E58" s="27">
        <v>0</v>
      </c>
      <c r="F58" s="39">
        <v>0</v>
      </c>
      <c r="G58" s="26">
        <v>0</v>
      </c>
      <c r="H58" s="26">
        <v>0</v>
      </c>
      <c r="I58" s="29">
        <v>0</v>
      </c>
      <c r="J58" s="26">
        <v>27</v>
      </c>
      <c r="K58" s="26">
        <v>405</v>
      </c>
      <c r="L58" s="26">
        <v>0</v>
      </c>
      <c r="M58" s="26">
        <v>0</v>
      </c>
      <c r="N58" s="31">
        <v>29799.9</v>
      </c>
      <c r="O58" s="26">
        <v>10</v>
      </c>
      <c r="P58" s="26">
        <v>150</v>
      </c>
      <c r="Q58" s="49">
        <v>1950</v>
      </c>
      <c r="R58" s="26">
        <v>0</v>
      </c>
      <c r="S58" s="50">
        <v>0</v>
      </c>
      <c r="T58" s="51">
        <v>31749.9</v>
      </c>
      <c r="U58" s="26">
        <v>0</v>
      </c>
      <c r="V58" s="52">
        <v>0</v>
      </c>
      <c r="X58" s="78">
        <f t="shared" si="0"/>
        <v>25399.920000000002</v>
      </c>
      <c r="Z58" s="27">
        <v>854.88</v>
      </c>
    </row>
    <row r="59" spans="1:26" hidden="1" x14ac:dyDescent="0.3">
      <c r="A59" s="26">
        <v>2063</v>
      </c>
      <c r="B59" s="27" t="s">
        <v>127</v>
      </c>
      <c r="C59" s="27" t="s">
        <v>27</v>
      </c>
      <c r="D59" s="27">
        <v>0</v>
      </c>
      <c r="E59" s="27">
        <v>0</v>
      </c>
      <c r="F59" s="39">
        <v>0</v>
      </c>
      <c r="G59" s="26">
        <v>0</v>
      </c>
      <c r="H59" s="26">
        <v>0</v>
      </c>
      <c r="I59" s="29">
        <v>0</v>
      </c>
      <c r="J59" s="26">
        <v>30</v>
      </c>
      <c r="K59" s="26">
        <v>450</v>
      </c>
      <c r="L59" s="26">
        <v>0</v>
      </c>
      <c r="M59" s="26">
        <v>0</v>
      </c>
      <c r="N59" s="31">
        <v>33111</v>
      </c>
      <c r="O59" s="26">
        <v>15</v>
      </c>
      <c r="P59" s="26">
        <v>225</v>
      </c>
      <c r="Q59" s="49">
        <v>2925</v>
      </c>
      <c r="R59" s="26">
        <v>0</v>
      </c>
      <c r="S59" s="50">
        <v>0</v>
      </c>
      <c r="T59" s="51">
        <v>36036</v>
      </c>
      <c r="U59" s="26">
        <v>0</v>
      </c>
      <c r="V59" s="52">
        <v>0</v>
      </c>
      <c r="X59" s="78">
        <f t="shared" si="0"/>
        <v>28828.800000000003</v>
      </c>
      <c r="Z59" s="27">
        <v>1614.6000000000001</v>
      </c>
    </row>
    <row r="60" spans="1:26" hidden="1" x14ac:dyDescent="0.3">
      <c r="A60" s="26">
        <v>2064</v>
      </c>
      <c r="B60" s="27" t="s">
        <v>267</v>
      </c>
      <c r="C60" s="27" t="s">
        <v>49</v>
      </c>
      <c r="D60" s="27">
        <v>0</v>
      </c>
      <c r="E60" s="27">
        <v>0</v>
      </c>
      <c r="F60" s="39">
        <v>0</v>
      </c>
      <c r="G60" s="26">
        <v>0</v>
      </c>
      <c r="H60" s="26">
        <v>0</v>
      </c>
      <c r="I60" s="29">
        <v>0</v>
      </c>
      <c r="J60" s="26">
        <v>24</v>
      </c>
      <c r="K60" s="26">
        <v>360</v>
      </c>
      <c r="L60" s="26">
        <v>0</v>
      </c>
      <c r="M60" s="26">
        <v>0</v>
      </c>
      <c r="N60" s="31">
        <v>26488.799999999999</v>
      </c>
      <c r="O60" s="26">
        <v>8</v>
      </c>
      <c r="P60" s="26">
        <v>120</v>
      </c>
      <c r="Q60" s="49">
        <v>1560</v>
      </c>
      <c r="R60" s="26">
        <v>8</v>
      </c>
      <c r="S60" s="50">
        <v>596.63157894736844</v>
      </c>
      <c r="T60" s="51">
        <v>28645.431578947369</v>
      </c>
      <c r="U60" s="26">
        <v>0</v>
      </c>
      <c r="V60" s="52">
        <v>0</v>
      </c>
      <c r="X60" s="78">
        <f t="shared" si="0"/>
        <v>22916.345263157898</v>
      </c>
      <c r="Z60" s="27">
        <v>876.71999999999991</v>
      </c>
    </row>
    <row r="61" spans="1:26" hidden="1" x14ac:dyDescent="0.3">
      <c r="A61" s="26">
        <v>2065</v>
      </c>
      <c r="B61" s="27" t="s">
        <v>268</v>
      </c>
      <c r="C61" s="27" t="s">
        <v>49</v>
      </c>
      <c r="D61" s="27">
        <v>0</v>
      </c>
      <c r="E61" s="27">
        <v>0</v>
      </c>
      <c r="F61" s="39">
        <v>0</v>
      </c>
      <c r="G61" s="26">
        <v>0</v>
      </c>
      <c r="H61" s="26">
        <v>0</v>
      </c>
      <c r="I61" s="29">
        <v>0</v>
      </c>
      <c r="J61" s="26">
        <v>37</v>
      </c>
      <c r="K61" s="26">
        <v>555</v>
      </c>
      <c r="L61" s="26">
        <v>0</v>
      </c>
      <c r="M61" s="26">
        <v>0</v>
      </c>
      <c r="N61" s="31">
        <v>40836.9</v>
      </c>
      <c r="O61" s="26">
        <v>1</v>
      </c>
      <c r="P61" s="26">
        <v>15</v>
      </c>
      <c r="Q61" s="49">
        <v>195</v>
      </c>
      <c r="R61" s="26">
        <v>1</v>
      </c>
      <c r="S61" s="50">
        <v>74.578947368421055</v>
      </c>
      <c r="T61" s="51">
        <v>41106.478947368421</v>
      </c>
      <c r="U61" s="26">
        <v>0</v>
      </c>
      <c r="V61" s="52">
        <v>0</v>
      </c>
      <c r="X61" s="78">
        <f t="shared" si="0"/>
        <v>32885.183157894739</v>
      </c>
      <c r="Z61" s="27">
        <v>70.2</v>
      </c>
    </row>
    <row r="62" spans="1:26" hidden="1" x14ac:dyDescent="0.3">
      <c r="A62" s="26">
        <v>2214</v>
      </c>
      <c r="B62" s="27" t="s">
        <v>269</v>
      </c>
      <c r="C62" s="27" t="s">
        <v>49</v>
      </c>
      <c r="D62" s="27">
        <v>0</v>
      </c>
      <c r="E62" s="27">
        <v>0</v>
      </c>
      <c r="F62" s="39">
        <v>0</v>
      </c>
      <c r="G62" s="26">
        <v>0</v>
      </c>
      <c r="H62" s="26">
        <v>0</v>
      </c>
      <c r="I62" s="29">
        <v>0</v>
      </c>
      <c r="J62" s="26">
        <v>29</v>
      </c>
      <c r="K62" s="26">
        <v>435</v>
      </c>
      <c r="L62" s="26">
        <v>0</v>
      </c>
      <c r="M62" s="26">
        <v>0</v>
      </c>
      <c r="N62" s="31">
        <v>32007.3</v>
      </c>
      <c r="O62" s="26">
        <v>0</v>
      </c>
      <c r="P62" s="26">
        <v>0</v>
      </c>
      <c r="Q62" s="49">
        <v>0</v>
      </c>
      <c r="R62" s="26">
        <v>0</v>
      </c>
      <c r="S62" s="50">
        <v>0</v>
      </c>
      <c r="T62" s="51">
        <v>32007.3</v>
      </c>
      <c r="U62" s="26">
        <v>0</v>
      </c>
      <c r="V62" s="52">
        <v>0</v>
      </c>
      <c r="X62" s="78">
        <f t="shared" si="0"/>
        <v>25605.84</v>
      </c>
      <c r="Z62" s="27">
        <v>1004.6399999999999</v>
      </c>
    </row>
    <row r="63" spans="1:26" hidden="1" x14ac:dyDescent="0.3">
      <c r="A63" s="26">
        <v>2068</v>
      </c>
      <c r="B63" s="27" t="s">
        <v>270</v>
      </c>
      <c r="C63" s="27" t="s">
        <v>49</v>
      </c>
      <c r="D63" s="27">
        <v>0</v>
      </c>
      <c r="E63" s="27">
        <v>0</v>
      </c>
      <c r="F63" s="39">
        <v>0</v>
      </c>
      <c r="G63" s="26">
        <v>0</v>
      </c>
      <c r="H63" s="26">
        <v>0</v>
      </c>
      <c r="I63" s="29">
        <v>0</v>
      </c>
      <c r="J63" s="26">
        <v>23</v>
      </c>
      <c r="K63" s="26">
        <v>345</v>
      </c>
      <c r="L63" s="26">
        <v>4</v>
      </c>
      <c r="M63" s="26">
        <v>60</v>
      </c>
      <c r="N63" s="31">
        <v>29799.9</v>
      </c>
      <c r="O63" s="26">
        <v>11</v>
      </c>
      <c r="P63" s="26">
        <v>165</v>
      </c>
      <c r="Q63" s="49">
        <v>2145</v>
      </c>
      <c r="R63" s="26">
        <v>11</v>
      </c>
      <c r="S63" s="50">
        <v>820.36842105263156</v>
      </c>
      <c r="T63" s="51">
        <v>32765.268421052631</v>
      </c>
      <c r="U63" s="26">
        <v>1</v>
      </c>
      <c r="V63" s="52">
        <v>320.89473684210526</v>
      </c>
      <c r="X63" s="78">
        <f t="shared" si="0"/>
        <v>26468.930526315788</v>
      </c>
      <c r="Z63" s="27">
        <v>1283.8800000000001</v>
      </c>
    </row>
    <row r="64" spans="1:26" hidden="1" x14ac:dyDescent="0.3">
      <c r="A64" s="26">
        <v>2070</v>
      </c>
      <c r="B64" s="27" t="s">
        <v>271</v>
      </c>
      <c r="C64" s="27" t="s">
        <v>49</v>
      </c>
      <c r="D64" s="27">
        <v>0</v>
      </c>
      <c r="E64" s="27">
        <v>0</v>
      </c>
      <c r="F64" s="39">
        <v>0</v>
      </c>
      <c r="G64" s="26">
        <v>0</v>
      </c>
      <c r="H64" s="26">
        <v>0</v>
      </c>
      <c r="I64" s="29">
        <v>0</v>
      </c>
      <c r="J64" s="26">
        <v>13</v>
      </c>
      <c r="K64" s="26">
        <v>195</v>
      </c>
      <c r="L64" s="26">
        <v>0</v>
      </c>
      <c r="M64" s="26">
        <v>0</v>
      </c>
      <c r="N64" s="31">
        <v>14348.1</v>
      </c>
      <c r="O64" s="26">
        <v>5</v>
      </c>
      <c r="P64" s="26">
        <v>60</v>
      </c>
      <c r="Q64" s="49">
        <v>780</v>
      </c>
      <c r="R64" s="26">
        <v>4</v>
      </c>
      <c r="S64" s="50">
        <v>298.31578947368422</v>
      </c>
      <c r="T64" s="51">
        <v>15426.415789473685</v>
      </c>
      <c r="U64" s="26">
        <v>0</v>
      </c>
      <c r="V64" s="52">
        <v>0</v>
      </c>
      <c r="X64" s="78">
        <f t="shared" si="0"/>
        <v>12341.132631578948</v>
      </c>
      <c r="Z64" s="27">
        <v>739.44</v>
      </c>
    </row>
    <row r="65" spans="1:26" hidden="1" x14ac:dyDescent="0.3">
      <c r="A65" s="26">
        <v>2072</v>
      </c>
      <c r="B65" s="27" t="s">
        <v>272</v>
      </c>
      <c r="C65" s="27" t="s">
        <v>49</v>
      </c>
      <c r="D65" s="27">
        <v>0</v>
      </c>
      <c r="E65" s="27">
        <v>0</v>
      </c>
      <c r="F65" s="39">
        <v>0</v>
      </c>
      <c r="G65" s="26">
        <v>0</v>
      </c>
      <c r="H65" s="26">
        <v>0</v>
      </c>
      <c r="I65" s="29">
        <v>0</v>
      </c>
      <c r="J65" s="26">
        <v>54</v>
      </c>
      <c r="K65" s="26">
        <v>810</v>
      </c>
      <c r="L65" s="26">
        <v>11</v>
      </c>
      <c r="M65" s="26">
        <v>165</v>
      </c>
      <c r="N65" s="31">
        <v>71740.5</v>
      </c>
      <c r="O65" s="26">
        <v>13</v>
      </c>
      <c r="P65" s="26">
        <v>195</v>
      </c>
      <c r="Q65" s="49">
        <v>2535</v>
      </c>
      <c r="R65" s="26">
        <v>13</v>
      </c>
      <c r="S65" s="50">
        <v>969.52631578947376</v>
      </c>
      <c r="T65" s="51">
        <v>75245.026315789481</v>
      </c>
      <c r="U65" s="26">
        <v>0</v>
      </c>
      <c r="V65" s="52">
        <v>0</v>
      </c>
      <c r="X65" s="78">
        <f t="shared" si="0"/>
        <v>60196.021052631586</v>
      </c>
      <c r="Z65" s="27">
        <v>1859.5200000000002</v>
      </c>
    </row>
    <row r="66" spans="1:26" hidden="1" x14ac:dyDescent="0.3">
      <c r="A66" s="26">
        <v>2073</v>
      </c>
      <c r="B66" s="27" t="s">
        <v>273</v>
      </c>
      <c r="C66" s="27" t="s">
        <v>49</v>
      </c>
      <c r="D66" s="27">
        <v>0</v>
      </c>
      <c r="E66" s="27">
        <v>0</v>
      </c>
      <c r="F66" s="39">
        <v>0</v>
      </c>
      <c r="G66" s="26">
        <v>0</v>
      </c>
      <c r="H66" s="26">
        <v>0</v>
      </c>
      <c r="I66" s="29">
        <v>0</v>
      </c>
      <c r="J66" s="26">
        <v>30</v>
      </c>
      <c r="K66" s="26">
        <v>450</v>
      </c>
      <c r="L66" s="26">
        <v>8</v>
      </c>
      <c r="M66" s="26">
        <v>120</v>
      </c>
      <c r="N66" s="31">
        <v>41940.6</v>
      </c>
      <c r="O66" s="26">
        <v>17</v>
      </c>
      <c r="P66" s="26">
        <v>255</v>
      </c>
      <c r="Q66" s="49">
        <v>3315</v>
      </c>
      <c r="R66" s="26">
        <v>17</v>
      </c>
      <c r="S66" s="50">
        <v>1267.8421052631579</v>
      </c>
      <c r="T66" s="51">
        <v>46523.442105263159</v>
      </c>
      <c r="U66" s="26">
        <v>0</v>
      </c>
      <c r="V66" s="52">
        <v>0</v>
      </c>
      <c r="X66" s="78">
        <f t="shared" si="0"/>
        <v>37218.753684210526</v>
      </c>
      <c r="Z66" s="27">
        <v>1851.7200000000003</v>
      </c>
    </row>
    <row r="67" spans="1:26" hidden="1" x14ac:dyDescent="0.3">
      <c r="A67" s="26">
        <v>2075</v>
      </c>
      <c r="B67" s="27" t="s">
        <v>274</v>
      </c>
      <c r="C67" s="27" t="s">
        <v>49</v>
      </c>
      <c r="D67" s="27">
        <v>0</v>
      </c>
      <c r="E67" s="27">
        <v>0</v>
      </c>
      <c r="F67" s="39">
        <v>0</v>
      </c>
      <c r="G67" s="26">
        <v>0</v>
      </c>
      <c r="H67" s="26">
        <v>0</v>
      </c>
      <c r="I67" s="29">
        <v>0</v>
      </c>
      <c r="J67" s="26">
        <v>14</v>
      </c>
      <c r="K67" s="26">
        <v>210</v>
      </c>
      <c r="L67" s="26">
        <v>0</v>
      </c>
      <c r="M67" s="26">
        <v>0</v>
      </c>
      <c r="N67" s="31">
        <v>15451.800000000001</v>
      </c>
      <c r="O67" s="26">
        <v>5</v>
      </c>
      <c r="P67" s="26">
        <v>60</v>
      </c>
      <c r="Q67" s="49">
        <v>780</v>
      </c>
      <c r="R67" s="26">
        <v>0</v>
      </c>
      <c r="S67" s="50">
        <v>0</v>
      </c>
      <c r="T67" s="51">
        <v>16231.800000000001</v>
      </c>
      <c r="U67" s="26">
        <v>0</v>
      </c>
      <c r="V67" s="52">
        <v>0</v>
      </c>
      <c r="X67" s="78">
        <f t="shared" si="0"/>
        <v>12985.440000000002</v>
      </c>
      <c r="Z67" s="27">
        <v>535.07999999999993</v>
      </c>
    </row>
    <row r="68" spans="1:26" hidden="1" x14ac:dyDescent="0.3">
      <c r="A68" s="26">
        <v>2078</v>
      </c>
      <c r="B68" s="27" t="s">
        <v>275</v>
      </c>
      <c r="C68" s="27" t="s">
        <v>49</v>
      </c>
      <c r="D68" s="27">
        <v>0</v>
      </c>
      <c r="E68" s="27">
        <v>0</v>
      </c>
      <c r="F68" s="39">
        <v>0</v>
      </c>
      <c r="G68" s="26">
        <v>0</v>
      </c>
      <c r="H68" s="26">
        <v>0</v>
      </c>
      <c r="I68" s="29">
        <v>0</v>
      </c>
      <c r="J68" s="26">
        <v>24</v>
      </c>
      <c r="K68" s="26">
        <v>358</v>
      </c>
      <c r="L68" s="26">
        <v>9</v>
      </c>
      <c r="M68" s="26">
        <v>117</v>
      </c>
      <c r="N68" s="31">
        <v>34950.5</v>
      </c>
      <c r="O68" s="26">
        <v>1</v>
      </c>
      <c r="P68" s="26">
        <v>15</v>
      </c>
      <c r="Q68" s="49">
        <v>195</v>
      </c>
      <c r="R68" s="26">
        <v>1</v>
      </c>
      <c r="S68" s="50">
        <v>74.578947368421055</v>
      </c>
      <c r="T68" s="51">
        <v>35220.07894736842</v>
      </c>
      <c r="U68" s="26">
        <v>0</v>
      </c>
      <c r="V68" s="52">
        <v>0</v>
      </c>
      <c r="X68" s="78">
        <f t="shared" si="0"/>
        <v>28176.063157894736</v>
      </c>
      <c r="Z68" s="27">
        <v>219.96</v>
      </c>
    </row>
    <row r="69" spans="1:26" hidden="1" x14ac:dyDescent="0.3">
      <c r="A69" s="26">
        <v>2082</v>
      </c>
      <c r="B69" s="27" t="s">
        <v>276</v>
      </c>
      <c r="C69" s="27" t="s">
        <v>49</v>
      </c>
      <c r="D69" s="27">
        <v>0</v>
      </c>
      <c r="E69" s="27">
        <v>0</v>
      </c>
      <c r="F69" s="39">
        <v>0</v>
      </c>
      <c r="G69" s="26">
        <v>0</v>
      </c>
      <c r="H69" s="26">
        <v>0</v>
      </c>
      <c r="I69" s="29">
        <v>0</v>
      </c>
      <c r="J69" s="26">
        <v>21</v>
      </c>
      <c r="K69" s="26">
        <v>315</v>
      </c>
      <c r="L69" s="26">
        <v>0</v>
      </c>
      <c r="M69" s="26">
        <v>0</v>
      </c>
      <c r="N69" s="31">
        <v>23177.7</v>
      </c>
      <c r="O69" s="26">
        <v>0</v>
      </c>
      <c r="P69" s="26">
        <v>0</v>
      </c>
      <c r="Q69" s="49">
        <v>0</v>
      </c>
      <c r="R69" s="26">
        <v>0</v>
      </c>
      <c r="S69" s="50">
        <v>0</v>
      </c>
      <c r="T69" s="51">
        <v>23177.7</v>
      </c>
      <c r="U69" s="26">
        <v>0</v>
      </c>
      <c r="V69" s="52">
        <v>0</v>
      </c>
      <c r="X69" s="78">
        <f t="shared" si="0"/>
        <v>18542.16</v>
      </c>
      <c r="Z69" s="27">
        <v>1062.3599999999999</v>
      </c>
    </row>
    <row r="70" spans="1:26" hidden="1" x14ac:dyDescent="0.3">
      <c r="A70" s="26">
        <v>2086</v>
      </c>
      <c r="B70" s="27" t="s">
        <v>277</v>
      </c>
      <c r="C70" s="27" t="s">
        <v>49</v>
      </c>
      <c r="D70" s="27">
        <v>0</v>
      </c>
      <c r="E70" s="27">
        <v>0</v>
      </c>
      <c r="F70" s="39">
        <v>0</v>
      </c>
      <c r="G70" s="26">
        <v>0</v>
      </c>
      <c r="H70" s="26">
        <v>0</v>
      </c>
      <c r="I70" s="29">
        <v>0</v>
      </c>
      <c r="J70" s="26">
        <v>25</v>
      </c>
      <c r="K70" s="26">
        <v>375</v>
      </c>
      <c r="L70" s="26">
        <v>0</v>
      </c>
      <c r="M70" s="26">
        <v>0</v>
      </c>
      <c r="N70" s="31">
        <v>27592.5</v>
      </c>
      <c r="O70" s="26">
        <v>7</v>
      </c>
      <c r="P70" s="26">
        <v>105</v>
      </c>
      <c r="Q70" s="49">
        <v>1365</v>
      </c>
      <c r="R70" s="26">
        <v>6</v>
      </c>
      <c r="S70" s="50">
        <v>447.47368421052636</v>
      </c>
      <c r="T70" s="51">
        <v>29404.973684210527</v>
      </c>
      <c r="U70" s="26">
        <v>0</v>
      </c>
      <c r="V70" s="52">
        <v>0</v>
      </c>
      <c r="X70" s="78">
        <f t="shared" si="0"/>
        <v>23523.978947368421</v>
      </c>
      <c r="Z70" s="27">
        <v>483.6</v>
      </c>
    </row>
    <row r="71" spans="1:26" hidden="1" x14ac:dyDescent="0.3">
      <c r="A71" s="26">
        <v>2093</v>
      </c>
      <c r="B71" s="27" t="s">
        <v>278</v>
      </c>
      <c r="C71" s="27" t="s">
        <v>27</v>
      </c>
      <c r="D71" s="27">
        <v>0</v>
      </c>
      <c r="E71" s="27">
        <v>0</v>
      </c>
      <c r="F71" s="39">
        <v>0</v>
      </c>
      <c r="G71" s="26">
        <v>0</v>
      </c>
      <c r="H71" s="26">
        <v>0</v>
      </c>
      <c r="I71" s="29">
        <v>0</v>
      </c>
      <c r="J71" s="26">
        <v>49</v>
      </c>
      <c r="K71" s="26">
        <v>735</v>
      </c>
      <c r="L71" s="26">
        <v>0</v>
      </c>
      <c r="M71" s="26">
        <v>0</v>
      </c>
      <c r="N71" s="31">
        <v>54081.3</v>
      </c>
      <c r="O71" s="26">
        <v>7</v>
      </c>
      <c r="P71" s="26">
        <v>105</v>
      </c>
      <c r="Q71" s="49">
        <v>1365</v>
      </c>
      <c r="R71" s="26">
        <v>6</v>
      </c>
      <c r="S71" s="50">
        <v>447.47368421052636</v>
      </c>
      <c r="T71" s="51">
        <v>55893.77368421053</v>
      </c>
      <c r="U71" s="26">
        <v>0</v>
      </c>
      <c r="V71" s="52">
        <v>0</v>
      </c>
      <c r="X71" s="78">
        <f t="shared" si="0"/>
        <v>44715.01894736843</v>
      </c>
      <c r="Z71" s="27">
        <v>177.84000000000003</v>
      </c>
    </row>
    <row r="72" spans="1:26" hidden="1" x14ac:dyDescent="0.3">
      <c r="A72" s="26">
        <v>2096</v>
      </c>
      <c r="B72" s="27" t="s">
        <v>279</v>
      </c>
      <c r="C72" s="27" t="s">
        <v>49</v>
      </c>
      <c r="D72" s="27">
        <v>0</v>
      </c>
      <c r="E72" s="27">
        <v>0</v>
      </c>
      <c r="F72" s="39">
        <v>0</v>
      </c>
      <c r="G72" s="26">
        <v>0</v>
      </c>
      <c r="H72" s="26">
        <v>0</v>
      </c>
      <c r="I72" s="29">
        <v>0</v>
      </c>
      <c r="J72" s="26">
        <v>25</v>
      </c>
      <c r="K72" s="26">
        <v>375</v>
      </c>
      <c r="L72" s="26">
        <v>0</v>
      </c>
      <c r="M72" s="26">
        <v>0</v>
      </c>
      <c r="N72" s="31">
        <v>27592.5</v>
      </c>
      <c r="O72" s="26">
        <v>15</v>
      </c>
      <c r="P72" s="26">
        <v>225</v>
      </c>
      <c r="Q72" s="49">
        <v>2925</v>
      </c>
      <c r="R72" s="26">
        <v>15</v>
      </c>
      <c r="S72" s="50">
        <v>1118.6842105263158</v>
      </c>
      <c r="T72" s="51">
        <v>31636.184210526317</v>
      </c>
      <c r="U72" s="26">
        <v>0</v>
      </c>
      <c r="V72" s="52">
        <v>0</v>
      </c>
      <c r="X72" s="78">
        <f t="shared" ref="X72:X135" si="1">(T72+V72)*0.8</f>
        <v>25308.947368421053</v>
      </c>
      <c r="Z72" s="27">
        <v>1594.32</v>
      </c>
    </row>
    <row r="73" spans="1:26" hidden="1" x14ac:dyDescent="0.3">
      <c r="A73" s="26">
        <v>2097</v>
      </c>
      <c r="B73" s="27" t="s">
        <v>280</v>
      </c>
      <c r="C73" s="27" t="s">
        <v>49</v>
      </c>
      <c r="D73" s="27">
        <v>0</v>
      </c>
      <c r="E73" s="27">
        <v>0</v>
      </c>
      <c r="F73" s="39">
        <v>0</v>
      </c>
      <c r="G73" s="26">
        <v>0</v>
      </c>
      <c r="H73" s="26">
        <v>0</v>
      </c>
      <c r="I73" s="29">
        <v>0</v>
      </c>
      <c r="J73" s="26">
        <v>20</v>
      </c>
      <c r="K73" s="26">
        <v>300</v>
      </c>
      <c r="L73" s="26">
        <v>6</v>
      </c>
      <c r="M73" s="26">
        <v>90</v>
      </c>
      <c r="N73" s="31">
        <v>28696.2</v>
      </c>
      <c r="O73" s="26">
        <v>7</v>
      </c>
      <c r="P73" s="26">
        <v>105</v>
      </c>
      <c r="Q73" s="49">
        <v>1365</v>
      </c>
      <c r="R73" s="26">
        <v>0</v>
      </c>
      <c r="S73" s="50">
        <v>0</v>
      </c>
      <c r="T73" s="51">
        <v>30061.200000000001</v>
      </c>
      <c r="U73" s="26">
        <v>0</v>
      </c>
      <c r="V73" s="52">
        <v>0</v>
      </c>
      <c r="X73" s="78">
        <f t="shared" si="1"/>
        <v>24048.960000000003</v>
      </c>
      <c r="Z73" s="27">
        <v>812.76</v>
      </c>
    </row>
    <row r="74" spans="1:26" hidden="1" x14ac:dyDescent="0.3">
      <c r="A74" s="26">
        <v>2098</v>
      </c>
      <c r="B74" s="27" t="s">
        <v>281</v>
      </c>
      <c r="C74" s="27" t="s">
        <v>49</v>
      </c>
      <c r="D74" s="27">
        <v>0</v>
      </c>
      <c r="E74" s="27">
        <v>0</v>
      </c>
      <c r="F74" s="39">
        <v>0</v>
      </c>
      <c r="G74" s="26">
        <v>0</v>
      </c>
      <c r="H74" s="26">
        <v>0</v>
      </c>
      <c r="I74" s="29">
        <v>0</v>
      </c>
      <c r="J74" s="26">
        <v>21</v>
      </c>
      <c r="K74" s="26">
        <v>315</v>
      </c>
      <c r="L74" s="26">
        <v>0</v>
      </c>
      <c r="M74" s="26">
        <v>0</v>
      </c>
      <c r="N74" s="31">
        <v>23177.7</v>
      </c>
      <c r="O74" s="26">
        <v>13</v>
      </c>
      <c r="P74" s="26">
        <v>195</v>
      </c>
      <c r="Q74" s="49">
        <v>2535</v>
      </c>
      <c r="R74" s="26">
        <v>13</v>
      </c>
      <c r="S74" s="50">
        <v>969.52631578947376</v>
      </c>
      <c r="T74" s="51">
        <v>26682.226315789474</v>
      </c>
      <c r="U74" s="26">
        <v>0</v>
      </c>
      <c r="V74" s="52">
        <v>0</v>
      </c>
      <c r="X74" s="78">
        <f t="shared" si="1"/>
        <v>21345.781052631581</v>
      </c>
      <c r="Z74" s="27">
        <v>786.24</v>
      </c>
    </row>
    <row r="75" spans="1:26" hidden="1" x14ac:dyDescent="0.3">
      <c r="A75" s="26">
        <v>2099</v>
      </c>
      <c r="B75" s="27" t="s">
        <v>87</v>
      </c>
      <c r="C75" s="27" t="s">
        <v>27</v>
      </c>
      <c r="D75" s="27">
        <v>0</v>
      </c>
      <c r="E75" s="27">
        <v>0</v>
      </c>
      <c r="F75" s="39">
        <v>0</v>
      </c>
      <c r="G75" s="26">
        <v>0</v>
      </c>
      <c r="H75" s="26">
        <v>0</v>
      </c>
      <c r="I75" s="29">
        <v>0</v>
      </c>
      <c r="J75" s="26">
        <v>24</v>
      </c>
      <c r="K75" s="26">
        <v>360</v>
      </c>
      <c r="L75" s="26">
        <v>0</v>
      </c>
      <c r="M75" s="26">
        <v>0</v>
      </c>
      <c r="N75" s="31">
        <v>26488.799999999999</v>
      </c>
      <c r="O75" s="26">
        <v>5</v>
      </c>
      <c r="P75" s="26">
        <v>75</v>
      </c>
      <c r="Q75" s="49">
        <v>975</v>
      </c>
      <c r="R75" s="26">
        <v>1</v>
      </c>
      <c r="S75" s="50">
        <v>74.578947368421055</v>
      </c>
      <c r="T75" s="51">
        <v>27538.378947368419</v>
      </c>
      <c r="U75" s="26">
        <v>0</v>
      </c>
      <c r="V75" s="52">
        <v>0</v>
      </c>
      <c r="X75" s="78">
        <f t="shared" si="1"/>
        <v>22030.703157894735</v>
      </c>
      <c r="Z75" s="27">
        <v>1352.5199999999998</v>
      </c>
    </row>
    <row r="76" spans="1:26" hidden="1" x14ac:dyDescent="0.3">
      <c r="A76" s="26">
        <v>2100</v>
      </c>
      <c r="B76" s="27" t="s">
        <v>282</v>
      </c>
      <c r="C76" s="27" t="s">
        <v>49</v>
      </c>
      <c r="D76" s="27">
        <v>0</v>
      </c>
      <c r="E76" s="27">
        <v>0</v>
      </c>
      <c r="F76" s="39">
        <v>0</v>
      </c>
      <c r="G76" s="26">
        <v>0</v>
      </c>
      <c r="H76" s="26">
        <v>0</v>
      </c>
      <c r="I76" s="29">
        <v>0</v>
      </c>
      <c r="J76" s="26">
        <v>20</v>
      </c>
      <c r="K76" s="26">
        <v>300</v>
      </c>
      <c r="L76" s="26">
        <v>0</v>
      </c>
      <c r="M76" s="26">
        <v>0</v>
      </c>
      <c r="N76" s="31">
        <v>22074</v>
      </c>
      <c r="O76" s="26">
        <v>13</v>
      </c>
      <c r="P76" s="26">
        <v>195</v>
      </c>
      <c r="Q76" s="49">
        <v>2535</v>
      </c>
      <c r="R76" s="26">
        <v>13</v>
      </c>
      <c r="S76" s="50">
        <v>969.52631578947376</v>
      </c>
      <c r="T76" s="51">
        <v>25578.526315789473</v>
      </c>
      <c r="U76" s="26">
        <v>0</v>
      </c>
      <c r="V76" s="52">
        <v>0</v>
      </c>
      <c r="X76" s="78">
        <f t="shared" si="1"/>
        <v>20462.821052631582</v>
      </c>
      <c r="Z76" s="27">
        <v>1453.92</v>
      </c>
    </row>
    <row r="77" spans="1:26" hidden="1" x14ac:dyDescent="0.3">
      <c r="A77" s="26">
        <v>2102</v>
      </c>
      <c r="B77" s="27" t="s">
        <v>283</v>
      </c>
      <c r="C77" s="27" t="s">
        <v>49</v>
      </c>
      <c r="D77" s="27">
        <v>0</v>
      </c>
      <c r="E77" s="27">
        <v>0</v>
      </c>
      <c r="F77" s="39">
        <v>0</v>
      </c>
      <c r="G77" s="26">
        <v>0</v>
      </c>
      <c r="H77" s="26">
        <v>0</v>
      </c>
      <c r="I77" s="29">
        <v>0</v>
      </c>
      <c r="J77" s="26">
        <v>38</v>
      </c>
      <c r="K77" s="26">
        <v>570</v>
      </c>
      <c r="L77" s="26">
        <v>13</v>
      </c>
      <c r="M77" s="26">
        <v>195</v>
      </c>
      <c r="N77" s="31">
        <v>56288.7</v>
      </c>
      <c r="O77" s="26">
        <v>19</v>
      </c>
      <c r="P77" s="26">
        <v>285</v>
      </c>
      <c r="Q77" s="49">
        <v>3705</v>
      </c>
      <c r="R77" s="26">
        <v>19</v>
      </c>
      <c r="S77" s="50">
        <v>1417</v>
      </c>
      <c r="T77" s="51">
        <v>61410.7</v>
      </c>
      <c r="U77" s="26">
        <v>0</v>
      </c>
      <c r="V77" s="52">
        <v>0</v>
      </c>
      <c r="X77" s="78">
        <f t="shared" si="1"/>
        <v>49128.56</v>
      </c>
      <c r="Z77" s="27">
        <v>2641.08</v>
      </c>
    </row>
    <row r="78" spans="1:26" hidden="1" x14ac:dyDescent="0.3">
      <c r="A78" s="26">
        <v>2103</v>
      </c>
      <c r="B78" s="27" t="s">
        <v>284</v>
      </c>
      <c r="C78" s="27" t="s">
        <v>49</v>
      </c>
      <c r="D78" s="27">
        <v>0</v>
      </c>
      <c r="E78" s="27">
        <v>0</v>
      </c>
      <c r="F78" s="39">
        <v>0</v>
      </c>
      <c r="G78" s="26">
        <v>0</v>
      </c>
      <c r="H78" s="26">
        <v>0</v>
      </c>
      <c r="I78" s="29">
        <v>0</v>
      </c>
      <c r="J78" s="26">
        <v>39</v>
      </c>
      <c r="K78" s="26">
        <v>585</v>
      </c>
      <c r="L78" s="26">
        <v>13</v>
      </c>
      <c r="M78" s="26">
        <v>195</v>
      </c>
      <c r="N78" s="31">
        <v>57392.4</v>
      </c>
      <c r="O78" s="26">
        <v>12</v>
      </c>
      <c r="P78" s="26">
        <v>180</v>
      </c>
      <c r="Q78" s="49">
        <v>2340</v>
      </c>
      <c r="R78" s="26">
        <v>1</v>
      </c>
      <c r="S78" s="50">
        <v>74.578947368421055</v>
      </c>
      <c r="T78" s="51">
        <v>59806.978947368421</v>
      </c>
      <c r="U78" s="26">
        <v>0</v>
      </c>
      <c r="V78" s="52">
        <v>0</v>
      </c>
      <c r="X78" s="78">
        <f t="shared" si="1"/>
        <v>47845.58315789474</v>
      </c>
      <c r="Z78" s="27">
        <v>925.07999999999993</v>
      </c>
    </row>
    <row r="79" spans="1:26" hidden="1" x14ac:dyDescent="0.3">
      <c r="A79" s="26">
        <v>2108</v>
      </c>
      <c r="B79" s="27" t="s">
        <v>161</v>
      </c>
      <c r="C79" s="27" t="s">
        <v>27</v>
      </c>
      <c r="D79" s="27">
        <v>0</v>
      </c>
      <c r="E79" s="27">
        <v>0</v>
      </c>
      <c r="F79" s="39">
        <v>0</v>
      </c>
      <c r="G79" s="26">
        <v>0</v>
      </c>
      <c r="H79" s="26">
        <v>0</v>
      </c>
      <c r="I79" s="29">
        <v>0</v>
      </c>
      <c r="J79" s="26">
        <v>43</v>
      </c>
      <c r="K79" s="26">
        <v>645</v>
      </c>
      <c r="L79" s="26">
        <v>0</v>
      </c>
      <c r="M79" s="26">
        <v>0</v>
      </c>
      <c r="N79" s="31">
        <v>47459.1</v>
      </c>
      <c r="O79" s="26">
        <v>1</v>
      </c>
      <c r="P79" s="26">
        <v>15</v>
      </c>
      <c r="Q79" s="49">
        <v>195</v>
      </c>
      <c r="R79" s="26">
        <v>1</v>
      </c>
      <c r="S79" s="50">
        <v>74.578947368421055</v>
      </c>
      <c r="T79" s="51">
        <v>47728.678947368418</v>
      </c>
      <c r="U79" s="26">
        <v>0</v>
      </c>
      <c r="V79" s="52">
        <v>0</v>
      </c>
      <c r="X79" s="78">
        <f t="shared" si="1"/>
        <v>38182.943157894733</v>
      </c>
      <c r="Z79" s="27">
        <v>1424.28</v>
      </c>
    </row>
    <row r="80" spans="1:26" hidden="1" x14ac:dyDescent="0.3">
      <c r="A80" s="26">
        <v>2109</v>
      </c>
      <c r="B80" s="27" t="s">
        <v>285</v>
      </c>
      <c r="C80" s="27" t="s">
        <v>49</v>
      </c>
      <c r="D80" s="27">
        <v>0</v>
      </c>
      <c r="E80" s="27">
        <v>0</v>
      </c>
      <c r="F80" s="39">
        <v>0</v>
      </c>
      <c r="G80" s="26">
        <v>0</v>
      </c>
      <c r="H80" s="26">
        <v>0</v>
      </c>
      <c r="I80" s="29">
        <v>0</v>
      </c>
      <c r="J80" s="26">
        <v>19</v>
      </c>
      <c r="K80" s="26">
        <v>285</v>
      </c>
      <c r="L80" s="26">
        <v>0</v>
      </c>
      <c r="M80" s="26">
        <v>0</v>
      </c>
      <c r="N80" s="31">
        <v>20970.3</v>
      </c>
      <c r="O80" s="26">
        <v>8</v>
      </c>
      <c r="P80" s="26">
        <v>120</v>
      </c>
      <c r="Q80" s="49">
        <v>1560</v>
      </c>
      <c r="R80" s="26">
        <v>8</v>
      </c>
      <c r="S80" s="50">
        <v>596.63157894736844</v>
      </c>
      <c r="T80" s="51">
        <v>23126.931578947369</v>
      </c>
      <c r="U80" s="26">
        <v>0</v>
      </c>
      <c r="V80" s="52">
        <v>0</v>
      </c>
      <c r="X80" s="78">
        <f t="shared" si="1"/>
        <v>18501.545263157896</v>
      </c>
      <c r="Z80" s="27">
        <v>525.72</v>
      </c>
    </row>
    <row r="81" spans="1:26" hidden="1" x14ac:dyDescent="0.3">
      <c r="A81" s="26">
        <v>2110</v>
      </c>
      <c r="B81" s="27" t="s">
        <v>286</v>
      </c>
      <c r="C81" s="27" t="s">
        <v>49</v>
      </c>
      <c r="D81" s="27">
        <v>0</v>
      </c>
      <c r="E81" s="27">
        <v>0</v>
      </c>
      <c r="F81" s="39">
        <v>0</v>
      </c>
      <c r="G81" s="26">
        <v>0</v>
      </c>
      <c r="H81" s="26">
        <v>0</v>
      </c>
      <c r="I81" s="29">
        <v>0</v>
      </c>
      <c r="J81" s="26">
        <v>47</v>
      </c>
      <c r="K81" s="26">
        <v>705</v>
      </c>
      <c r="L81" s="26">
        <v>0</v>
      </c>
      <c r="M81" s="26">
        <v>0</v>
      </c>
      <c r="N81" s="31">
        <v>51873.9</v>
      </c>
      <c r="O81" s="26">
        <v>10</v>
      </c>
      <c r="P81" s="26">
        <v>150</v>
      </c>
      <c r="Q81" s="49">
        <v>1950</v>
      </c>
      <c r="R81" s="26">
        <v>1</v>
      </c>
      <c r="S81" s="50">
        <v>74.578947368421055</v>
      </c>
      <c r="T81" s="51">
        <v>53898.478947368421</v>
      </c>
      <c r="U81" s="26">
        <v>0</v>
      </c>
      <c r="V81" s="52">
        <v>0</v>
      </c>
      <c r="X81" s="78">
        <f t="shared" si="1"/>
        <v>43118.783157894737</v>
      </c>
      <c r="Z81" s="27">
        <v>762.84</v>
      </c>
    </row>
    <row r="82" spans="1:26" hidden="1" x14ac:dyDescent="0.3">
      <c r="A82" s="26">
        <v>2115</v>
      </c>
      <c r="B82" s="27" t="s">
        <v>287</v>
      </c>
      <c r="C82" s="27" t="s">
        <v>27</v>
      </c>
      <c r="D82" s="27">
        <v>0</v>
      </c>
      <c r="E82" s="27">
        <v>0</v>
      </c>
      <c r="F82" s="39">
        <v>0</v>
      </c>
      <c r="G82" s="26">
        <v>0</v>
      </c>
      <c r="H82" s="26">
        <v>0</v>
      </c>
      <c r="I82" s="29">
        <v>0</v>
      </c>
      <c r="J82" s="26">
        <v>24</v>
      </c>
      <c r="K82" s="26">
        <v>360</v>
      </c>
      <c r="L82" s="26">
        <v>13</v>
      </c>
      <c r="M82" s="26">
        <v>195</v>
      </c>
      <c r="N82" s="31">
        <v>40836.9</v>
      </c>
      <c r="O82" s="26">
        <v>5</v>
      </c>
      <c r="P82" s="26">
        <v>75</v>
      </c>
      <c r="Q82" s="49">
        <v>975</v>
      </c>
      <c r="R82" s="26">
        <v>0</v>
      </c>
      <c r="S82" s="50">
        <v>0</v>
      </c>
      <c r="T82" s="51">
        <v>41811.9</v>
      </c>
      <c r="U82" s="26">
        <v>0</v>
      </c>
      <c r="V82" s="52">
        <v>0</v>
      </c>
      <c r="X82" s="78">
        <f t="shared" si="1"/>
        <v>33449.520000000004</v>
      </c>
      <c r="Z82" s="27">
        <v>783.11999999999989</v>
      </c>
    </row>
    <row r="83" spans="1:26" hidden="1" x14ac:dyDescent="0.3">
      <c r="A83" s="26">
        <v>2117</v>
      </c>
      <c r="B83" s="27" t="s">
        <v>288</v>
      </c>
      <c r="C83" s="27" t="s">
        <v>49</v>
      </c>
      <c r="D83" s="27">
        <v>0</v>
      </c>
      <c r="E83" s="27">
        <v>0</v>
      </c>
      <c r="F83" s="39">
        <v>0</v>
      </c>
      <c r="G83" s="26">
        <v>0</v>
      </c>
      <c r="H83" s="26">
        <v>0</v>
      </c>
      <c r="I83" s="29">
        <v>0</v>
      </c>
      <c r="J83" s="26">
        <v>21</v>
      </c>
      <c r="K83" s="26">
        <v>315</v>
      </c>
      <c r="L83" s="26">
        <v>0</v>
      </c>
      <c r="M83" s="26">
        <v>0</v>
      </c>
      <c r="N83" s="31">
        <v>23177.7</v>
      </c>
      <c r="O83" s="26">
        <v>2</v>
      </c>
      <c r="P83" s="26">
        <v>30</v>
      </c>
      <c r="Q83" s="49">
        <v>390</v>
      </c>
      <c r="R83" s="26">
        <v>2</v>
      </c>
      <c r="S83" s="50">
        <v>149.15789473684211</v>
      </c>
      <c r="T83" s="51">
        <v>23716.857894736844</v>
      </c>
      <c r="U83" s="26">
        <v>0</v>
      </c>
      <c r="V83" s="52">
        <v>0</v>
      </c>
      <c r="X83" s="78">
        <f t="shared" si="1"/>
        <v>18973.486315789476</v>
      </c>
      <c r="Z83" s="27">
        <v>450.84</v>
      </c>
    </row>
    <row r="84" spans="1:26" hidden="1" x14ac:dyDescent="0.3">
      <c r="A84" s="26">
        <v>2119</v>
      </c>
      <c r="B84" s="27" t="s">
        <v>289</v>
      </c>
      <c r="C84" s="27" t="s">
        <v>49</v>
      </c>
      <c r="D84" s="27">
        <v>0</v>
      </c>
      <c r="E84" s="27">
        <v>0</v>
      </c>
      <c r="F84" s="39">
        <v>0</v>
      </c>
      <c r="G84" s="26">
        <v>0</v>
      </c>
      <c r="H84" s="26">
        <v>0</v>
      </c>
      <c r="I84" s="29">
        <v>0</v>
      </c>
      <c r="J84" s="26">
        <v>21</v>
      </c>
      <c r="K84" s="26">
        <v>315</v>
      </c>
      <c r="L84" s="26">
        <v>0</v>
      </c>
      <c r="M84" s="26">
        <v>0</v>
      </c>
      <c r="N84" s="31">
        <v>23177.7</v>
      </c>
      <c r="O84" s="26">
        <v>9</v>
      </c>
      <c r="P84" s="26">
        <v>135</v>
      </c>
      <c r="Q84" s="49">
        <v>1755</v>
      </c>
      <c r="R84" s="26">
        <v>0</v>
      </c>
      <c r="S84" s="50">
        <v>0</v>
      </c>
      <c r="T84" s="51">
        <v>24932.7</v>
      </c>
      <c r="U84" s="26">
        <v>0</v>
      </c>
      <c r="V84" s="52">
        <v>0</v>
      </c>
      <c r="X84" s="78">
        <f t="shared" si="1"/>
        <v>19946.160000000003</v>
      </c>
      <c r="Z84" s="27">
        <v>297.95999999999998</v>
      </c>
    </row>
    <row r="85" spans="1:26" hidden="1" x14ac:dyDescent="0.3">
      <c r="A85" s="26">
        <v>2121</v>
      </c>
      <c r="B85" s="27" t="s">
        <v>290</v>
      </c>
      <c r="C85" s="27" t="s">
        <v>49</v>
      </c>
      <c r="D85" s="27">
        <v>0</v>
      </c>
      <c r="E85" s="27">
        <v>0</v>
      </c>
      <c r="F85" s="39">
        <v>0</v>
      </c>
      <c r="G85" s="26">
        <v>0</v>
      </c>
      <c r="H85" s="26">
        <v>0</v>
      </c>
      <c r="I85" s="29">
        <v>0</v>
      </c>
      <c r="J85" s="26">
        <v>18</v>
      </c>
      <c r="K85" s="26">
        <v>270</v>
      </c>
      <c r="L85" s="26">
        <v>0</v>
      </c>
      <c r="M85" s="26">
        <v>0</v>
      </c>
      <c r="N85" s="31">
        <v>19866.600000000002</v>
      </c>
      <c r="O85" s="26">
        <v>9</v>
      </c>
      <c r="P85" s="26">
        <v>135</v>
      </c>
      <c r="Q85" s="49">
        <v>1755</v>
      </c>
      <c r="R85" s="26">
        <v>9</v>
      </c>
      <c r="S85" s="50">
        <v>671.21052631578948</v>
      </c>
      <c r="T85" s="51">
        <v>22292.810526315792</v>
      </c>
      <c r="U85" s="26">
        <v>0</v>
      </c>
      <c r="V85" s="52">
        <v>0</v>
      </c>
      <c r="X85" s="78">
        <f t="shared" si="1"/>
        <v>17834.248421052635</v>
      </c>
      <c r="Z85" s="27">
        <v>1240.1999999999998</v>
      </c>
    </row>
    <row r="86" spans="1:26" hidden="1" x14ac:dyDescent="0.3">
      <c r="A86" s="26">
        <v>2122</v>
      </c>
      <c r="B86" s="27" t="s">
        <v>291</v>
      </c>
      <c r="C86" s="27" t="s">
        <v>49</v>
      </c>
      <c r="D86" s="27">
        <v>0</v>
      </c>
      <c r="E86" s="27">
        <v>0</v>
      </c>
      <c r="F86" s="39">
        <v>0</v>
      </c>
      <c r="G86" s="26">
        <v>0</v>
      </c>
      <c r="H86" s="26">
        <v>0</v>
      </c>
      <c r="I86" s="29">
        <v>0</v>
      </c>
      <c r="J86" s="26">
        <v>38</v>
      </c>
      <c r="K86" s="26">
        <v>570</v>
      </c>
      <c r="L86" s="26">
        <v>2</v>
      </c>
      <c r="M86" s="26">
        <v>30</v>
      </c>
      <c r="N86" s="31">
        <v>44148</v>
      </c>
      <c r="O86" s="26">
        <v>6</v>
      </c>
      <c r="P86" s="26">
        <v>75</v>
      </c>
      <c r="Q86" s="49">
        <v>975</v>
      </c>
      <c r="R86" s="26">
        <v>5</v>
      </c>
      <c r="S86" s="50">
        <v>372.89473684210526</v>
      </c>
      <c r="T86" s="51">
        <v>45495.894736842107</v>
      </c>
      <c r="U86" s="26">
        <v>0</v>
      </c>
      <c r="V86" s="52">
        <v>0</v>
      </c>
      <c r="X86" s="78">
        <f t="shared" si="1"/>
        <v>36396.715789473688</v>
      </c>
      <c r="Z86" s="27">
        <v>624</v>
      </c>
    </row>
    <row r="87" spans="1:26" hidden="1" x14ac:dyDescent="0.3">
      <c r="A87" s="26">
        <v>2127</v>
      </c>
      <c r="B87" s="27" t="s">
        <v>292</v>
      </c>
      <c r="C87" s="27" t="s">
        <v>27</v>
      </c>
      <c r="D87" s="27">
        <v>0</v>
      </c>
      <c r="E87" s="27">
        <v>0</v>
      </c>
      <c r="F87" s="39">
        <v>0</v>
      </c>
      <c r="G87" s="26">
        <v>0</v>
      </c>
      <c r="H87" s="26">
        <v>0</v>
      </c>
      <c r="I87" s="29">
        <v>0</v>
      </c>
      <c r="J87" s="26">
        <v>38</v>
      </c>
      <c r="K87" s="26">
        <v>570</v>
      </c>
      <c r="L87" s="26">
        <v>6</v>
      </c>
      <c r="M87" s="26">
        <v>90</v>
      </c>
      <c r="N87" s="31">
        <v>48562.799999999996</v>
      </c>
      <c r="O87" s="26">
        <v>14</v>
      </c>
      <c r="P87" s="26">
        <v>210</v>
      </c>
      <c r="Q87" s="49">
        <v>2730</v>
      </c>
      <c r="R87" s="26">
        <v>14</v>
      </c>
      <c r="S87" s="50">
        <v>1044.1052631578948</v>
      </c>
      <c r="T87" s="51">
        <v>52336.905263157889</v>
      </c>
      <c r="U87" s="26">
        <v>1</v>
      </c>
      <c r="V87" s="52">
        <v>320.89473684210526</v>
      </c>
      <c r="X87" s="78">
        <f t="shared" si="1"/>
        <v>42126.239999999998</v>
      </c>
      <c r="Z87" s="27">
        <v>1597.44</v>
      </c>
    </row>
    <row r="88" spans="1:26" hidden="1" x14ac:dyDescent="0.3">
      <c r="A88" s="26">
        <v>2132</v>
      </c>
      <c r="B88" s="27" t="s">
        <v>293</v>
      </c>
      <c r="C88" s="27" t="s">
        <v>49</v>
      </c>
      <c r="D88" s="27">
        <v>0</v>
      </c>
      <c r="E88" s="27">
        <v>0</v>
      </c>
      <c r="F88" s="39">
        <v>0</v>
      </c>
      <c r="G88" s="26">
        <v>0</v>
      </c>
      <c r="H88" s="26">
        <v>0</v>
      </c>
      <c r="I88" s="29">
        <v>0</v>
      </c>
      <c r="J88" s="26">
        <v>42</v>
      </c>
      <c r="K88" s="26">
        <v>630</v>
      </c>
      <c r="L88" s="26">
        <v>0</v>
      </c>
      <c r="M88" s="26">
        <v>0</v>
      </c>
      <c r="N88" s="31">
        <v>46355.4</v>
      </c>
      <c r="O88" s="26">
        <v>7</v>
      </c>
      <c r="P88" s="26">
        <v>105</v>
      </c>
      <c r="Q88" s="49">
        <v>1365</v>
      </c>
      <c r="R88" s="26">
        <v>0</v>
      </c>
      <c r="S88" s="50">
        <v>0</v>
      </c>
      <c r="T88" s="51">
        <v>47720.4</v>
      </c>
      <c r="U88" s="26">
        <v>0</v>
      </c>
      <c r="V88" s="52">
        <v>0</v>
      </c>
      <c r="X88" s="78">
        <f t="shared" si="1"/>
        <v>38176.32</v>
      </c>
      <c r="Z88" s="27">
        <v>904.80000000000007</v>
      </c>
    </row>
    <row r="89" spans="1:26" hidden="1" x14ac:dyDescent="0.3">
      <c r="A89" s="26">
        <v>2136</v>
      </c>
      <c r="B89" s="27" t="s">
        <v>294</v>
      </c>
      <c r="C89" s="27" t="s">
        <v>49</v>
      </c>
      <c r="D89" s="27">
        <v>0</v>
      </c>
      <c r="E89" s="27">
        <v>0</v>
      </c>
      <c r="F89" s="39">
        <v>0</v>
      </c>
      <c r="G89" s="26">
        <v>0</v>
      </c>
      <c r="H89" s="26">
        <v>0</v>
      </c>
      <c r="I89" s="29">
        <v>0</v>
      </c>
      <c r="J89" s="26">
        <v>34</v>
      </c>
      <c r="K89" s="26">
        <v>510</v>
      </c>
      <c r="L89" s="26">
        <v>13</v>
      </c>
      <c r="M89" s="26">
        <v>195</v>
      </c>
      <c r="N89" s="31">
        <v>51873.9</v>
      </c>
      <c r="O89" s="26">
        <v>14</v>
      </c>
      <c r="P89" s="26">
        <v>210</v>
      </c>
      <c r="Q89" s="49">
        <v>2730</v>
      </c>
      <c r="R89" s="26">
        <v>14</v>
      </c>
      <c r="S89" s="50">
        <v>1044.1052631578948</v>
      </c>
      <c r="T89" s="51">
        <v>55648.005263157895</v>
      </c>
      <c r="U89" s="26">
        <v>0</v>
      </c>
      <c r="V89" s="52">
        <v>0</v>
      </c>
      <c r="X89" s="78">
        <f t="shared" si="1"/>
        <v>44518.404210526322</v>
      </c>
      <c r="Z89" s="27">
        <v>1124.76</v>
      </c>
    </row>
    <row r="90" spans="1:26" hidden="1" x14ac:dyDescent="0.3">
      <c r="A90" s="26">
        <v>2138</v>
      </c>
      <c r="B90" s="27" t="s">
        <v>295</v>
      </c>
      <c r="C90" s="27" t="s">
        <v>49</v>
      </c>
      <c r="D90" s="27">
        <v>0</v>
      </c>
      <c r="E90" s="27">
        <v>0</v>
      </c>
      <c r="F90" s="39">
        <v>0</v>
      </c>
      <c r="G90" s="26">
        <v>0</v>
      </c>
      <c r="H90" s="26">
        <v>0</v>
      </c>
      <c r="I90" s="29">
        <v>0</v>
      </c>
      <c r="J90" s="26">
        <v>23</v>
      </c>
      <c r="K90" s="26">
        <v>345</v>
      </c>
      <c r="L90" s="26">
        <v>7</v>
      </c>
      <c r="M90" s="26">
        <v>105</v>
      </c>
      <c r="N90" s="31">
        <v>33111</v>
      </c>
      <c r="O90" s="26">
        <v>4</v>
      </c>
      <c r="P90" s="26">
        <v>60</v>
      </c>
      <c r="Q90" s="49">
        <v>780</v>
      </c>
      <c r="R90" s="26">
        <v>2</v>
      </c>
      <c r="S90" s="50">
        <v>149.15789473684211</v>
      </c>
      <c r="T90" s="51">
        <v>34040.15789473684</v>
      </c>
      <c r="U90" s="26">
        <v>0</v>
      </c>
      <c r="V90" s="52">
        <v>0</v>
      </c>
      <c r="X90" s="78">
        <f t="shared" si="1"/>
        <v>27232.126315789472</v>
      </c>
      <c r="Z90" s="27">
        <v>24.96</v>
      </c>
    </row>
    <row r="91" spans="1:26" hidden="1" x14ac:dyDescent="0.3">
      <c r="A91" s="26">
        <v>2141</v>
      </c>
      <c r="B91" s="27" t="s">
        <v>296</v>
      </c>
      <c r="C91" s="27" t="s">
        <v>49</v>
      </c>
      <c r="D91" s="27">
        <v>0</v>
      </c>
      <c r="E91" s="27">
        <v>0</v>
      </c>
      <c r="F91" s="39">
        <v>0</v>
      </c>
      <c r="G91" s="26">
        <v>0</v>
      </c>
      <c r="H91" s="26">
        <v>0</v>
      </c>
      <c r="I91" s="29">
        <v>0</v>
      </c>
      <c r="J91" s="26">
        <v>16</v>
      </c>
      <c r="K91" s="26">
        <v>240</v>
      </c>
      <c r="L91" s="26">
        <v>0</v>
      </c>
      <c r="M91" s="26">
        <v>0</v>
      </c>
      <c r="N91" s="31">
        <v>17659.2</v>
      </c>
      <c r="O91" s="26">
        <v>0</v>
      </c>
      <c r="P91" s="26">
        <v>0</v>
      </c>
      <c r="Q91" s="49">
        <v>0</v>
      </c>
      <c r="R91" s="26">
        <v>0</v>
      </c>
      <c r="S91" s="50">
        <v>0</v>
      </c>
      <c r="T91" s="51">
        <v>17659.2</v>
      </c>
      <c r="U91" s="26">
        <v>0</v>
      </c>
      <c r="V91" s="52">
        <v>0</v>
      </c>
      <c r="X91" s="78">
        <f t="shared" si="1"/>
        <v>14127.36</v>
      </c>
      <c r="Z91" s="27">
        <v>1522.5600000000002</v>
      </c>
    </row>
    <row r="92" spans="1:26" hidden="1" x14ac:dyDescent="0.3">
      <c r="A92" s="26">
        <v>2142</v>
      </c>
      <c r="B92" s="27" t="s">
        <v>297</v>
      </c>
      <c r="C92" s="27" t="s">
        <v>27</v>
      </c>
      <c r="D92" s="27">
        <v>0</v>
      </c>
      <c r="E92" s="27">
        <v>0</v>
      </c>
      <c r="F92" s="39">
        <v>0</v>
      </c>
      <c r="G92" s="26">
        <v>0</v>
      </c>
      <c r="H92" s="26">
        <v>0</v>
      </c>
      <c r="I92" s="29">
        <v>0</v>
      </c>
      <c r="J92" s="26">
        <v>26</v>
      </c>
      <c r="K92" s="26">
        <v>390</v>
      </c>
      <c r="L92" s="26">
        <v>0</v>
      </c>
      <c r="M92" s="26">
        <v>0</v>
      </c>
      <c r="N92" s="31">
        <v>28696.2</v>
      </c>
      <c r="O92" s="26">
        <v>16</v>
      </c>
      <c r="P92" s="26">
        <v>240</v>
      </c>
      <c r="Q92" s="49">
        <v>3120</v>
      </c>
      <c r="R92" s="26">
        <v>15</v>
      </c>
      <c r="S92" s="50">
        <v>1118.6842105263158</v>
      </c>
      <c r="T92" s="51">
        <v>32934.884210526317</v>
      </c>
      <c r="U92" s="26">
        <v>0</v>
      </c>
      <c r="V92" s="52">
        <v>0</v>
      </c>
      <c r="X92" s="78">
        <f t="shared" si="1"/>
        <v>26347.907368421056</v>
      </c>
      <c r="Z92" s="27">
        <v>1464.8400000000001</v>
      </c>
    </row>
    <row r="93" spans="1:26" hidden="1" x14ac:dyDescent="0.3">
      <c r="A93" s="26">
        <v>2144</v>
      </c>
      <c r="B93" s="27" t="s">
        <v>298</v>
      </c>
      <c r="C93" s="27" t="s">
        <v>49</v>
      </c>
      <c r="D93" s="27">
        <v>0</v>
      </c>
      <c r="E93" s="27">
        <v>0</v>
      </c>
      <c r="F93" s="39">
        <v>0</v>
      </c>
      <c r="G93" s="26">
        <v>0</v>
      </c>
      <c r="H93" s="26">
        <v>0</v>
      </c>
      <c r="I93" s="29">
        <v>0</v>
      </c>
      <c r="J93" s="26">
        <v>45</v>
      </c>
      <c r="K93" s="26">
        <v>675</v>
      </c>
      <c r="L93" s="26">
        <v>2</v>
      </c>
      <c r="M93" s="26">
        <v>30</v>
      </c>
      <c r="N93" s="31">
        <v>51873.9</v>
      </c>
      <c r="O93" s="26">
        <v>12</v>
      </c>
      <c r="P93" s="26">
        <v>180</v>
      </c>
      <c r="Q93" s="49">
        <v>2340</v>
      </c>
      <c r="R93" s="26">
        <v>12</v>
      </c>
      <c r="S93" s="50">
        <v>894.94736842105272</v>
      </c>
      <c r="T93" s="51">
        <v>55108.847368421055</v>
      </c>
      <c r="U93" s="26">
        <v>0</v>
      </c>
      <c r="V93" s="52">
        <v>0</v>
      </c>
      <c r="X93" s="78">
        <f t="shared" si="1"/>
        <v>44087.077894736845</v>
      </c>
      <c r="Z93" s="27">
        <v>1110.72</v>
      </c>
    </row>
    <row r="94" spans="1:26" hidden="1" x14ac:dyDescent="0.3">
      <c r="A94" s="26">
        <v>2146</v>
      </c>
      <c r="B94" s="27" t="s">
        <v>299</v>
      </c>
      <c r="C94" s="27" t="s">
        <v>49</v>
      </c>
      <c r="D94" s="27">
        <v>0</v>
      </c>
      <c r="E94" s="27">
        <v>0</v>
      </c>
      <c r="F94" s="39">
        <v>0</v>
      </c>
      <c r="G94" s="26">
        <v>0</v>
      </c>
      <c r="H94" s="26">
        <v>0</v>
      </c>
      <c r="I94" s="29">
        <v>0</v>
      </c>
      <c r="J94" s="26">
        <v>46</v>
      </c>
      <c r="K94" s="26">
        <v>690</v>
      </c>
      <c r="L94" s="26">
        <v>0</v>
      </c>
      <c r="M94" s="26">
        <v>0</v>
      </c>
      <c r="N94" s="31">
        <v>50770.200000000004</v>
      </c>
      <c r="O94" s="26">
        <v>22</v>
      </c>
      <c r="P94" s="26">
        <v>330</v>
      </c>
      <c r="Q94" s="49">
        <v>4290</v>
      </c>
      <c r="R94" s="26">
        <v>22</v>
      </c>
      <c r="S94" s="50">
        <v>1640.7368421052631</v>
      </c>
      <c r="T94" s="51">
        <v>56700.936842105264</v>
      </c>
      <c r="U94" s="26">
        <v>0</v>
      </c>
      <c r="V94" s="52">
        <v>0</v>
      </c>
      <c r="X94" s="78">
        <f t="shared" si="1"/>
        <v>45360.749473684213</v>
      </c>
      <c r="Z94" s="27">
        <v>800.28000000000009</v>
      </c>
    </row>
    <row r="95" spans="1:26" hidden="1" x14ac:dyDescent="0.3">
      <c r="A95" s="26">
        <v>2149</v>
      </c>
      <c r="B95" s="27" t="s">
        <v>300</v>
      </c>
      <c r="C95" s="27" t="s">
        <v>49</v>
      </c>
      <c r="D95" s="27">
        <v>0</v>
      </c>
      <c r="E95" s="27">
        <v>0</v>
      </c>
      <c r="F95" s="39">
        <v>0</v>
      </c>
      <c r="G95" s="26">
        <v>0</v>
      </c>
      <c r="H95" s="26">
        <v>0</v>
      </c>
      <c r="I95" s="29">
        <v>0</v>
      </c>
      <c r="J95" s="26">
        <v>23</v>
      </c>
      <c r="K95" s="26">
        <v>345</v>
      </c>
      <c r="L95" s="26">
        <v>0</v>
      </c>
      <c r="M95" s="26">
        <v>0</v>
      </c>
      <c r="N95" s="31">
        <v>25385.100000000002</v>
      </c>
      <c r="O95" s="26">
        <v>7</v>
      </c>
      <c r="P95" s="26">
        <v>105</v>
      </c>
      <c r="Q95" s="49">
        <v>1365</v>
      </c>
      <c r="R95" s="26">
        <v>7</v>
      </c>
      <c r="S95" s="50">
        <v>522.0526315789474</v>
      </c>
      <c r="T95" s="51">
        <v>27272.152631578949</v>
      </c>
      <c r="U95" s="26">
        <v>0</v>
      </c>
      <c r="V95" s="52">
        <v>0</v>
      </c>
      <c r="X95" s="78">
        <f t="shared" si="1"/>
        <v>21817.722105263161</v>
      </c>
      <c r="Z95" s="27">
        <v>165.36</v>
      </c>
    </row>
    <row r="96" spans="1:26" hidden="1" x14ac:dyDescent="0.3">
      <c r="A96" s="26">
        <v>2150</v>
      </c>
      <c r="B96" s="27" t="s">
        <v>203</v>
      </c>
      <c r="C96" s="27" t="s">
        <v>27</v>
      </c>
      <c r="D96" s="27">
        <v>0</v>
      </c>
      <c r="E96" s="27">
        <v>0</v>
      </c>
      <c r="F96" s="39">
        <v>0</v>
      </c>
      <c r="G96" s="26">
        <v>0</v>
      </c>
      <c r="H96" s="26">
        <v>0</v>
      </c>
      <c r="I96" s="29">
        <v>0</v>
      </c>
      <c r="J96" s="26">
        <v>12</v>
      </c>
      <c r="K96" s="26">
        <v>180</v>
      </c>
      <c r="L96" s="26">
        <v>0</v>
      </c>
      <c r="M96" s="26">
        <v>0</v>
      </c>
      <c r="N96" s="31">
        <v>13244.4</v>
      </c>
      <c r="O96" s="26">
        <v>2</v>
      </c>
      <c r="P96" s="26">
        <v>30</v>
      </c>
      <c r="Q96" s="49">
        <v>390</v>
      </c>
      <c r="R96" s="26">
        <v>2</v>
      </c>
      <c r="S96" s="50">
        <v>149.15789473684211</v>
      </c>
      <c r="T96" s="51">
        <v>13783.557894736841</v>
      </c>
      <c r="U96" s="26">
        <v>0</v>
      </c>
      <c r="V96" s="52">
        <v>0</v>
      </c>
      <c r="X96" s="78">
        <f t="shared" si="1"/>
        <v>11026.846315789473</v>
      </c>
      <c r="Z96" s="27">
        <v>379.08</v>
      </c>
    </row>
    <row r="97" spans="1:26" hidden="1" x14ac:dyDescent="0.3">
      <c r="A97" s="26">
        <v>2156</v>
      </c>
      <c r="B97" s="27" t="s">
        <v>301</v>
      </c>
      <c r="C97" s="27" t="s">
        <v>49</v>
      </c>
      <c r="D97" s="27">
        <v>0</v>
      </c>
      <c r="E97" s="27">
        <v>0</v>
      </c>
      <c r="F97" s="39">
        <v>0</v>
      </c>
      <c r="G97" s="26">
        <v>0</v>
      </c>
      <c r="H97" s="26">
        <v>0</v>
      </c>
      <c r="I97" s="29">
        <v>0</v>
      </c>
      <c r="J97" s="26">
        <v>25</v>
      </c>
      <c r="K97" s="26">
        <v>375</v>
      </c>
      <c r="L97" s="26">
        <v>0</v>
      </c>
      <c r="M97" s="26">
        <v>0</v>
      </c>
      <c r="N97" s="31">
        <v>27592.5</v>
      </c>
      <c r="O97" s="26">
        <v>14</v>
      </c>
      <c r="P97" s="26">
        <v>210</v>
      </c>
      <c r="Q97" s="49">
        <v>2730</v>
      </c>
      <c r="R97" s="26">
        <v>14</v>
      </c>
      <c r="S97" s="50">
        <v>1044.1052631578948</v>
      </c>
      <c r="T97" s="51">
        <v>31366.605263157893</v>
      </c>
      <c r="U97" s="26">
        <v>0</v>
      </c>
      <c r="V97" s="52">
        <v>0</v>
      </c>
      <c r="X97" s="78">
        <f t="shared" si="1"/>
        <v>25093.284210526315</v>
      </c>
      <c r="Z97" s="27">
        <v>1068.6000000000001</v>
      </c>
    </row>
    <row r="98" spans="1:26" hidden="1" x14ac:dyDescent="0.3">
      <c r="A98" s="26">
        <v>2157</v>
      </c>
      <c r="B98" s="27" t="s">
        <v>205</v>
      </c>
      <c r="C98" s="27" t="s">
        <v>27</v>
      </c>
      <c r="D98" s="27">
        <v>0</v>
      </c>
      <c r="E98" s="27">
        <v>0</v>
      </c>
      <c r="F98" s="39">
        <v>0</v>
      </c>
      <c r="G98" s="26">
        <v>0</v>
      </c>
      <c r="H98" s="26">
        <v>0</v>
      </c>
      <c r="I98" s="29">
        <v>0</v>
      </c>
      <c r="J98" s="26">
        <v>18</v>
      </c>
      <c r="K98" s="26">
        <v>270</v>
      </c>
      <c r="L98" s="26">
        <v>8</v>
      </c>
      <c r="M98" s="26">
        <v>120</v>
      </c>
      <c r="N98" s="31">
        <v>28696.200000000004</v>
      </c>
      <c r="O98" s="26">
        <v>0</v>
      </c>
      <c r="P98" s="26">
        <v>0</v>
      </c>
      <c r="Q98" s="49">
        <v>0</v>
      </c>
      <c r="R98" s="26">
        <v>0</v>
      </c>
      <c r="S98" s="50">
        <v>0</v>
      </c>
      <c r="T98" s="51">
        <v>28696.200000000004</v>
      </c>
      <c r="U98" s="26">
        <v>0</v>
      </c>
      <c r="V98" s="52">
        <v>0</v>
      </c>
      <c r="X98" s="78">
        <f t="shared" si="1"/>
        <v>22956.960000000006</v>
      </c>
      <c r="Z98" s="27">
        <v>0</v>
      </c>
    </row>
    <row r="99" spans="1:26" hidden="1" x14ac:dyDescent="0.3">
      <c r="A99" s="26">
        <v>2161</v>
      </c>
      <c r="B99" s="27" t="s">
        <v>302</v>
      </c>
      <c r="C99" s="27" t="s">
        <v>27</v>
      </c>
      <c r="D99" s="27">
        <v>0</v>
      </c>
      <c r="E99" s="27">
        <v>0</v>
      </c>
      <c r="F99" s="39">
        <v>0</v>
      </c>
      <c r="G99" s="26">
        <v>0</v>
      </c>
      <c r="H99" s="26">
        <v>0</v>
      </c>
      <c r="I99" s="29">
        <v>0</v>
      </c>
      <c r="J99" s="26">
        <v>37</v>
      </c>
      <c r="K99" s="26">
        <v>555</v>
      </c>
      <c r="L99" s="26">
        <v>12</v>
      </c>
      <c r="M99" s="26">
        <v>180</v>
      </c>
      <c r="N99" s="31">
        <v>54081.3</v>
      </c>
      <c r="O99" s="26">
        <v>12</v>
      </c>
      <c r="P99" s="26">
        <v>180</v>
      </c>
      <c r="Q99" s="49">
        <v>2340</v>
      </c>
      <c r="R99" s="26">
        <v>0</v>
      </c>
      <c r="S99" s="50">
        <v>0</v>
      </c>
      <c r="T99" s="51">
        <v>56421.3</v>
      </c>
      <c r="U99" s="26">
        <v>0</v>
      </c>
      <c r="V99" s="52">
        <v>0</v>
      </c>
      <c r="X99" s="78">
        <f t="shared" si="1"/>
        <v>45137.040000000008</v>
      </c>
      <c r="Z99" s="27">
        <v>836.16000000000008</v>
      </c>
    </row>
    <row r="100" spans="1:26" hidden="1" x14ac:dyDescent="0.3">
      <c r="A100" s="26">
        <v>2162</v>
      </c>
      <c r="B100" s="27" t="s">
        <v>303</v>
      </c>
      <c r="C100" s="27" t="s">
        <v>49</v>
      </c>
      <c r="D100" s="27">
        <v>0</v>
      </c>
      <c r="E100" s="27">
        <v>0</v>
      </c>
      <c r="F100" s="39">
        <v>0</v>
      </c>
      <c r="G100" s="26">
        <v>0</v>
      </c>
      <c r="H100" s="26">
        <v>0</v>
      </c>
      <c r="I100" s="29">
        <v>0</v>
      </c>
      <c r="J100" s="26">
        <v>14</v>
      </c>
      <c r="K100" s="26">
        <v>210</v>
      </c>
      <c r="L100" s="26">
        <v>0</v>
      </c>
      <c r="M100" s="26">
        <v>0</v>
      </c>
      <c r="N100" s="31">
        <v>15451.800000000001</v>
      </c>
      <c r="O100" s="26">
        <v>0</v>
      </c>
      <c r="P100" s="26">
        <v>0</v>
      </c>
      <c r="Q100" s="49">
        <v>0</v>
      </c>
      <c r="R100" s="26">
        <v>0</v>
      </c>
      <c r="S100" s="50">
        <v>0</v>
      </c>
      <c r="T100" s="51">
        <v>15451.800000000001</v>
      </c>
      <c r="U100" s="26">
        <v>0</v>
      </c>
      <c r="V100" s="52">
        <v>0</v>
      </c>
      <c r="X100" s="78">
        <f t="shared" si="1"/>
        <v>12361.440000000002</v>
      </c>
      <c r="Z100" s="27">
        <v>522.6</v>
      </c>
    </row>
    <row r="101" spans="1:26" hidden="1" x14ac:dyDescent="0.3">
      <c r="A101" s="26">
        <v>2169</v>
      </c>
      <c r="B101" s="27" t="s">
        <v>304</v>
      </c>
      <c r="C101" s="27" t="s">
        <v>27</v>
      </c>
      <c r="D101" s="27">
        <v>0</v>
      </c>
      <c r="E101" s="27">
        <v>0</v>
      </c>
      <c r="F101" s="39">
        <v>0</v>
      </c>
      <c r="G101" s="26">
        <v>0</v>
      </c>
      <c r="H101" s="26">
        <v>0</v>
      </c>
      <c r="I101" s="29">
        <v>0</v>
      </c>
      <c r="J101" s="26">
        <v>27</v>
      </c>
      <c r="K101" s="26">
        <v>405</v>
      </c>
      <c r="L101" s="26">
        <v>5</v>
      </c>
      <c r="M101" s="26">
        <v>75</v>
      </c>
      <c r="N101" s="31">
        <v>35318.400000000001</v>
      </c>
      <c r="O101" s="26">
        <v>13</v>
      </c>
      <c r="P101" s="26">
        <v>195</v>
      </c>
      <c r="Q101" s="49">
        <v>2535</v>
      </c>
      <c r="R101" s="26">
        <v>13</v>
      </c>
      <c r="S101" s="50">
        <v>969.52631578947376</v>
      </c>
      <c r="T101" s="51">
        <v>38822.926315789475</v>
      </c>
      <c r="U101" s="26">
        <v>0</v>
      </c>
      <c r="V101" s="52">
        <v>0</v>
      </c>
      <c r="X101" s="78">
        <f t="shared" si="1"/>
        <v>31058.341052631582</v>
      </c>
      <c r="Z101" s="27">
        <v>1631.76</v>
      </c>
    </row>
    <row r="102" spans="1:26" hidden="1" x14ac:dyDescent="0.3">
      <c r="A102" s="26">
        <v>2170</v>
      </c>
      <c r="B102" s="27" t="s">
        <v>305</v>
      </c>
      <c r="C102" s="27" t="s">
        <v>49</v>
      </c>
      <c r="D102" s="27">
        <v>0</v>
      </c>
      <c r="E102" s="27">
        <v>0</v>
      </c>
      <c r="F102" s="39">
        <v>0</v>
      </c>
      <c r="G102" s="26">
        <v>16</v>
      </c>
      <c r="H102" s="26">
        <v>240</v>
      </c>
      <c r="I102" s="29">
        <v>26551.200000000001</v>
      </c>
      <c r="J102" s="26">
        <v>29</v>
      </c>
      <c r="K102" s="26">
        <v>435</v>
      </c>
      <c r="L102" s="26">
        <v>1</v>
      </c>
      <c r="M102" s="26">
        <v>15</v>
      </c>
      <c r="N102" s="31">
        <v>33111</v>
      </c>
      <c r="O102" s="26">
        <v>16</v>
      </c>
      <c r="P102" s="26">
        <v>240</v>
      </c>
      <c r="Q102" s="49">
        <v>3120</v>
      </c>
      <c r="R102" s="26">
        <v>10</v>
      </c>
      <c r="S102" s="50">
        <v>745.78947368421052</v>
      </c>
      <c r="T102" s="51">
        <v>63527.989473684211</v>
      </c>
      <c r="U102" s="26">
        <v>0</v>
      </c>
      <c r="V102" s="52">
        <v>0</v>
      </c>
      <c r="X102" s="78">
        <f t="shared" si="1"/>
        <v>50822.391578947369</v>
      </c>
      <c r="Z102" s="27">
        <v>2422.6799999999998</v>
      </c>
    </row>
    <row r="103" spans="1:26" hidden="1" x14ac:dyDescent="0.3">
      <c r="A103" s="26">
        <v>2171</v>
      </c>
      <c r="B103" s="27" t="s">
        <v>306</v>
      </c>
      <c r="C103" s="27" t="s">
        <v>49</v>
      </c>
      <c r="D103" s="27">
        <v>0</v>
      </c>
      <c r="E103" s="27">
        <v>0</v>
      </c>
      <c r="F103" s="39">
        <v>0</v>
      </c>
      <c r="G103" s="26">
        <v>0</v>
      </c>
      <c r="H103" s="26">
        <v>0</v>
      </c>
      <c r="I103" s="29">
        <v>0</v>
      </c>
      <c r="J103" s="26">
        <v>21</v>
      </c>
      <c r="K103" s="26">
        <v>315</v>
      </c>
      <c r="L103" s="26">
        <v>0</v>
      </c>
      <c r="M103" s="26">
        <v>0</v>
      </c>
      <c r="N103" s="31">
        <v>23177.7</v>
      </c>
      <c r="O103" s="26">
        <v>4</v>
      </c>
      <c r="P103" s="26">
        <v>60</v>
      </c>
      <c r="Q103" s="49">
        <v>780</v>
      </c>
      <c r="R103" s="26">
        <v>4</v>
      </c>
      <c r="S103" s="50">
        <v>298.31578947368422</v>
      </c>
      <c r="T103" s="51">
        <v>24256.015789473684</v>
      </c>
      <c r="U103" s="26">
        <v>0</v>
      </c>
      <c r="V103" s="52">
        <v>0</v>
      </c>
      <c r="X103" s="78">
        <f t="shared" si="1"/>
        <v>19404.812631578949</v>
      </c>
      <c r="Z103" s="27">
        <v>427.44000000000005</v>
      </c>
    </row>
    <row r="104" spans="1:26" hidden="1" x14ac:dyDescent="0.3">
      <c r="A104" s="26">
        <v>2176</v>
      </c>
      <c r="B104" s="27" t="s">
        <v>307</v>
      </c>
      <c r="C104" s="27" t="s">
        <v>27</v>
      </c>
      <c r="D104" s="27">
        <v>0</v>
      </c>
      <c r="E104" s="27">
        <v>0</v>
      </c>
      <c r="F104" s="39">
        <v>0</v>
      </c>
      <c r="G104" s="26">
        <v>0</v>
      </c>
      <c r="H104" s="26">
        <v>0</v>
      </c>
      <c r="I104" s="29">
        <v>0</v>
      </c>
      <c r="J104" s="26">
        <v>51</v>
      </c>
      <c r="K104" s="26">
        <v>765</v>
      </c>
      <c r="L104" s="26">
        <v>7</v>
      </c>
      <c r="M104" s="26">
        <v>105</v>
      </c>
      <c r="N104" s="31">
        <v>64014.600000000006</v>
      </c>
      <c r="O104" s="26">
        <v>10</v>
      </c>
      <c r="P104" s="26">
        <v>150</v>
      </c>
      <c r="Q104" s="49">
        <v>1950</v>
      </c>
      <c r="R104" s="26">
        <v>1</v>
      </c>
      <c r="S104" s="50">
        <v>74.578947368421055</v>
      </c>
      <c r="T104" s="51">
        <v>66039.178947368433</v>
      </c>
      <c r="U104" s="26">
        <v>0</v>
      </c>
      <c r="V104" s="52">
        <v>0</v>
      </c>
      <c r="X104" s="78">
        <f t="shared" si="1"/>
        <v>52831.343157894749</v>
      </c>
      <c r="Z104" s="27">
        <v>845.5200000000001</v>
      </c>
    </row>
    <row r="105" spans="1:26" hidden="1" x14ac:dyDescent="0.3">
      <c r="A105" s="26">
        <v>2178</v>
      </c>
      <c r="B105" s="27" t="s">
        <v>155</v>
      </c>
      <c r="C105" s="27" t="s">
        <v>27</v>
      </c>
      <c r="D105" s="27">
        <v>0</v>
      </c>
      <c r="E105" s="27">
        <v>0</v>
      </c>
      <c r="F105" s="39">
        <v>0</v>
      </c>
      <c r="G105" s="26">
        <v>0</v>
      </c>
      <c r="H105" s="26">
        <v>0</v>
      </c>
      <c r="I105" s="29">
        <v>0</v>
      </c>
      <c r="J105" s="26">
        <v>11</v>
      </c>
      <c r="K105" s="26">
        <v>165</v>
      </c>
      <c r="L105" s="26">
        <v>4</v>
      </c>
      <c r="M105" s="26">
        <v>60</v>
      </c>
      <c r="N105" s="31">
        <v>16555.5</v>
      </c>
      <c r="O105" s="26">
        <v>3</v>
      </c>
      <c r="P105" s="26">
        <v>45</v>
      </c>
      <c r="Q105" s="49">
        <v>585</v>
      </c>
      <c r="R105" s="26">
        <v>3</v>
      </c>
      <c r="S105" s="50">
        <v>223.73684210526318</v>
      </c>
      <c r="T105" s="51">
        <v>17364.236842105263</v>
      </c>
      <c r="U105" s="26">
        <v>0</v>
      </c>
      <c r="V105" s="52">
        <v>0</v>
      </c>
      <c r="X105" s="78">
        <f t="shared" si="1"/>
        <v>13891.389473684212</v>
      </c>
      <c r="Z105" s="27">
        <v>157.56</v>
      </c>
    </row>
    <row r="106" spans="1:26" hidden="1" x14ac:dyDescent="0.3">
      <c r="A106" s="26">
        <v>2180</v>
      </c>
      <c r="B106" s="27" t="s">
        <v>308</v>
      </c>
      <c r="C106" s="27" t="s">
        <v>49</v>
      </c>
      <c r="D106" s="27">
        <v>0</v>
      </c>
      <c r="E106" s="27">
        <v>0</v>
      </c>
      <c r="F106" s="39">
        <v>0</v>
      </c>
      <c r="G106" s="26">
        <v>0</v>
      </c>
      <c r="H106" s="26">
        <v>0</v>
      </c>
      <c r="I106" s="29">
        <v>0</v>
      </c>
      <c r="J106" s="26">
        <v>38</v>
      </c>
      <c r="K106" s="26">
        <v>570</v>
      </c>
      <c r="L106" s="26">
        <v>2</v>
      </c>
      <c r="M106" s="26">
        <v>30</v>
      </c>
      <c r="N106" s="31">
        <v>44148</v>
      </c>
      <c r="O106" s="26">
        <v>13</v>
      </c>
      <c r="P106" s="26">
        <v>195</v>
      </c>
      <c r="Q106" s="49">
        <v>2535</v>
      </c>
      <c r="R106" s="26">
        <v>13</v>
      </c>
      <c r="S106" s="50">
        <v>969.52631578947376</v>
      </c>
      <c r="T106" s="51">
        <v>47652.526315789473</v>
      </c>
      <c r="U106" s="26">
        <v>0</v>
      </c>
      <c r="V106" s="52">
        <v>0</v>
      </c>
      <c r="X106" s="78">
        <f t="shared" si="1"/>
        <v>38122.021052631579</v>
      </c>
      <c r="Z106" s="27">
        <v>1547.5200000000002</v>
      </c>
    </row>
    <row r="107" spans="1:26" hidden="1" x14ac:dyDescent="0.3">
      <c r="A107" s="26">
        <v>2181</v>
      </c>
      <c r="B107" s="27" t="s">
        <v>309</v>
      </c>
      <c r="C107" s="27" t="s">
        <v>49</v>
      </c>
      <c r="D107" s="27">
        <v>0</v>
      </c>
      <c r="E107" s="27">
        <v>0</v>
      </c>
      <c r="F107" s="39">
        <v>0</v>
      </c>
      <c r="G107" s="26">
        <v>0</v>
      </c>
      <c r="H107" s="26">
        <v>0</v>
      </c>
      <c r="I107" s="29">
        <v>0</v>
      </c>
      <c r="J107" s="26">
        <v>21</v>
      </c>
      <c r="K107" s="26">
        <v>315</v>
      </c>
      <c r="L107" s="26">
        <v>0</v>
      </c>
      <c r="M107" s="26">
        <v>0</v>
      </c>
      <c r="N107" s="31">
        <v>23177.7</v>
      </c>
      <c r="O107" s="26">
        <v>0</v>
      </c>
      <c r="P107" s="26">
        <v>0</v>
      </c>
      <c r="Q107" s="49">
        <v>0</v>
      </c>
      <c r="R107" s="26">
        <v>0</v>
      </c>
      <c r="S107" s="50">
        <v>0</v>
      </c>
      <c r="T107" s="51">
        <v>23177.7</v>
      </c>
      <c r="U107" s="26">
        <v>0</v>
      </c>
      <c r="V107" s="52">
        <v>0</v>
      </c>
      <c r="X107" s="78">
        <f t="shared" si="1"/>
        <v>18542.16</v>
      </c>
      <c r="Z107" s="27">
        <v>162.24</v>
      </c>
    </row>
    <row r="108" spans="1:26" hidden="1" x14ac:dyDescent="0.3">
      <c r="A108" s="26">
        <v>2185</v>
      </c>
      <c r="B108" s="27" t="s">
        <v>65</v>
      </c>
      <c r="C108" s="27" t="s">
        <v>27</v>
      </c>
      <c r="D108" s="27">
        <v>0</v>
      </c>
      <c r="E108" s="27">
        <v>0</v>
      </c>
      <c r="F108" s="39">
        <v>0</v>
      </c>
      <c r="G108" s="26">
        <v>0</v>
      </c>
      <c r="H108" s="26">
        <v>0</v>
      </c>
      <c r="I108" s="29">
        <v>0</v>
      </c>
      <c r="J108" s="26">
        <v>31</v>
      </c>
      <c r="K108" s="26">
        <v>465</v>
      </c>
      <c r="L108" s="26">
        <v>10</v>
      </c>
      <c r="M108" s="26">
        <v>150</v>
      </c>
      <c r="N108" s="31">
        <v>45251.700000000004</v>
      </c>
      <c r="O108" s="26">
        <v>7</v>
      </c>
      <c r="P108" s="26">
        <v>105</v>
      </c>
      <c r="Q108" s="49">
        <v>1365</v>
      </c>
      <c r="R108" s="26">
        <v>0</v>
      </c>
      <c r="S108" s="50">
        <v>0</v>
      </c>
      <c r="T108" s="51">
        <v>46616.700000000004</v>
      </c>
      <c r="U108" s="26">
        <v>0</v>
      </c>
      <c r="V108" s="52">
        <v>0</v>
      </c>
      <c r="X108" s="78">
        <f t="shared" si="1"/>
        <v>37293.360000000008</v>
      </c>
      <c r="Z108" s="27">
        <v>57.72</v>
      </c>
    </row>
    <row r="109" spans="1:26" hidden="1" x14ac:dyDescent="0.3">
      <c r="A109" s="26">
        <v>2186</v>
      </c>
      <c r="B109" s="27" t="s">
        <v>310</v>
      </c>
      <c r="C109" s="27" t="s">
        <v>49</v>
      </c>
      <c r="D109" s="27">
        <v>0</v>
      </c>
      <c r="E109" s="27">
        <v>0</v>
      </c>
      <c r="F109" s="39">
        <v>0</v>
      </c>
      <c r="G109" s="26">
        <v>0</v>
      </c>
      <c r="H109" s="26">
        <v>0</v>
      </c>
      <c r="I109" s="29">
        <v>0</v>
      </c>
      <c r="J109" s="26">
        <v>37</v>
      </c>
      <c r="K109" s="26">
        <v>555</v>
      </c>
      <c r="L109" s="26">
        <v>5</v>
      </c>
      <c r="M109" s="26">
        <v>75</v>
      </c>
      <c r="N109" s="31">
        <v>46355.4</v>
      </c>
      <c r="O109" s="26">
        <v>13</v>
      </c>
      <c r="P109" s="26">
        <v>195</v>
      </c>
      <c r="Q109" s="49">
        <v>2535</v>
      </c>
      <c r="R109" s="26">
        <v>8</v>
      </c>
      <c r="S109" s="50">
        <v>596.63157894736844</v>
      </c>
      <c r="T109" s="51">
        <v>49487.031578947368</v>
      </c>
      <c r="U109" s="26">
        <v>0</v>
      </c>
      <c r="V109" s="52">
        <v>0</v>
      </c>
      <c r="X109" s="78">
        <f t="shared" si="1"/>
        <v>39589.625263157897</v>
      </c>
      <c r="Z109" s="27">
        <v>599.04</v>
      </c>
    </row>
    <row r="110" spans="1:26" hidden="1" x14ac:dyDescent="0.3">
      <c r="A110" s="26">
        <v>2187</v>
      </c>
      <c r="B110" s="27" t="s">
        <v>311</v>
      </c>
      <c r="C110" s="27" t="s">
        <v>49</v>
      </c>
      <c r="D110" s="27">
        <v>0</v>
      </c>
      <c r="E110" s="27">
        <v>0</v>
      </c>
      <c r="F110" s="39">
        <v>0</v>
      </c>
      <c r="G110" s="26">
        <v>0</v>
      </c>
      <c r="H110" s="26">
        <v>0</v>
      </c>
      <c r="I110" s="29">
        <v>0</v>
      </c>
      <c r="J110" s="26">
        <v>24</v>
      </c>
      <c r="K110" s="26">
        <v>360</v>
      </c>
      <c r="L110" s="26">
        <v>4</v>
      </c>
      <c r="M110" s="26">
        <v>60</v>
      </c>
      <c r="N110" s="31">
        <v>30903.599999999999</v>
      </c>
      <c r="O110" s="26">
        <v>6</v>
      </c>
      <c r="P110" s="26">
        <v>90</v>
      </c>
      <c r="Q110" s="49">
        <v>1170</v>
      </c>
      <c r="R110" s="26">
        <v>0</v>
      </c>
      <c r="S110" s="50">
        <v>0</v>
      </c>
      <c r="T110" s="51">
        <v>32073.599999999999</v>
      </c>
      <c r="U110" s="26">
        <v>0</v>
      </c>
      <c r="V110" s="52">
        <v>0</v>
      </c>
      <c r="X110" s="78">
        <f t="shared" si="1"/>
        <v>25658.880000000001</v>
      </c>
      <c r="Z110" s="27">
        <v>619.31999999999994</v>
      </c>
    </row>
    <row r="111" spans="1:26" hidden="1" x14ac:dyDescent="0.3">
      <c r="A111" s="26">
        <v>2188</v>
      </c>
      <c r="B111" s="27" t="s">
        <v>312</v>
      </c>
      <c r="C111" s="27" t="s">
        <v>49</v>
      </c>
      <c r="D111" s="27">
        <v>0</v>
      </c>
      <c r="E111" s="27">
        <v>0</v>
      </c>
      <c r="F111" s="39">
        <v>0</v>
      </c>
      <c r="G111" s="26">
        <v>0</v>
      </c>
      <c r="H111" s="26">
        <v>0</v>
      </c>
      <c r="I111" s="29">
        <v>0</v>
      </c>
      <c r="J111" s="26">
        <v>12</v>
      </c>
      <c r="K111" s="26">
        <v>180</v>
      </c>
      <c r="L111" s="26">
        <v>0</v>
      </c>
      <c r="M111" s="26">
        <v>0</v>
      </c>
      <c r="N111" s="31">
        <v>13244.4</v>
      </c>
      <c r="O111" s="26">
        <v>2</v>
      </c>
      <c r="P111" s="26">
        <v>30</v>
      </c>
      <c r="Q111" s="49">
        <v>390</v>
      </c>
      <c r="R111" s="26">
        <v>2</v>
      </c>
      <c r="S111" s="50">
        <v>149.15789473684211</v>
      </c>
      <c r="T111" s="51">
        <v>13783.557894736841</v>
      </c>
      <c r="U111" s="26">
        <v>0</v>
      </c>
      <c r="V111" s="52">
        <v>0</v>
      </c>
      <c r="X111" s="78">
        <f t="shared" si="1"/>
        <v>11026.846315789473</v>
      </c>
      <c r="Z111" s="27">
        <v>24.96</v>
      </c>
    </row>
    <row r="112" spans="1:26" hidden="1" x14ac:dyDescent="0.3">
      <c r="A112" s="26">
        <v>2189</v>
      </c>
      <c r="B112" s="27" t="s">
        <v>183</v>
      </c>
      <c r="C112" s="27" t="s">
        <v>27</v>
      </c>
      <c r="D112" s="27">
        <v>0</v>
      </c>
      <c r="E112" s="27">
        <v>0</v>
      </c>
      <c r="F112" s="39">
        <v>0</v>
      </c>
      <c r="G112" s="26">
        <v>0</v>
      </c>
      <c r="H112" s="26">
        <v>0</v>
      </c>
      <c r="I112" s="29">
        <v>0</v>
      </c>
      <c r="J112" s="26">
        <v>19</v>
      </c>
      <c r="K112" s="26">
        <v>285</v>
      </c>
      <c r="L112" s="26">
        <v>0</v>
      </c>
      <c r="M112" s="26">
        <v>0</v>
      </c>
      <c r="N112" s="31">
        <v>20970.3</v>
      </c>
      <c r="O112" s="26">
        <v>11</v>
      </c>
      <c r="P112" s="26">
        <v>165</v>
      </c>
      <c r="Q112" s="49">
        <v>2145</v>
      </c>
      <c r="R112" s="26">
        <v>0</v>
      </c>
      <c r="S112" s="50">
        <v>0</v>
      </c>
      <c r="T112" s="51">
        <v>23115.3</v>
      </c>
      <c r="U112" s="26">
        <v>0</v>
      </c>
      <c r="V112" s="52">
        <v>0</v>
      </c>
      <c r="X112" s="78">
        <f t="shared" si="1"/>
        <v>18492.240000000002</v>
      </c>
      <c r="Z112" s="27">
        <v>1210.56</v>
      </c>
    </row>
    <row r="113" spans="1:26" hidden="1" x14ac:dyDescent="0.3">
      <c r="A113" s="26">
        <v>2191</v>
      </c>
      <c r="B113" s="27" t="s">
        <v>313</v>
      </c>
      <c r="C113" s="27" t="s">
        <v>49</v>
      </c>
      <c r="D113" s="27">
        <v>0</v>
      </c>
      <c r="E113" s="27">
        <v>0</v>
      </c>
      <c r="F113" s="39">
        <v>0</v>
      </c>
      <c r="G113" s="26">
        <v>0</v>
      </c>
      <c r="H113" s="26">
        <v>0</v>
      </c>
      <c r="I113" s="29">
        <v>0</v>
      </c>
      <c r="J113" s="26">
        <v>18</v>
      </c>
      <c r="K113" s="26">
        <v>270</v>
      </c>
      <c r="L113" s="26">
        <v>2</v>
      </c>
      <c r="M113" s="26">
        <v>30</v>
      </c>
      <c r="N113" s="31">
        <v>22074.000000000004</v>
      </c>
      <c r="O113" s="26">
        <v>7</v>
      </c>
      <c r="P113" s="26">
        <v>105</v>
      </c>
      <c r="Q113" s="49">
        <v>1365</v>
      </c>
      <c r="R113" s="26">
        <v>0</v>
      </c>
      <c r="S113" s="50">
        <v>0</v>
      </c>
      <c r="T113" s="51">
        <v>23439.000000000004</v>
      </c>
      <c r="U113" s="26">
        <v>0</v>
      </c>
      <c r="V113" s="52">
        <v>0</v>
      </c>
      <c r="X113" s="78">
        <f t="shared" si="1"/>
        <v>18751.200000000004</v>
      </c>
      <c r="Z113" s="27">
        <v>803.40000000000009</v>
      </c>
    </row>
    <row r="114" spans="1:26" hidden="1" x14ac:dyDescent="0.3">
      <c r="A114" s="26">
        <v>2194</v>
      </c>
      <c r="B114" s="27" t="s">
        <v>314</v>
      </c>
      <c r="C114" s="27" t="s">
        <v>49</v>
      </c>
      <c r="D114" s="27">
        <v>0</v>
      </c>
      <c r="E114" s="27">
        <v>0</v>
      </c>
      <c r="F114" s="39">
        <v>0</v>
      </c>
      <c r="G114" s="26">
        <v>0</v>
      </c>
      <c r="H114" s="26">
        <v>0</v>
      </c>
      <c r="I114" s="29">
        <v>0</v>
      </c>
      <c r="J114" s="26">
        <v>37</v>
      </c>
      <c r="K114" s="26">
        <v>555</v>
      </c>
      <c r="L114" s="26">
        <v>2</v>
      </c>
      <c r="M114" s="26">
        <v>30</v>
      </c>
      <c r="N114" s="31">
        <v>43044.3</v>
      </c>
      <c r="O114" s="26">
        <v>9</v>
      </c>
      <c r="P114" s="26">
        <v>135</v>
      </c>
      <c r="Q114" s="49">
        <v>1755</v>
      </c>
      <c r="R114" s="26">
        <v>9</v>
      </c>
      <c r="S114" s="50">
        <v>671.21052631578948</v>
      </c>
      <c r="T114" s="51">
        <v>45470.510526315789</v>
      </c>
      <c r="U114" s="26">
        <v>0</v>
      </c>
      <c r="V114" s="52">
        <v>0</v>
      </c>
      <c r="X114" s="78">
        <f t="shared" si="1"/>
        <v>36376.408421052634</v>
      </c>
      <c r="Z114" s="27">
        <v>232.44000000000003</v>
      </c>
    </row>
    <row r="115" spans="1:26" hidden="1" x14ac:dyDescent="0.3">
      <c r="A115" s="26">
        <v>2195</v>
      </c>
      <c r="B115" s="27" t="s">
        <v>315</v>
      </c>
      <c r="C115" s="27" t="s">
        <v>49</v>
      </c>
      <c r="D115" s="27">
        <v>0</v>
      </c>
      <c r="E115" s="27">
        <v>0</v>
      </c>
      <c r="F115" s="39">
        <v>0</v>
      </c>
      <c r="G115" s="26">
        <v>15</v>
      </c>
      <c r="H115" s="26">
        <v>219</v>
      </c>
      <c r="I115" s="29">
        <v>24227.97</v>
      </c>
      <c r="J115" s="26">
        <v>35</v>
      </c>
      <c r="K115" s="26">
        <v>525</v>
      </c>
      <c r="L115" s="26">
        <v>0</v>
      </c>
      <c r="M115" s="26">
        <v>0</v>
      </c>
      <c r="N115" s="31">
        <v>38629.5</v>
      </c>
      <c r="O115" s="26">
        <v>28</v>
      </c>
      <c r="P115" s="26">
        <v>414</v>
      </c>
      <c r="Q115" s="49">
        <v>5382</v>
      </c>
      <c r="R115" s="26">
        <v>21</v>
      </c>
      <c r="S115" s="50">
        <v>1566.1578947368421</v>
      </c>
      <c r="T115" s="51">
        <v>69805.627894736841</v>
      </c>
      <c r="U115" s="26">
        <v>0</v>
      </c>
      <c r="V115" s="52">
        <v>0</v>
      </c>
      <c r="X115" s="78">
        <f t="shared" si="1"/>
        <v>55844.502315789476</v>
      </c>
      <c r="Z115" s="27">
        <v>2260.1280000000002</v>
      </c>
    </row>
    <row r="116" spans="1:26" hidden="1" x14ac:dyDescent="0.3">
      <c r="A116" s="26">
        <v>2196</v>
      </c>
      <c r="B116" s="27" t="s">
        <v>316</v>
      </c>
      <c r="C116" s="27" t="s">
        <v>49</v>
      </c>
      <c r="D116" s="27">
        <v>0</v>
      </c>
      <c r="E116" s="27">
        <v>0</v>
      </c>
      <c r="F116" s="39">
        <v>0</v>
      </c>
      <c r="G116" s="26">
        <v>0</v>
      </c>
      <c r="H116" s="26">
        <v>0</v>
      </c>
      <c r="I116" s="29">
        <v>0</v>
      </c>
      <c r="J116" s="26">
        <v>16</v>
      </c>
      <c r="K116" s="26">
        <v>240</v>
      </c>
      <c r="L116" s="26">
        <v>0</v>
      </c>
      <c r="M116" s="26">
        <v>0</v>
      </c>
      <c r="N116" s="31">
        <v>17659.2</v>
      </c>
      <c r="O116" s="26">
        <v>3</v>
      </c>
      <c r="P116" s="26">
        <v>45</v>
      </c>
      <c r="Q116" s="49">
        <v>585</v>
      </c>
      <c r="R116" s="26">
        <v>3</v>
      </c>
      <c r="S116" s="50">
        <v>223.73684210526318</v>
      </c>
      <c r="T116" s="51">
        <v>18467.936842105264</v>
      </c>
      <c r="U116" s="26">
        <v>0</v>
      </c>
      <c r="V116" s="52">
        <v>0</v>
      </c>
      <c r="X116" s="78">
        <f t="shared" si="1"/>
        <v>14774.349473684211</v>
      </c>
      <c r="Z116" s="27">
        <v>697.32</v>
      </c>
    </row>
    <row r="117" spans="1:26" hidden="1" x14ac:dyDescent="0.3">
      <c r="A117" s="26">
        <v>2204</v>
      </c>
      <c r="B117" s="27" t="s">
        <v>317</v>
      </c>
      <c r="C117" s="27" t="s">
        <v>49</v>
      </c>
      <c r="D117" s="27">
        <v>0</v>
      </c>
      <c r="E117" s="27">
        <v>0</v>
      </c>
      <c r="F117" s="39">
        <v>0</v>
      </c>
      <c r="G117" s="26">
        <v>0</v>
      </c>
      <c r="H117" s="26">
        <v>0</v>
      </c>
      <c r="I117" s="29">
        <v>0</v>
      </c>
      <c r="J117" s="26">
        <v>11</v>
      </c>
      <c r="K117" s="26">
        <v>165</v>
      </c>
      <c r="L117" s="26">
        <v>1</v>
      </c>
      <c r="M117" s="26">
        <v>15</v>
      </c>
      <c r="N117" s="31">
        <v>13244.400000000001</v>
      </c>
      <c r="O117" s="26">
        <v>4</v>
      </c>
      <c r="P117" s="26">
        <v>60</v>
      </c>
      <c r="Q117" s="49">
        <v>780</v>
      </c>
      <c r="R117" s="26">
        <v>4</v>
      </c>
      <c r="S117" s="50">
        <v>298.31578947368422</v>
      </c>
      <c r="T117" s="51">
        <v>14322.715789473687</v>
      </c>
      <c r="U117" s="26">
        <v>0</v>
      </c>
      <c r="V117" s="52">
        <v>0</v>
      </c>
      <c r="X117" s="78">
        <f t="shared" si="1"/>
        <v>11458.172631578949</v>
      </c>
      <c r="Z117" s="27">
        <v>521.04</v>
      </c>
    </row>
    <row r="118" spans="1:26" hidden="1" x14ac:dyDescent="0.3">
      <c r="A118" s="26">
        <v>2211</v>
      </c>
      <c r="B118" s="27" t="s">
        <v>318</v>
      </c>
      <c r="C118" s="27" t="s">
        <v>49</v>
      </c>
      <c r="D118" s="27">
        <v>0</v>
      </c>
      <c r="E118" s="27">
        <v>0</v>
      </c>
      <c r="F118" s="39">
        <v>0</v>
      </c>
      <c r="G118" s="26">
        <v>0</v>
      </c>
      <c r="H118" s="26">
        <v>0</v>
      </c>
      <c r="I118" s="29">
        <v>0</v>
      </c>
      <c r="J118" s="26">
        <v>31</v>
      </c>
      <c r="K118" s="26">
        <v>465</v>
      </c>
      <c r="L118" s="26">
        <v>6</v>
      </c>
      <c r="M118" s="26">
        <v>90</v>
      </c>
      <c r="N118" s="31">
        <v>40836.9</v>
      </c>
      <c r="O118" s="26">
        <v>13</v>
      </c>
      <c r="P118" s="26">
        <v>195</v>
      </c>
      <c r="Q118" s="49">
        <v>2535</v>
      </c>
      <c r="R118" s="26">
        <v>13</v>
      </c>
      <c r="S118" s="50">
        <v>969.52631578947376</v>
      </c>
      <c r="T118" s="51">
        <v>44341.426315789475</v>
      </c>
      <c r="U118" s="26">
        <v>0</v>
      </c>
      <c r="V118" s="52">
        <v>0</v>
      </c>
      <c r="X118" s="78">
        <f t="shared" si="1"/>
        <v>35473.141052631581</v>
      </c>
      <c r="Z118" s="27">
        <v>889.2</v>
      </c>
    </row>
    <row r="119" spans="1:26" hidden="1" x14ac:dyDescent="0.3">
      <c r="A119" s="26">
        <v>2227</v>
      </c>
      <c r="B119" s="27" t="s">
        <v>319</v>
      </c>
      <c r="C119" s="27" t="s">
        <v>27</v>
      </c>
      <c r="D119" s="27">
        <v>0</v>
      </c>
      <c r="E119" s="27">
        <v>0</v>
      </c>
      <c r="F119" s="39">
        <v>0</v>
      </c>
      <c r="G119" s="26">
        <v>0</v>
      </c>
      <c r="H119" s="26">
        <v>0</v>
      </c>
      <c r="I119" s="29">
        <v>0</v>
      </c>
      <c r="J119" s="26">
        <v>22</v>
      </c>
      <c r="K119" s="26">
        <v>330</v>
      </c>
      <c r="L119" s="26">
        <v>3</v>
      </c>
      <c r="M119" s="26">
        <v>45</v>
      </c>
      <c r="N119" s="31">
        <v>27592.5</v>
      </c>
      <c r="O119" s="26">
        <v>12</v>
      </c>
      <c r="P119" s="26">
        <v>165</v>
      </c>
      <c r="Q119" s="49">
        <v>2145</v>
      </c>
      <c r="R119" s="26">
        <v>11</v>
      </c>
      <c r="S119" s="50">
        <v>820.36842105263156</v>
      </c>
      <c r="T119" s="51">
        <v>30557.86842105263</v>
      </c>
      <c r="U119" s="26">
        <v>0</v>
      </c>
      <c r="V119" s="52">
        <v>0</v>
      </c>
      <c r="X119" s="78">
        <f t="shared" si="1"/>
        <v>24446.294736842105</v>
      </c>
      <c r="Z119" s="27">
        <v>887.64000000000021</v>
      </c>
    </row>
    <row r="120" spans="1:26" hidden="1" x14ac:dyDescent="0.3">
      <c r="A120" s="26">
        <v>2231</v>
      </c>
      <c r="B120" s="27" t="s">
        <v>320</v>
      </c>
      <c r="C120" s="27" t="s">
        <v>27</v>
      </c>
      <c r="D120" s="27">
        <v>0</v>
      </c>
      <c r="E120" s="27">
        <v>0</v>
      </c>
      <c r="F120" s="39">
        <v>0</v>
      </c>
      <c r="G120" s="26">
        <v>0</v>
      </c>
      <c r="H120" s="26">
        <v>0</v>
      </c>
      <c r="I120" s="29">
        <v>0</v>
      </c>
      <c r="J120" s="26">
        <v>28</v>
      </c>
      <c r="K120" s="26">
        <v>414</v>
      </c>
      <c r="L120" s="26">
        <v>5</v>
      </c>
      <c r="M120" s="26">
        <v>75</v>
      </c>
      <c r="N120" s="31">
        <v>35980.619999999995</v>
      </c>
      <c r="O120" s="26">
        <v>5</v>
      </c>
      <c r="P120" s="26">
        <v>69</v>
      </c>
      <c r="Q120" s="49">
        <v>897</v>
      </c>
      <c r="R120" s="26">
        <v>0</v>
      </c>
      <c r="S120" s="50">
        <v>0</v>
      </c>
      <c r="T120" s="51">
        <v>36877.619999999995</v>
      </c>
      <c r="U120" s="26">
        <v>0</v>
      </c>
      <c r="V120" s="52">
        <v>0</v>
      </c>
      <c r="X120" s="78">
        <f t="shared" si="1"/>
        <v>29502.095999999998</v>
      </c>
      <c r="Z120" s="27">
        <v>162.24</v>
      </c>
    </row>
    <row r="121" spans="1:26" hidden="1" x14ac:dyDescent="0.3">
      <c r="A121" s="26">
        <v>2223</v>
      </c>
      <c r="B121" s="27" t="s">
        <v>321</v>
      </c>
      <c r="C121" s="27" t="s">
        <v>49</v>
      </c>
      <c r="D121" s="27">
        <v>0</v>
      </c>
      <c r="E121" s="27">
        <v>0</v>
      </c>
      <c r="F121" s="39">
        <v>0</v>
      </c>
      <c r="G121" s="26">
        <v>0</v>
      </c>
      <c r="H121" s="26">
        <v>0</v>
      </c>
      <c r="I121" s="29">
        <v>0</v>
      </c>
      <c r="J121" s="26">
        <v>23</v>
      </c>
      <c r="K121" s="26">
        <v>345</v>
      </c>
      <c r="L121" s="26">
        <v>4</v>
      </c>
      <c r="M121" s="26">
        <v>60</v>
      </c>
      <c r="N121" s="31">
        <v>29799.9</v>
      </c>
      <c r="O121" s="26">
        <v>9</v>
      </c>
      <c r="P121" s="26">
        <v>135</v>
      </c>
      <c r="Q121" s="49">
        <v>1755</v>
      </c>
      <c r="R121" s="26">
        <v>0</v>
      </c>
      <c r="S121" s="50">
        <v>0</v>
      </c>
      <c r="T121" s="51">
        <v>31554.9</v>
      </c>
      <c r="U121" s="26">
        <v>0</v>
      </c>
      <c r="V121" s="52">
        <v>0</v>
      </c>
      <c r="X121" s="78">
        <f t="shared" si="1"/>
        <v>25243.920000000002</v>
      </c>
      <c r="Z121" s="27">
        <v>673.92000000000007</v>
      </c>
    </row>
    <row r="122" spans="1:26" hidden="1" x14ac:dyDescent="0.3">
      <c r="A122" s="26">
        <v>2239</v>
      </c>
      <c r="B122" s="27" t="s">
        <v>322</v>
      </c>
      <c r="C122" s="27" t="s">
        <v>27</v>
      </c>
      <c r="D122" s="27">
        <v>0</v>
      </c>
      <c r="E122" s="27">
        <v>0</v>
      </c>
      <c r="F122" s="39">
        <v>0</v>
      </c>
      <c r="G122" s="26">
        <v>0</v>
      </c>
      <c r="H122" s="26">
        <v>0</v>
      </c>
      <c r="I122" s="29">
        <v>0</v>
      </c>
      <c r="J122" s="26">
        <v>36</v>
      </c>
      <c r="K122" s="26">
        <v>540</v>
      </c>
      <c r="L122" s="26">
        <v>14</v>
      </c>
      <c r="M122" s="26">
        <v>210</v>
      </c>
      <c r="N122" s="31">
        <v>55185.000000000007</v>
      </c>
      <c r="O122" s="26">
        <v>12</v>
      </c>
      <c r="P122" s="26">
        <v>180</v>
      </c>
      <c r="Q122" s="49">
        <v>2340</v>
      </c>
      <c r="R122" s="26">
        <v>12</v>
      </c>
      <c r="S122" s="50">
        <v>894.94736842105272</v>
      </c>
      <c r="T122" s="51">
        <v>58419.947368421061</v>
      </c>
      <c r="U122" s="26">
        <v>2</v>
      </c>
      <c r="V122" s="52">
        <v>641.78947368421052</v>
      </c>
      <c r="X122" s="78">
        <f t="shared" si="1"/>
        <v>47249.389473684219</v>
      </c>
      <c r="Z122" s="27">
        <v>1906.3199999999997</v>
      </c>
    </row>
    <row r="123" spans="1:26" hidden="1" x14ac:dyDescent="0.3">
      <c r="A123" s="26">
        <v>2245</v>
      </c>
      <c r="B123" s="27" t="s">
        <v>323</v>
      </c>
      <c r="C123" s="27" t="s">
        <v>27</v>
      </c>
      <c r="D123" s="27">
        <v>0</v>
      </c>
      <c r="E123" s="27">
        <v>0</v>
      </c>
      <c r="F123" s="39">
        <v>0</v>
      </c>
      <c r="G123" s="26">
        <v>0</v>
      </c>
      <c r="H123" s="26">
        <v>0</v>
      </c>
      <c r="I123" s="29">
        <v>0</v>
      </c>
      <c r="J123" s="26">
        <v>14</v>
      </c>
      <c r="K123" s="26">
        <v>210</v>
      </c>
      <c r="L123" s="26">
        <v>0</v>
      </c>
      <c r="M123" s="26">
        <v>0</v>
      </c>
      <c r="N123" s="31">
        <v>15451.800000000001</v>
      </c>
      <c r="O123" s="26">
        <v>10</v>
      </c>
      <c r="P123" s="26">
        <v>150</v>
      </c>
      <c r="Q123" s="49">
        <v>1950</v>
      </c>
      <c r="R123" s="26">
        <v>10</v>
      </c>
      <c r="S123" s="50">
        <v>745.78947368421052</v>
      </c>
      <c r="T123" s="51">
        <v>18147.589473684213</v>
      </c>
      <c r="U123" s="26">
        <v>0</v>
      </c>
      <c r="V123" s="52">
        <v>0</v>
      </c>
      <c r="X123" s="78">
        <f t="shared" si="1"/>
        <v>14518.071578947371</v>
      </c>
      <c r="Z123" s="27">
        <v>1009.3199999999999</v>
      </c>
    </row>
    <row r="124" spans="1:26" hidden="1" x14ac:dyDescent="0.3">
      <c r="A124" s="26">
        <v>2251</v>
      </c>
      <c r="B124" s="27" t="s">
        <v>324</v>
      </c>
      <c r="C124" s="27" t="s">
        <v>27</v>
      </c>
      <c r="D124" s="27">
        <v>0</v>
      </c>
      <c r="E124" s="27">
        <v>0</v>
      </c>
      <c r="F124" s="39">
        <v>0</v>
      </c>
      <c r="G124" s="26">
        <v>0</v>
      </c>
      <c r="H124" s="26">
        <v>0</v>
      </c>
      <c r="I124" s="29">
        <v>0</v>
      </c>
      <c r="J124" s="26">
        <v>24</v>
      </c>
      <c r="K124" s="26">
        <v>360</v>
      </c>
      <c r="L124" s="26">
        <v>21</v>
      </c>
      <c r="M124" s="26">
        <v>315</v>
      </c>
      <c r="N124" s="31">
        <v>49666.5</v>
      </c>
      <c r="O124" s="26">
        <v>2</v>
      </c>
      <c r="P124" s="26">
        <v>30</v>
      </c>
      <c r="Q124" s="49">
        <v>390</v>
      </c>
      <c r="R124" s="26">
        <v>2</v>
      </c>
      <c r="S124" s="50">
        <v>149.15789473684211</v>
      </c>
      <c r="T124" s="51">
        <v>50205.65789473684</v>
      </c>
      <c r="U124" s="26">
        <v>0</v>
      </c>
      <c r="V124" s="52">
        <v>0</v>
      </c>
      <c r="X124" s="78">
        <f t="shared" si="1"/>
        <v>40164.526315789473</v>
      </c>
      <c r="Z124" s="27">
        <v>12.48</v>
      </c>
    </row>
    <row r="125" spans="1:26" hidden="1" x14ac:dyDescent="0.3">
      <c r="A125" s="26">
        <v>2293</v>
      </c>
      <c r="B125" s="27" t="s">
        <v>173</v>
      </c>
      <c r="C125" s="27" t="s">
        <v>27</v>
      </c>
      <c r="D125" s="27">
        <v>0</v>
      </c>
      <c r="E125" s="27">
        <v>0</v>
      </c>
      <c r="F125" s="39">
        <v>0</v>
      </c>
      <c r="G125" s="26">
        <v>0</v>
      </c>
      <c r="H125" s="26">
        <v>0</v>
      </c>
      <c r="I125" s="29">
        <v>0</v>
      </c>
      <c r="J125" s="26">
        <v>64</v>
      </c>
      <c r="K125" s="26">
        <v>960</v>
      </c>
      <c r="L125" s="26">
        <v>0</v>
      </c>
      <c r="M125" s="26">
        <v>0</v>
      </c>
      <c r="N125" s="31">
        <v>70636.800000000003</v>
      </c>
      <c r="O125" s="26">
        <v>19</v>
      </c>
      <c r="P125" s="26">
        <v>285</v>
      </c>
      <c r="Q125" s="49">
        <v>3705</v>
      </c>
      <c r="R125" s="26">
        <v>0</v>
      </c>
      <c r="S125" s="50">
        <v>0</v>
      </c>
      <c r="T125" s="51">
        <v>74341.8</v>
      </c>
      <c r="U125" s="26">
        <v>0</v>
      </c>
      <c r="V125" s="52">
        <v>0</v>
      </c>
      <c r="X125" s="78">
        <f t="shared" si="1"/>
        <v>59473.440000000002</v>
      </c>
      <c r="Z125" s="27">
        <v>1116.9599999999998</v>
      </c>
    </row>
    <row r="126" spans="1:26" hidden="1" x14ac:dyDescent="0.3">
      <c r="A126" s="26">
        <v>2299</v>
      </c>
      <c r="B126" s="27" t="s">
        <v>325</v>
      </c>
      <c r="C126" s="27" t="s">
        <v>49</v>
      </c>
      <c r="D126" s="27">
        <v>0</v>
      </c>
      <c r="E126" s="27">
        <v>0</v>
      </c>
      <c r="F126" s="39">
        <v>0</v>
      </c>
      <c r="G126" s="26">
        <v>0</v>
      </c>
      <c r="H126" s="26">
        <v>0</v>
      </c>
      <c r="I126" s="29">
        <v>0</v>
      </c>
      <c r="J126" s="26">
        <v>49</v>
      </c>
      <c r="K126" s="26">
        <v>735</v>
      </c>
      <c r="L126" s="26">
        <v>5</v>
      </c>
      <c r="M126" s="26">
        <v>75</v>
      </c>
      <c r="N126" s="31">
        <v>59599.8</v>
      </c>
      <c r="O126" s="26">
        <v>2</v>
      </c>
      <c r="P126" s="26">
        <v>30</v>
      </c>
      <c r="Q126" s="49">
        <v>390</v>
      </c>
      <c r="R126" s="26">
        <v>0</v>
      </c>
      <c r="S126" s="50">
        <v>0</v>
      </c>
      <c r="T126" s="51">
        <v>59989.8</v>
      </c>
      <c r="U126" s="26">
        <v>0</v>
      </c>
      <c r="V126" s="52">
        <v>0</v>
      </c>
      <c r="X126" s="78">
        <f t="shared" si="1"/>
        <v>47991.840000000004</v>
      </c>
      <c r="Z126" s="27">
        <v>592.79999999999995</v>
      </c>
    </row>
    <row r="127" spans="1:26" hidden="1" x14ac:dyDescent="0.3">
      <c r="A127" s="26">
        <v>2300</v>
      </c>
      <c r="B127" s="27" t="s">
        <v>326</v>
      </c>
      <c r="C127" s="27" t="s">
        <v>27</v>
      </c>
      <c r="D127" s="27">
        <v>0</v>
      </c>
      <c r="E127" s="27">
        <v>0</v>
      </c>
      <c r="F127" s="39">
        <v>0</v>
      </c>
      <c r="G127" s="26">
        <v>0</v>
      </c>
      <c r="H127" s="26">
        <v>0</v>
      </c>
      <c r="I127" s="29">
        <v>0</v>
      </c>
      <c r="J127" s="26">
        <v>63</v>
      </c>
      <c r="K127" s="26">
        <v>945</v>
      </c>
      <c r="L127" s="26">
        <v>5</v>
      </c>
      <c r="M127" s="26">
        <v>75</v>
      </c>
      <c r="N127" s="31">
        <v>75051.600000000006</v>
      </c>
      <c r="O127" s="26">
        <v>7</v>
      </c>
      <c r="P127" s="26">
        <v>105</v>
      </c>
      <c r="Q127" s="49">
        <v>1365</v>
      </c>
      <c r="R127" s="26">
        <v>7</v>
      </c>
      <c r="S127" s="50">
        <v>522.0526315789474</v>
      </c>
      <c r="T127" s="51">
        <v>76938.652631578952</v>
      </c>
      <c r="U127" s="26">
        <v>0</v>
      </c>
      <c r="V127" s="52">
        <v>0</v>
      </c>
      <c r="X127" s="78">
        <f t="shared" si="1"/>
        <v>61550.922105263162</v>
      </c>
      <c r="Z127" s="27">
        <v>1915.68</v>
      </c>
    </row>
    <row r="128" spans="1:26" hidden="1" x14ac:dyDescent="0.3">
      <c r="A128" s="26">
        <v>2308</v>
      </c>
      <c r="B128" s="27" t="s">
        <v>163</v>
      </c>
      <c r="C128" s="27" t="s">
        <v>27</v>
      </c>
      <c r="D128" s="27">
        <v>0</v>
      </c>
      <c r="E128" s="27">
        <v>0</v>
      </c>
      <c r="F128" s="39">
        <v>0</v>
      </c>
      <c r="G128" s="26">
        <v>0</v>
      </c>
      <c r="H128" s="26">
        <v>0</v>
      </c>
      <c r="I128" s="29">
        <v>0</v>
      </c>
      <c r="J128" s="26">
        <v>21</v>
      </c>
      <c r="K128" s="26">
        <v>315</v>
      </c>
      <c r="L128" s="26">
        <v>3</v>
      </c>
      <c r="M128" s="26">
        <v>45</v>
      </c>
      <c r="N128" s="31">
        <v>26488.799999999999</v>
      </c>
      <c r="O128" s="26">
        <v>5</v>
      </c>
      <c r="P128" s="26">
        <v>75</v>
      </c>
      <c r="Q128" s="49">
        <v>975</v>
      </c>
      <c r="R128" s="26">
        <v>0</v>
      </c>
      <c r="S128" s="50">
        <v>0</v>
      </c>
      <c r="T128" s="51">
        <v>27463.8</v>
      </c>
      <c r="U128" s="26">
        <v>0</v>
      </c>
      <c r="V128" s="52">
        <v>0</v>
      </c>
      <c r="X128" s="78">
        <f t="shared" si="1"/>
        <v>21971.040000000001</v>
      </c>
      <c r="Z128" s="27">
        <v>794.04</v>
      </c>
    </row>
    <row r="129" spans="1:26" hidden="1" x14ac:dyDescent="0.3">
      <c r="A129" s="26">
        <v>2309</v>
      </c>
      <c r="B129" s="27" t="s">
        <v>327</v>
      </c>
      <c r="C129" s="27" t="s">
        <v>49</v>
      </c>
      <c r="D129" s="27">
        <v>0</v>
      </c>
      <c r="E129" s="27">
        <v>0</v>
      </c>
      <c r="F129" s="39">
        <v>0</v>
      </c>
      <c r="G129" s="26">
        <v>0</v>
      </c>
      <c r="H129" s="26">
        <v>0</v>
      </c>
      <c r="I129" s="29">
        <v>0</v>
      </c>
      <c r="J129" s="26">
        <v>34</v>
      </c>
      <c r="K129" s="26">
        <v>510</v>
      </c>
      <c r="L129" s="26">
        <v>6</v>
      </c>
      <c r="M129" s="26">
        <v>90</v>
      </c>
      <c r="N129" s="31">
        <v>44148</v>
      </c>
      <c r="O129" s="26">
        <v>8</v>
      </c>
      <c r="P129" s="26">
        <v>120</v>
      </c>
      <c r="Q129" s="49">
        <v>1560</v>
      </c>
      <c r="R129" s="26">
        <v>8</v>
      </c>
      <c r="S129" s="50">
        <v>596.63157894736844</v>
      </c>
      <c r="T129" s="51">
        <v>46304.631578947367</v>
      </c>
      <c r="U129" s="26">
        <v>0</v>
      </c>
      <c r="V129" s="52">
        <v>0</v>
      </c>
      <c r="X129" s="78">
        <f t="shared" si="1"/>
        <v>37043.705263157892</v>
      </c>
      <c r="Z129" s="27">
        <v>965.64</v>
      </c>
    </row>
    <row r="130" spans="1:26" hidden="1" x14ac:dyDescent="0.3">
      <c r="A130" s="26">
        <v>2317</v>
      </c>
      <c r="B130" s="27" t="s">
        <v>328</v>
      </c>
      <c r="C130" s="27" t="s">
        <v>27</v>
      </c>
      <c r="D130" s="27">
        <v>0</v>
      </c>
      <c r="E130" s="27">
        <v>0</v>
      </c>
      <c r="F130" s="39">
        <v>0</v>
      </c>
      <c r="G130" s="26">
        <v>0</v>
      </c>
      <c r="H130" s="26">
        <v>0</v>
      </c>
      <c r="I130" s="29">
        <v>0</v>
      </c>
      <c r="J130" s="26">
        <v>56</v>
      </c>
      <c r="K130" s="26">
        <v>840</v>
      </c>
      <c r="L130" s="26">
        <v>22</v>
      </c>
      <c r="M130" s="26">
        <v>330</v>
      </c>
      <c r="N130" s="31">
        <v>86088.6</v>
      </c>
      <c r="O130" s="26">
        <v>10</v>
      </c>
      <c r="P130" s="26">
        <v>150</v>
      </c>
      <c r="Q130" s="49">
        <v>1950</v>
      </c>
      <c r="R130" s="26">
        <v>10</v>
      </c>
      <c r="S130" s="50">
        <v>745.78947368421052</v>
      </c>
      <c r="T130" s="51">
        <v>88784.389473684219</v>
      </c>
      <c r="U130" s="26">
        <v>0</v>
      </c>
      <c r="V130" s="52">
        <v>0</v>
      </c>
      <c r="X130" s="78">
        <f t="shared" si="1"/>
        <v>71027.511578947378</v>
      </c>
      <c r="Z130" s="27">
        <v>1670.76</v>
      </c>
    </row>
    <row r="131" spans="1:26" hidden="1" x14ac:dyDescent="0.3">
      <c r="A131" s="26">
        <v>2402</v>
      </c>
      <c r="B131" s="27" t="s">
        <v>42</v>
      </c>
      <c r="C131" s="27" t="s">
        <v>27</v>
      </c>
      <c r="D131" s="27">
        <v>0</v>
      </c>
      <c r="E131" s="27">
        <v>0</v>
      </c>
      <c r="F131" s="39">
        <v>0</v>
      </c>
      <c r="G131" s="26">
        <v>0</v>
      </c>
      <c r="H131" s="26">
        <v>0</v>
      </c>
      <c r="I131" s="29">
        <v>0</v>
      </c>
      <c r="J131" s="26">
        <v>33</v>
      </c>
      <c r="K131" s="26">
        <v>495</v>
      </c>
      <c r="L131" s="26">
        <v>18</v>
      </c>
      <c r="M131" s="26">
        <v>270</v>
      </c>
      <c r="N131" s="31">
        <v>56288.7</v>
      </c>
      <c r="O131" s="26">
        <v>4</v>
      </c>
      <c r="P131" s="26">
        <v>60</v>
      </c>
      <c r="Q131" s="49">
        <v>780</v>
      </c>
      <c r="R131" s="26">
        <v>0</v>
      </c>
      <c r="S131" s="50">
        <v>0</v>
      </c>
      <c r="T131" s="51">
        <v>57068.7</v>
      </c>
      <c r="U131" s="26">
        <v>0</v>
      </c>
      <c r="V131" s="52">
        <v>0</v>
      </c>
      <c r="X131" s="78">
        <f t="shared" si="1"/>
        <v>45654.96</v>
      </c>
      <c r="Z131" s="27">
        <v>12.48</v>
      </c>
    </row>
    <row r="132" spans="1:26" hidden="1" x14ac:dyDescent="0.3">
      <c r="A132" s="26">
        <v>2429</v>
      </c>
      <c r="B132" s="27" t="s">
        <v>329</v>
      </c>
      <c r="C132" s="27" t="s">
        <v>49</v>
      </c>
      <c r="D132" s="27">
        <v>0</v>
      </c>
      <c r="E132" s="27">
        <v>0</v>
      </c>
      <c r="F132" s="39">
        <v>0</v>
      </c>
      <c r="G132" s="26">
        <v>0</v>
      </c>
      <c r="H132" s="26">
        <v>0</v>
      </c>
      <c r="I132" s="29">
        <v>0</v>
      </c>
      <c r="J132" s="26">
        <v>26</v>
      </c>
      <c r="K132" s="26">
        <v>390</v>
      </c>
      <c r="L132" s="26">
        <v>13</v>
      </c>
      <c r="M132" s="26">
        <v>195</v>
      </c>
      <c r="N132" s="31">
        <v>43044.3</v>
      </c>
      <c r="O132" s="26">
        <v>2</v>
      </c>
      <c r="P132" s="26">
        <v>30</v>
      </c>
      <c r="Q132" s="49">
        <v>390</v>
      </c>
      <c r="R132" s="26">
        <v>2</v>
      </c>
      <c r="S132" s="50">
        <v>149.15789473684211</v>
      </c>
      <c r="T132" s="51">
        <v>43583.457894736843</v>
      </c>
      <c r="U132" s="26">
        <v>0</v>
      </c>
      <c r="V132" s="52">
        <v>0</v>
      </c>
      <c r="X132" s="78">
        <f t="shared" si="1"/>
        <v>34866.766315789479</v>
      </c>
      <c r="Z132" s="27">
        <v>12.48</v>
      </c>
    </row>
    <row r="133" spans="1:26" hidden="1" x14ac:dyDescent="0.3">
      <c r="A133" s="26">
        <v>2434</v>
      </c>
      <c r="B133" s="27" t="s">
        <v>330</v>
      </c>
      <c r="C133" s="27" t="s">
        <v>49</v>
      </c>
      <c r="D133" s="27">
        <v>0</v>
      </c>
      <c r="E133" s="27">
        <v>0</v>
      </c>
      <c r="F133" s="39">
        <v>0</v>
      </c>
      <c r="G133" s="26">
        <v>0</v>
      </c>
      <c r="H133" s="26">
        <v>0</v>
      </c>
      <c r="I133" s="29">
        <v>0</v>
      </c>
      <c r="J133" s="26">
        <v>36</v>
      </c>
      <c r="K133" s="26">
        <v>540</v>
      </c>
      <c r="L133" s="26">
        <v>14</v>
      </c>
      <c r="M133" s="26">
        <v>75</v>
      </c>
      <c r="N133" s="31">
        <v>45251.700000000004</v>
      </c>
      <c r="O133" s="26">
        <v>15</v>
      </c>
      <c r="P133" s="26">
        <v>225</v>
      </c>
      <c r="Q133" s="49">
        <v>2925</v>
      </c>
      <c r="R133" s="26">
        <v>8</v>
      </c>
      <c r="S133" s="50">
        <v>596.63157894736844</v>
      </c>
      <c r="T133" s="51">
        <v>48773.331578947371</v>
      </c>
      <c r="U133" s="26">
        <v>0</v>
      </c>
      <c r="V133" s="52">
        <v>0</v>
      </c>
      <c r="X133" s="78">
        <f t="shared" si="1"/>
        <v>39018.665263157898</v>
      </c>
      <c r="Z133" s="27">
        <v>1026.48</v>
      </c>
    </row>
    <row r="134" spans="1:26" hidden="1" x14ac:dyDescent="0.3">
      <c r="A134" s="26">
        <v>2212</v>
      </c>
      <c r="B134" s="27" t="s">
        <v>331</v>
      </c>
      <c r="C134" s="27" t="s">
        <v>49</v>
      </c>
      <c r="D134" s="27">
        <v>0</v>
      </c>
      <c r="E134" s="27">
        <v>0</v>
      </c>
      <c r="F134" s="39">
        <v>0</v>
      </c>
      <c r="G134" s="26">
        <v>0</v>
      </c>
      <c r="H134" s="26">
        <v>0</v>
      </c>
      <c r="I134" s="29">
        <v>0</v>
      </c>
      <c r="J134" s="26">
        <v>14</v>
      </c>
      <c r="K134" s="26">
        <v>210</v>
      </c>
      <c r="L134" s="26">
        <v>0</v>
      </c>
      <c r="M134" s="26">
        <v>0</v>
      </c>
      <c r="N134" s="31">
        <v>15451.800000000001</v>
      </c>
      <c r="O134" s="26">
        <v>0</v>
      </c>
      <c r="P134" s="26">
        <v>0</v>
      </c>
      <c r="Q134" s="49">
        <v>0</v>
      </c>
      <c r="R134" s="26">
        <v>0</v>
      </c>
      <c r="S134" s="50">
        <v>0</v>
      </c>
      <c r="T134" s="51">
        <v>15451.800000000001</v>
      </c>
      <c r="U134" s="26">
        <v>0</v>
      </c>
      <c r="V134" s="52">
        <v>0</v>
      </c>
      <c r="X134" s="78">
        <f t="shared" si="1"/>
        <v>12361.440000000002</v>
      </c>
      <c r="Z134" s="27">
        <v>932.88</v>
      </c>
    </row>
    <row r="135" spans="1:26" hidden="1" x14ac:dyDescent="0.3">
      <c r="A135" s="26">
        <v>2441</v>
      </c>
      <c r="B135" s="27" t="s">
        <v>105</v>
      </c>
      <c r="C135" s="27" t="s">
        <v>27</v>
      </c>
      <c r="D135" s="27">
        <v>0</v>
      </c>
      <c r="E135" s="27">
        <v>0</v>
      </c>
      <c r="F135" s="39">
        <v>0</v>
      </c>
      <c r="G135" s="26">
        <v>0</v>
      </c>
      <c r="H135" s="26">
        <v>0</v>
      </c>
      <c r="I135" s="29">
        <v>0</v>
      </c>
      <c r="J135" s="26">
        <v>9</v>
      </c>
      <c r="K135" s="26">
        <v>135</v>
      </c>
      <c r="L135" s="26">
        <v>0</v>
      </c>
      <c r="M135" s="26">
        <v>0</v>
      </c>
      <c r="N135" s="31">
        <v>9933.3000000000011</v>
      </c>
      <c r="O135" s="26">
        <v>3</v>
      </c>
      <c r="P135" s="26">
        <v>45</v>
      </c>
      <c r="Q135" s="49">
        <v>585</v>
      </c>
      <c r="R135" s="26">
        <v>3</v>
      </c>
      <c r="S135" s="50">
        <v>223.73684210526318</v>
      </c>
      <c r="T135" s="51">
        <v>10742.036842105264</v>
      </c>
      <c r="U135" s="26">
        <v>0</v>
      </c>
      <c r="V135" s="52">
        <v>0</v>
      </c>
      <c r="X135" s="78">
        <f t="shared" si="1"/>
        <v>8593.6294736842119</v>
      </c>
      <c r="Z135" s="27">
        <v>516.36</v>
      </c>
    </row>
    <row r="136" spans="1:26" hidden="1" x14ac:dyDescent="0.3">
      <c r="A136" s="26">
        <v>2443</v>
      </c>
      <c r="B136" s="27" t="s">
        <v>332</v>
      </c>
      <c r="C136" s="27" t="s">
        <v>49</v>
      </c>
      <c r="D136" s="27">
        <v>0</v>
      </c>
      <c r="E136" s="27">
        <v>0</v>
      </c>
      <c r="F136" s="39">
        <v>0</v>
      </c>
      <c r="G136" s="26">
        <v>0</v>
      </c>
      <c r="H136" s="26">
        <v>0</v>
      </c>
      <c r="I136" s="29">
        <v>0</v>
      </c>
      <c r="J136" s="26">
        <v>26</v>
      </c>
      <c r="K136" s="26">
        <v>390</v>
      </c>
      <c r="L136" s="26">
        <v>0</v>
      </c>
      <c r="M136" s="26">
        <v>0</v>
      </c>
      <c r="N136" s="31">
        <v>28696.2</v>
      </c>
      <c r="O136" s="26">
        <v>26</v>
      </c>
      <c r="P136" s="26">
        <v>390</v>
      </c>
      <c r="Q136" s="49">
        <v>5070</v>
      </c>
      <c r="R136" s="26">
        <v>14</v>
      </c>
      <c r="S136" s="50">
        <v>1044.1052631578948</v>
      </c>
      <c r="T136" s="51">
        <v>34810.30526315789</v>
      </c>
      <c r="U136" s="26">
        <v>0</v>
      </c>
      <c r="V136" s="52">
        <v>0</v>
      </c>
      <c r="X136" s="78">
        <f t="shared" ref="X136:X195" si="2">(T136+V136)*0.8</f>
        <v>27848.244210526314</v>
      </c>
      <c r="Z136" s="27">
        <v>1082.6400000000001</v>
      </c>
    </row>
    <row r="137" spans="1:26" hidden="1" x14ac:dyDescent="0.3">
      <c r="A137" s="26">
        <v>2447</v>
      </c>
      <c r="B137" s="27" t="s">
        <v>333</v>
      </c>
      <c r="C137" s="27" t="s">
        <v>49</v>
      </c>
      <c r="D137" s="27">
        <v>0</v>
      </c>
      <c r="E137" s="27">
        <v>0</v>
      </c>
      <c r="F137" s="39">
        <v>0</v>
      </c>
      <c r="G137" s="26">
        <v>0</v>
      </c>
      <c r="H137" s="26">
        <v>0</v>
      </c>
      <c r="I137" s="29">
        <v>0</v>
      </c>
      <c r="J137" s="26">
        <v>43</v>
      </c>
      <c r="K137" s="26">
        <v>645</v>
      </c>
      <c r="L137" s="26">
        <v>0</v>
      </c>
      <c r="M137" s="26">
        <v>0</v>
      </c>
      <c r="N137" s="31">
        <v>47459.1</v>
      </c>
      <c r="O137" s="26">
        <v>30</v>
      </c>
      <c r="P137" s="26">
        <v>450</v>
      </c>
      <c r="Q137" s="49">
        <v>5850</v>
      </c>
      <c r="R137" s="26">
        <v>30</v>
      </c>
      <c r="S137" s="50">
        <v>2237.3684210526317</v>
      </c>
      <c r="T137" s="51">
        <v>55546.468421052632</v>
      </c>
      <c r="U137" s="26">
        <v>0</v>
      </c>
      <c r="V137" s="52">
        <v>0</v>
      </c>
      <c r="X137" s="78">
        <f t="shared" si="2"/>
        <v>44437.174736842106</v>
      </c>
      <c r="Z137" s="27">
        <v>2129.4</v>
      </c>
    </row>
    <row r="138" spans="1:26" hidden="1" x14ac:dyDescent="0.3">
      <c r="A138" s="26">
        <v>2449</v>
      </c>
      <c r="B138" s="27" t="s">
        <v>334</v>
      </c>
      <c r="C138" s="27" t="s">
        <v>49</v>
      </c>
      <c r="D138" s="27">
        <v>0</v>
      </c>
      <c r="E138" s="27">
        <v>0</v>
      </c>
      <c r="F138" s="39">
        <v>0</v>
      </c>
      <c r="G138" s="26">
        <v>0</v>
      </c>
      <c r="H138" s="26">
        <v>0</v>
      </c>
      <c r="I138" s="29">
        <v>0</v>
      </c>
      <c r="J138" s="26">
        <v>33</v>
      </c>
      <c r="K138" s="26">
        <v>495</v>
      </c>
      <c r="L138" s="26">
        <v>2</v>
      </c>
      <c r="M138" s="26">
        <v>30</v>
      </c>
      <c r="N138" s="31">
        <v>38629.5</v>
      </c>
      <c r="O138" s="26">
        <v>19</v>
      </c>
      <c r="P138" s="26">
        <v>270</v>
      </c>
      <c r="Q138" s="49">
        <v>3510</v>
      </c>
      <c r="R138" s="26">
        <v>18</v>
      </c>
      <c r="S138" s="50">
        <v>1342.421052631579</v>
      </c>
      <c r="T138" s="51">
        <v>43481.92105263158</v>
      </c>
      <c r="U138" s="26">
        <v>0</v>
      </c>
      <c r="V138" s="52">
        <v>0</v>
      </c>
      <c r="X138" s="78">
        <f t="shared" si="2"/>
        <v>34785.536842105263</v>
      </c>
      <c r="Z138" s="27">
        <v>2299.44</v>
      </c>
    </row>
    <row r="139" spans="1:26" hidden="1" x14ac:dyDescent="0.3">
      <c r="A139" s="26">
        <v>2450</v>
      </c>
      <c r="B139" s="27" t="s">
        <v>335</v>
      </c>
      <c r="C139" s="27" t="s">
        <v>49</v>
      </c>
      <c r="D139" s="27">
        <v>0</v>
      </c>
      <c r="E139" s="27">
        <v>0</v>
      </c>
      <c r="F139" s="39">
        <v>0</v>
      </c>
      <c r="G139" s="26">
        <v>0</v>
      </c>
      <c r="H139" s="26">
        <v>0</v>
      </c>
      <c r="I139" s="29">
        <v>0</v>
      </c>
      <c r="J139" s="26">
        <v>28</v>
      </c>
      <c r="K139" s="26">
        <v>420</v>
      </c>
      <c r="L139" s="26">
        <v>16</v>
      </c>
      <c r="M139" s="26">
        <v>240</v>
      </c>
      <c r="N139" s="31">
        <v>48562.8</v>
      </c>
      <c r="O139" s="26">
        <v>2</v>
      </c>
      <c r="P139" s="26">
        <v>30</v>
      </c>
      <c r="Q139" s="49">
        <v>390</v>
      </c>
      <c r="R139" s="26">
        <v>2</v>
      </c>
      <c r="S139" s="50">
        <v>149.15789473684211</v>
      </c>
      <c r="T139" s="51">
        <v>49101.957894736843</v>
      </c>
      <c r="U139" s="26">
        <v>0</v>
      </c>
      <c r="V139" s="52">
        <v>0</v>
      </c>
      <c r="X139" s="78">
        <f t="shared" si="2"/>
        <v>39281.566315789474</v>
      </c>
      <c r="Z139" s="27">
        <v>57.72</v>
      </c>
    </row>
    <row r="140" spans="1:26" hidden="1" x14ac:dyDescent="0.3">
      <c r="A140" s="26">
        <v>2453</v>
      </c>
      <c r="B140" s="27" t="s">
        <v>336</v>
      </c>
      <c r="C140" s="27" t="s">
        <v>49</v>
      </c>
      <c r="D140" s="27">
        <v>0</v>
      </c>
      <c r="E140" s="27">
        <v>0</v>
      </c>
      <c r="F140" s="39">
        <v>0</v>
      </c>
      <c r="G140" s="26">
        <v>0</v>
      </c>
      <c r="H140" s="26">
        <v>0</v>
      </c>
      <c r="I140" s="29">
        <v>0</v>
      </c>
      <c r="J140" s="26">
        <v>16</v>
      </c>
      <c r="K140" s="26">
        <v>240</v>
      </c>
      <c r="L140" s="26">
        <v>0</v>
      </c>
      <c r="M140" s="26">
        <v>0</v>
      </c>
      <c r="N140" s="31">
        <v>17659.2</v>
      </c>
      <c r="O140" s="26">
        <v>1</v>
      </c>
      <c r="P140" s="26">
        <v>15</v>
      </c>
      <c r="Q140" s="49">
        <v>195</v>
      </c>
      <c r="R140" s="26">
        <v>1</v>
      </c>
      <c r="S140" s="50">
        <v>74.578947368421055</v>
      </c>
      <c r="T140" s="51">
        <v>17928.778947368421</v>
      </c>
      <c r="U140" s="26">
        <v>0</v>
      </c>
      <c r="V140" s="52">
        <v>0</v>
      </c>
      <c r="X140" s="78">
        <f t="shared" si="2"/>
        <v>14343.023157894737</v>
      </c>
      <c r="Z140" s="27">
        <v>355.68</v>
      </c>
    </row>
    <row r="141" spans="1:26" hidden="1" x14ac:dyDescent="0.3">
      <c r="A141" s="26">
        <v>2454</v>
      </c>
      <c r="B141" s="27" t="s">
        <v>337</v>
      </c>
      <c r="C141" s="27" t="s">
        <v>27</v>
      </c>
      <c r="D141" s="27">
        <v>0</v>
      </c>
      <c r="E141" s="27">
        <v>0</v>
      </c>
      <c r="F141" s="39">
        <v>0</v>
      </c>
      <c r="G141" s="26">
        <v>0</v>
      </c>
      <c r="H141" s="26">
        <v>0</v>
      </c>
      <c r="I141" s="29">
        <v>0</v>
      </c>
      <c r="J141" s="26">
        <v>38</v>
      </c>
      <c r="K141" s="26">
        <v>570</v>
      </c>
      <c r="L141" s="26">
        <v>9</v>
      </c>
      <c r="M141" s="26">
        <v>135</v>
      </c>
      <c r="N141" s="31">
        <v>51873.9</v>
      </c>
      <c r="O141" s="26">
        <v>12</v>
      </c>
      <c r="P141" s="26">
        <v>180</v>
      </c>
      <c r="Q141" s="49">
        <v>2340</v>
      </c>
      <c r="R141" s="26">
        <v>12</v>
      </c>
      <c r="S141" s="50">
        <v>894.94736842105272</v>
      </c>
      <c r="T141" s="51">
        <v>55108.847368421055</v>
      </c>
      <c r="U141" s="26">
        <v>0</v>
      </c>
      <c r="V141" s="52">
        <v>0</v>
      </c>
      <c r="X141" s="78">
        <f t="shared" si="2"/>
        <v>44087.077894736845</v>
      </c>
      <c r="Z141" s="27">
        <v>2106</v>
      </c>
    </row>
    <row r="142" spans="1:26" hidden="1" x14ac:dyDescent="0.3">
      <c r="A142" s="26">
        <v>2455</v>
      </c>
      <c r="B142" s="27" t="s">
        <v>338</v>
      </c>
      <c r="C142" s="27" t="s">
        <v>49</v>
      </c>
      <c r="D142" s="27">
        <v>0</v>
      </c>
      <c r="E142" s="27">
        <v>0</v>
      </c>
      <c r="F142" s="39">
        <v>0</v>
      </c>
      <c r="G142" s="26">
        <v>0</v>
      </c>
      <c r="H142" s="26">
        <v>0</v>
      </c>
      <c r="I142" s="29">
        <v>0</v>
      </c>
      <c r="J142" s="26">
        <v>37</v>
      </c>
      <c r="K142" s="26">
        <v>555</v>
      </c>
      <c r="L142" s="26">
        <v>10</v>
      </c>
      <c r="M142" s="26">
        <v>150</v>
      </c>
      <c r="N142" s="31">
        <v>51873.9</v>
      </c>
      <c r="O142" s="26">
        <v>9</v>
      </c>
      <c r="P142" s="26">
        <v>135</v>
      </c>
      <c r="Q142" s="49">
        <v>1755</v>
      </c>
      <c r="R142" s="26">
        <v>8</v>
      </c>
      <c r="S142" s="50">
        <v>596.63157894736844</v>
      </c>
      <c r="T142" s="51">
        <v>54225.531578947368</v>
      </c>
      <c r="U142" s="26">
        <v>0</v>
      </c>
      <c r="V142" s="52">
        <v>0</v>
      </c>
      <c r="X142" s="78">
        <f t="shared" si="2"/>
        <v>43380.4252631579</v>
      </c>
      <c r="Z142" s="27">
        <v>772.2</v>
      </c>
    </row>
    <row r="143" spans="1:26" hidden="1" x14ac:dyDescent="0.3">
      <c r="A143" s="26">
        <v>2457</v>
      </c>
      <c r="B143" s="27" t="s">
        <v>339</v>
      </c>
      <c r="C143" s="27" t="s">
        <v>27</v>
      </c>
      <c r="D143" s="27">
        <v>0</v>
      </c>
      <c r="E143" s="27">
        <v>0</v>
      </c>
      <c r="F143" s="39">
        <v>0</v>
      </c>
      <c r="G143" s="26">
        <v>0</v>
      </c>
      <c r="H143" s="26">
        <v>0</v>
      </c>
      <c r="I143" s="29">
        <v>0</v>
      </c>
      <c r="J143" s="26">
        <v>25</v>
      </c>
      <c r="K143" s="26">
        <v>375</v>
      </c>
      <c r="L143" s="26">
        <v>0</v>
      </c>
      <c r="M143" s="26">
        <v>0</v>
      </c>
      <c r="N143" s="31">
        <v>27592.5</v>
      </c>
      <c r="O143" s="26">
        <v>13</v>
      </c>
      <c r="P143" s="26">
        <v>195</v>
      </c>
      <c r="Q143" s="49">
        <v>2535</v>
      </c>
      <c r="R143" s="26">
        <v>10</v>
      </c>
      <c r="S143" s="50">
        <v>745.78947368421052</v>
      </c>
      <c r="T143" s="51">
        <v>30873.28947368421</v>
      </c>
      <c r="U143" s="26">
        <v>0</v>
      </c>
      <c r="V143" s="52">
        <v>0</v>
      </c>
      <c r="X143" s="78">
        <f t="shared" si="2"/>
        <v>24698.63157894737</v>
      </c>
      <c r="Z143" s="27">
        <v>1308.8400000000001</v>
      </c>
    </row>
    <row r="144" spans="1:26" hidden="1" x14ac:dyDescent="0.3">
      <c r="A144" s="26">
        <v>2458</v>
      </c>
      <c r="B144" s="27" t="s">
        <v>340</v>
      </c>
      <c r="C144" s="27" t="s">
        <v>49</v>
      </c>
      <c r="D144" s="27">
        <v>0</v>
      </c>
      <c r="E144" s="27">
        <v>0</v>
      </c>
      <c r="F144" s="39">
        <v>0</v>
      </c>
      <c r="G144" s="26">
        <v>0</v>
      </c>
      <c r="H144" s="26">
        <v>0</v>
      </c>
      <c r="I144" s="29">
        <v>0</v>
      </c>
      <c r="J144" s="26">
        <v>48</v>
      </c>
      <c r="K144" s="26">
        <v>720</v>
      </c>
      <c r="L144" s="26">
        <v>0</v>
      </c>
      <c r="M144" s="26">
        <v>0</v>
      </c>
      <c r="N144" s="31">
        <v>52977.599999999999</v>
      </c>
      <c r="O144" s="26">
        <v>9</v>
      </c>
      <c r="P144" s="26">
        <v>135</v>
      </c>
      <c r="Q144" s="49">
        <v>1755</v>
      </c>
      <c r="R144" s="26">
        <v>1</v>
      </c>
      <c r="S144" s="50">
        <v>74.578947368421055</v>
      </c>
      <c r="T144" s="51">
        <v>54807.178947368418</v>
      </c>
      <c r="U144" s="26">
        <v>0</v>
      </c>
      <c r="V144" s="52">
        <v>0</v>
      </c>
      <c r="X144" s="78">
        <f t="shared" si="2"/>
        <v>43845.743157894736</v>
      </c>
      <c r="Z144" s="27">
        <v>556.91999999999996</v>
      </c>
    </row>
    <row r="145" spans="1:26" hidden="1" x14ac:dyDescent="0.3">
      <c r="A145" s="26">
        <v>2460</v>
      </c>
      <c r="B145" s="27" t="s">
        <v>341</v>
      </c>
      <c r="C145" s="27" t="s">
        <v>49</v>
      </c>
      <c r="D145" s="27">
        <v>0</v>
      </c>
      <c r="E145" s="27">
        <v>0</v>
      </c>
      <c r="F145" s="39">
        <v>0</v>
      </c>
      <c r="G145" s="26">
        <v>0</v>
      </c>
      <c r="H145" s="26">
        <v>0</v>
      </c>
      <c r="I145" s="29">
        <v>0</v>
      </c>
      <c r="J145" s="26">
        <v>18</v>
      </c>
      <c r="K145" s="26">
        <v>270</v>
      </c>
      <c r="L145" s="26">
        <v>3</v>
      </c>
      <c r="M145" s="26">
        <v>45</v>
      </c>
      <c r="N145" s="31">
        <v>23177.7</v>
      </c>
      <c r="O145" s="26">
        <v>6</v>
      </c>
      <c r="P145" s="26">
        <v>90</v>
      </c>
      <c r="Q145" s="49">
        <v>1170</v>
      </c>
      <c r="R145" s="26">
        <v>6</v>
      </c>
      <c r="S145" s="50">
        <v>447.47368421052636</v>
      </c>
      <c r="T145" s="51">
        <v>24795.173684210527</v>
      </c>
      <c r="U145" s="26">
        <v>0</v>
      </c>
      <c r="V145" s="52">
        <v>0</v>
      </c>
      <c r="X145" s="78">
        <f t="shared" si="2"/>
        <v>19836.138947368425</v>
      </c>
      <c r="Z145" s="27">
        <v>132.6</v>
      </c>
    </row>
    <row r="146" spans="1:26" hidden="1" x14ac:dyDescent="0.3">
      <c r="A146" s="26">
        <v>2463</v>
      </c>
      <c r="B146" s="27" t="s">
        <v>342</v>
      </c>
      <c r="C146" s="27" t="s">
        <v>49</v>
      </c>
      <c r="D146" s="27">
        <v>0</v>
      </c>
      <c r="E146" s="27">
        <v>0</v>
      </c>
      <c r="F146" s="39">
        <v>0</v>
      </c>
      <c r="G146" s="26">
        <v>0</v>
      </c>
      <c r="H146" s="26">
        <v>0</v>
      </c>
      <c r="I146" s="29">
        <v>0</v>
      </c>
      <c r="J146" s="26">
        <v>19</v>
      </c>
      <c r="K146" s="26">
        <v>285</v>
      </c>
      <c r="L146" s="26">
        <v>12</v>
      </c>
      <c r="M146" s="26">
        <v>180</v>
      </c>
      <c r="N146" s="31">
        <v>34214.699999999997</v>
      </c>
      <c r="O146" s="26">
        <v>0</v>
      </c>
      <c r="P146" s="26">
        <v>0</v>
      </c>
      <c r="Q146" s="49">
        <v>0</v>
      </c>
      <c r="R146" s="26">
        <v>0</v>
      </c>
      <c r="S146" s="50">
        <v>0</v>
      </c>
      <c r="T146" s="51">
        <v>34214.699999999997</v>
      </c>
      <c r="U146" s="26">
        <v>0</v>
      </c>
      <c r="V146" s="52">
        <v>0</v>
      </c>
      <c r="X146" s="78">
        <f t="shared" si="2"/>
        <v>27371.759999999998</v>
      </c>
      <c r="Z146" s="27">
        <v>12.48</v>
      </c>
    </row>
    <row r="147" spans="1:26" hidden="1" x14ac:dyDescent="0.3">
      <c r="A147" s="26">
        <v>2465</v>
      </c>
      <c r="B147" s="27" t="s">
        <v>51</v>
      </c>
      <c r="C147" s="27" t="s">
        <v>27</v>
      </c>
      <c r="D147" s="27">
        <v>0</v>
      </c>
      <c r="E147" s="27">
        <v>0</v>
      </c>
      <c r="F147" s="39">
        <v>0</v>
      </c>
      <c r="G147" s="26">
        <v>0</v>
      </c>
      <c r="H147" s="26">
        <v>0</v>
      </c>
      <c r="I147" s="29">
        <v>0</v>
      </c>
      <c r="J147" s="26">
        <v>23</v>
      </c>
      <c r="K147" s="26">
        <v>345</v>
      </c>
      <c r="L147" s="26">
        <v>0</v>
      </c>
      <c r="M147" s="26">
        <v>0</v>
      </c>
      <c r="N147" s="31">
        <v>25385.100000000002</v>
      </c>
      <c r="O147" s="26">
        <v>2</v>
      </c>
      <c r="P147" s="26">
        <v>30</v>
      </c>
      <c r="Q147" s="49">
        <v>390</v>
      </c>
      <c r="R147" s="26">
        <v>0</v>
      </c>
      <c r="S147" s="50">
        <v>0</v>
      </c>
      <c r="T147" s="51">
        <v>25775.100000000002</v>
      </c>
      <c r="U147" s="26">
        <v>0</v>
      </c>
      <c r="V147" s="52">
        <v>0</v>
      </c>
      <c r="X147" s="78">
        <f t="shared" si="2"/>
        <v>20620.080000000002</v>
      </c>
      <c r="Z147" s="27">
        <v>45.24</v>
      </c>
    </row>
    <row r="148" spans="1:26" hidden="1" x14ac:dyDescent="0.3">
      <c r="A148" s="26">
        <v>2466</v>
      </c>
      <c r="B148" s="27" t="s">
        <v>343</v>
      </c>
      <c r="C148" s="27" t="s">
        <v>27</v>
      </c>
      <c r="D148" s="27">
        <v>0</v>
      </c>
      <c r="E148" s="27">
        <v>0</v>
      </c>
      <c r="F148" s="39">
        <v>0</v>
      </c>
      <c r="G148" s="26">
        <v>0</v>
      </c>
      <c r="H148" s="26">
        <v>0</v>
      </c>
      <c r="I148" s="29">
        <v>0</v>
      </c>
      <c r="J148" s="26">
        <v>41</v>
      </c>
      <c r="K148" s="26">
        <v>615</v>
      </c>
      <c r="L148" s="26">
        <v>6</v>
      </c>
      <c r="M148" s="26">
        <v>90</v>
      </c>
      <c r="N148" s="31">
        <v>51873.9</v>
      </c>
      <c r="O148" s="26">
        <v>0</v>
      </c>
      <c r="P148" s="26">
        <v>0</v>
      </c>
      <c r="Q148" s="49">
        <v>0</v>
      </c>
      <c r="R148" s="26">
        <v>0</v>
      </c>
      <c r="S148" s="50">
        <v>0</v>
      </c>
      <c r="T148" s="51">
        <v>51873.9</v>
      </c>
      <c r="U148" s="26">
        <v>0</v>
      </c>
      <c r="V148" s="52">
        <v>0</v>
      </c>
      <c r="X148" s="78">
        <f t="shared" si="2"/>
        <v>41499.120000000003</v>
      </c>
      <c r="Z148" s="27">
        <v>861.11999999999989</v>
      </c>
    </row>
    <row r="149" spans="1:26" hidden="1" x14ac:dyDescent="0.3">
      <c r="A149" s="26">
        <v>2471</v>
      </c>
      <c r="B149" s="27" t="s">
        <v>344</v>
      </c>
      <c r="C149" s="27" t="s">
        <v>49</v>
      </c>
      <c r="D149" s="27">
        <v>0</v>
      </c>
      <c r="E149" s="27">
        <v>0</v>
      </c>
      <c r="F149" s="39">
        <v>0</v>
      </c>
      <c r="G149" s="26">
        <v>0</v>
      </c>
      <c r="H149" s="26">
        <v>0</v>
      </c>
      <c r="I149" s="29">
        <v>0</v>
      </c>
      <c r="J149" s="26">
        <v>34</v>
      </c>
      <c r="K149" s="26">
        <v>510</v>
      </c>
      <c r="L149" s="26">
        <v>0</v>
      </c>
      <c r="M149" s="26">
        <v>0</v>
      </c>
      <c r="N149" s="31">
        <v>37525.800000000003</v>
      </c>
      <c r="O149" s="26">
        <v>7</v>
      </c>
      <c r="P149" s="26">
        <v>105</v>
      </c>
      <c r="Q149" s="49">
        <v>1365</v>
      </c>
      <c r="R149" s="26">
        <v>0</v>
      </c>
      <c r="S149" s="50">
        <v>0</v>
      </c>
      <c r="T149" s="51">
        <v>38890.800000000003</v>
      </c>
      <c r="U149" s="26">
        <v>0</v>
      </c>
      <c r="V149" s="52">
        <v>0</v>
      </c>
      <c r="X149" s="78">
        <f t="shared" si="2"/>
        <v>31112.640000000003</v>
      </c>
      <c r="Z149" s="27">
        <v>1001.5200000000001</v>
      </c>
    </row>
    <row r="150" spans="1:26" hidden="1" x14ac:dyDescent="0.3">
      <c r="A150" s="26">
        <v>2478</v>
      </c>
      <c r="B150" s="27" t="s">
        <v>171</v>
      </c>
      <c r="C150" s="27" t="s">
        <v>27</v>
      </c>
      <c r="D150" s="27">
        <v>0</v>
      </c>
      <c r="E150" s="27">
        <v>0</v>
      </c>
      <c r="F150" s="39">
        <v>0</v>
      </c>
      <c r="G150" s="26">
        <v>0</v>
      </c>
      <c r="H150" s="26">
        <v>0</v>
      </c>
      <c r="I150" s="29">
        <v>0</v>
      </c>
      <c r="J150" s="26">
        <v>22</v>
      </c>
      <c r="K150" s="26">
        <v>330</v>
      </c>
      <c r="L150" s="26">
        <v>14</v>
      </c>
      <c r="M150" s="26">
        <v>210</v>
      </c>
      <c r="N150" s="31">
        <v>39733.200000000004</v>
      </c>
      <c r="O150" s="26">
        <v>0</v>
      </c>
      <c r="P150" s="26">
        <v>0</v>
      </c>
      <c r="Q150" s="49">
        <v>0</v>
      </c>
      <c r="R150" s="26">
        <v>0</v>
      </c>
      <c r="S150" s="50">
        <v>0</v>
      </c>
      <c r="T150" s="51">
        <v>39733.200000000004</v>
      </c>
      <c r="U150" s="26">
        <v>0</v>
      </c>
      <c r="V150" s="52">
        <v>0</v>
      </c>
      <c r="X150" s="78">
        <f t="shared" si="2"/>
        <v>31786.560000000005</v>
      </c>
      <c r="Z150" s="27">
        <v>12.48</v>
      </c>
    </row>
    <row r="151" spans="1:26" hidden="1" x14ac:dyDescent="0.3">
      <c r="A151" s="26">
        <v>2479</v>
      </c>
      <c r="B151" s="27" t="s">
        <v>34</v>
      </c>
      <c r="C151" s="27" t="s">
        <v>27</v>
      </c>
      <c r="D151" s="27">
        <v>0</v>
      </c>
      <c r="E151" s="27">
        <v>0</v>
      </c>
      <c r="F151" s="39">
        <v>0</v>
      </c>
      <c r="G151" s="26">
        <v>0</v>
      </c>
      <c r="H151" s="26">
        <v>0</v>
      </c>
      <c r="I151" s="29">
        <v>0</v>
      </c>
      <c r="J151" s="26">
        <v>56</v>
      </c>
      <c r="K151" s="26">
        <v>840</v>
      </c>
      <c r="L151" s="26">
        <v>5</v>
      </c>
      <c r="M151" s="26">
        <v>75</v>
      </c>
      <c r="N151" s="31">
        <v>67325.700000000012</v>
      </c>
      <c r="O151" s="26">
        <v>10</v>
      </c>
      <c r="P151" s="26">
        <v>150</v>
      </c>
      <c r="Q151" s="49">
        <v>1950</v>
      </c>
      <c r="R151" s="26">
        <v>9</v>
      </c>
      <c r="S151" s="50">
        <v>671.21052631578948</v>
      </c>
      <c r="T151" s="51">
        <v>69946.910526315798</v>
      </c>
      <c r="U151" s="26">
        <v>0</v>
      </c>
      <c r="V151" s="52">
        <v>0</v>
      </c>
      <c r="X151" s="78">
        <f t="shared" si="2"/>
        <v>55957.528421052644</v>
      </c>
      <c r="Z151" s="27">
        <v>3073.2000000000003</v>
      </c>
    </row>
    <row r="152" spans="1:26" hidden="1" x14ac:dyDescent="0.3">
      <c r="A152" s="26">
        <v>2480</v>
      </c>
      <c r="B152" s="27" t="s">
        <v>345</v>
      </c>
      <c r="C152" s="27" t="s">
        <v>49</v>
      </c>
      <c r="D152" s="27">
        <v>0</v>
      </c>
      <c r="E152" s="27">
        <v>0</v>
      </c>
      <c r="F152" s="39">
        <v>0</v>
      </c>
      <c r="G152" s="26">
        <v>0</v>
      </c>
      <c r="H152" s="26">
        <v>0</v>
      </c>
      <c r="I152" s="29">
        <v>0</v>
      </c>
      <c r="J152" s="26">
        <v>19</v>
      </c>
      <c r="K152" s="26">
        <v>285</v>
      </c>
      <c r="L152" s="26">
        <v>2</v>
      </c>
      <c r="M152" s="26">
        <v>30</v>
      </c>
      <c r="N152" s="31">
        <v>23177.7</v>
      </c>
      <c r="O152" s="26">
        <v>9</v>
      </c>
      <c r="P152" s="26">
        <v>135</v>
      </c>
      <c r="Q152" s="49">
        <v>1755</v>
      </c>
      <c r="R152" s="26">
        <v>0</v>
      </c>
      <c r="S152" s="50">
        <v>0</v>
      </c>
      <c r="T152" s="51">
        <v>24932.7</v>
      </c>
      <c r="U152" s="26">
        <v>0</v>
      </c>
      <c r="V152" s="52">
        <v>0</v>
      </c>
      <c r="X152" s="78">
        <f t="shared" si="2"/>
        <v>19946.160000000003</v>
      </c>
      <c r="Z152" s="27">
        <v>1522.5600000000002</v>
      </c>
    </row>
    <row r="153" spans="1:26" hidden="1" x14ac:dyDescent="0.3">
      <c r="A153" s="26">
        <v>2481</v>
      </c>
      <c r="B153" s="27" t="s">
        <v>346</v>
      </c>
      <c r="C153" s="27" t="s">
        <v>49</v>
      </c>
      <c r="D153" s="27">
        <v>0</v>
      </c>
      <c r="E153" s="27">
        <v>0</v>
      </c>
      <c r="F153" s="39">
        <v>0</v>
      </c>
      <c r="G153" s="26">
        <v>0</v>
      </c>
      <c r="H153" s="26">
        <v>0</v>
      </c>
      <c r="I153" s="29">
        <v>0</v>
      </c>
      <c r="J153" s="26">
        <v>44</v>
      </c>
      <c r="K153" s="26">
        <v>660</v>
      </c>
      <c r="L153" s="26">
        <v>3</v>
      </c>
      <c r="M153" s="26">
        <v>45</v>
      </c>
      <c r="N153" s="31">
        <v>51873.9</v>
      </c>
      <c r="O153" s="26">
        <v>19</v>
      </c>
      <c r="P153" s="26">
        <v>285</v>
      </c>
      <c r="Q153" s="49">
        <v>3705</v>
      </c>
      <c r="R153" s="26">
        <v>17</v>
      </c>
      <c r="S153" s="50">
        <v>1267.8421052631579</v>
      </c>
      <c r="T153" s="51">
        <v>56846.742105263162</v>
      </c>
      <c r="U153" s="26">
        <v>0</v>
      </c>
      <c r="V153" s="52">
        <v>0</v>
      </c>
      <c r="X153" s="78">
        <f t="shared" si="2"/>
        <v>45477.393684210532</v>
      </c>
      <c r="Z153" s="27">
        <v>552.24</v>
      </c>
    </row>
    <row r="154" spans="1:26" hidden="1" x14ac:dyDescent="0.3">
      <c r="A154" s="26">
        <v>2221</v>
      </c>
      <c r="B154" s="27" t="s">
        <v>347</v>
      </c>
      <c r="C154" s="27" t="s">
        <v>49</v>
      </c>
      <c r="D154" s="27">
        <v>0</v>
      </c>
      <c r="E154" s="27">
        <v>0</v>
      </c>
      <c r="F154" s="39">
        <v>0</v>
      </c>
      <c r="G154" s="26">
        <v>0</v>
      </c>
      <c r="H154" s="26">
        <v>0</v>
      </c>
      <c r="I154" s="29">
        <v>0</v>
      </c>
      <c r="J154" s="26">
        <v>32</v>
      </c>
      <c r="K154" s="26">
        <v>480</v>
      </c>
      <c r="L154" s="26">
        <v>0</v>
      </c>
      <c r="M154" s="26">
        <v>0</v>
      </c>
      <c r="N154" s="31">
        <v>35318.400000000001</v>
      </c>
      <c r="O154" s="26">
        <v>12</v>
      </c>
      <c r="P154" s="26">
        <v>180</v>
      </c>
      <c r="Q154" s="49">
        <v>2340</v>
      </c>
      <c r="R154" s="26">
        <v>0</v>
      </c>
      <c r="S154" s="50">
        <v>0</v>
      </c>
      <c r="T154" s="51">
        <v>37658.400000000001</v>
      </c>
      <c r="U154" s="26">
        <v>0</v>
      </c>
      <c r="V154" s="52">
        <v>0</v>
      </c>
      <c r="X154" s="78">
        <f t="shared" si="2"/>
        <v>30126.720000000001</v>
      </c>
      <c r="Z154" s="27">
        <v>382.20000000000005</v>
      </c>
    </row>
    <row r="155" spans="1:26" hidden="1" x14ac:dyDescent="0.3">
      <c r="A155" s="26">
        <v>2486</v>
      </c>
      <c r="B155" s="27" t="s">
        <v>75</v>
      </c>
      <c r="C155" s="27" t="s">
        <v>27</v>
      </c>
      <c r="D155" s="27">
        <v>0</v>
      </c>
      <c r="E155" s="27">
        <v>0</v>
      </c>
      <c r="F155" s="39">
        <v>0</v>
      </c>
      <c r="G155" s="26">
        <v>0</v>
      </c>
      <c r="H155" s="26">
        <v>0</v>
      </c>
      <c r="I155" s="29">
        <v>0</v>
      </c>
      <c r="J155" s="26">
        <v>13</v>
      </c>
      <c r="K155" s="26">
        <v>195</v>
      </c>
      <c r="L155" s="26">
        <v>0</v>
      </c>
      <c r="M155" s="26">
        <v>0</v>
      </c>
      <c r="N155" s="31">
        <v>14348.1</v>
      </c>
      <c r="O155" s="26">
        <v>6</v>
      </c>
      <c r="P155" s="26">
        <v>75</v>
      </c>
      <c r="Q155" s="49">
        <v>975</v>
      </c>
      <c r="R155" s="26">
        <v>4</v>
      </c>
      <c r="S155" s="50">
        <v>298.31578947368422</v>
      </c>
      <c r="T155" s="51">
        <v>15621.415789473685</v>
      </c>
      <c r="U155" s="26">
        <v>0</v>
      </c>
      <c r="V155" s="52">
        <v>0</v>
      </c>
      <c r="X155" s="78">
        <f t="shared" si="2"/>
        <v>12497.132631578948</v>
      </c>
      <c r="Z155" s="27">
        <v>1187.1599999999999</v>
      </c>
    </row>
    <row r="156" spans="1:26" hidden="1" x14ac:dyDescent="0.3">
      <c r="A156" s="26">
        <v>3002</v>
      </c>
      <c r="B156" s="27" t="s">
        <v>348</v>
      </c>
      <c r="C156" s="27" t="s">
        <v>27</v>
      </c>
      <c r="D156" s="27">
        <v>0</v>
      </c>
      <c r="E156" s="27">
        <v>0</v>
      </c>
      <c r="F156" s="39">
        <v>0</v>
      </c>
      <c r="G156" s="26">
        <v>0</v>
      </c>
      <c r="H156" s="26">
        <v>0</v>
      </c>
      <c r="I156" s="29">
        <v>0</v>
      </c>
      <c r="J156" s="26">
        <v>11</v>
      </c>
      <c r="K156" s="26">
        <v>165</v>
      </c>
      <c r="L156" s="26">
        <v>0</v>
      </c>
      <c r="M156" s="26">
        <v>0</v>
      </c>
      <c r="N156" s="31">
        <v>12140.7</v>
      </c>
      <c r="O156" s="26">
        <v>5</v>
      </c>
      <c r="P156" s="26">
        <v>75</v>
      </c>
      <c r="Q156" s="49">
        <v>975</v>
      </c>
      <c r="R156" s="26">
        <v>5</v>
      </c>
      <c r="S156" s="50">
        <v>372.89473684210526</v>
      </c>
      <c r="T156" s="51">
        <v>13488.594736842106</v>
      </c>
      <c r="U156" s="26">
        <v>0</v>
      </c>
      <c r="V156" s="52">
        <v>0</v>
      </c>
      <c r="X156" s="78">
        <f t="shared" si="2"/>
        <v>10790.875789473685</v>
      </c>
      <c r="Z156" s="27">
        <v>798.72</v>
      </c>
    </row>
    <row r="157" spans="1:26" hidden="1" x14ac:dyDescent="0.3">
      <c r="A157" s="26">
        <v>3015</v>
      </c>
      <c r="B157" s="27" t="s">
        <v>349</v>
      </c>
      <c r="C157" s="27" t="s">
        <v>49</v>
      </c>
      <c r="D157" s="27">
        <v>0</v>
      </c>
      <c r="E157" s="27">
        <v>0</v>
      </c>
      <c r="F157" s="39">
        <v>0</v>
      </c>
      <c r="G157" s="26">
        <v>0</v>
      </c>
      <c r="H157" s="26">
        <v>0</v>
      </c>
      <c r="I157" s="29">
        <v>0</v>
      </c>
      <c r="J157" s="26">
        <v>25</v>
      </c>
      <c r="K157" s="26">
        <v>375</v>
      </c>
      <c r="L157" s="26">
        <v>5</v>
      </c>
      <c r="M157" s="26">
        <v>75</v>
      </c>
      <c r="N157" s="31">
        <v>33111</v>
      </c>
      <c r="O157" s="26">
        <v>1</v>
      </c>
      <c r="P157" s="26">
        <v>0</v>
      </c>
      <c r="Q157" s="49">
        <v>0</v>
      </c>
      <c r="R157" s="26">
        <v>0</v>
      </c>
      <c r="S157" s="50">
        <v>0</v>
      </c>
      <c r="T157" s="51">
        <v>33111</v>
      </c>
      <c r="U157" s="26">
        <v>0</v>
      </c>
      <c r="V157" s="52">
        <v>0</v>
      </c>
      <c r="X157" s="78">
        <f t="shared" si="2"/>
        <v>26488.800000000003</v>
      </c>
      <c r="Z157" s="27">
        <v>539.76</v>
      </c>
    </row>
    <row r="158" spans="1:26" hidden="1" x14ac:dyDescent="0.3">
      <c r="A158" s="26">
        <v>3302</v>
      </c>
      <c r="B158" s="27" t="s">
        <v>350</v>
      </c>
      <c r="C158" s="27" t="s">
        <v>49</v>
      </c>
      <c r="D158" s="27">
        <v>0</v>
      </c>
      <c r="E158" s="27">
        <v>0</v>
      </c>
      <c r="F158" s="39">
        <v>0</v>
      </c>
      <c r="G158" s="26">
        <v>0</v>
      </c>
      <c r="H158" s="26">
        <v>0</v>
      </c>
      <c r="I158" s="29">
        <v>0</v>
      </c>
      <c r="J158" s="26">
        <v>36</v>
      </c>
      <c r="K158" s="26">
        <v>540</v>
      </c>
      <c r="L158" s="26">
        <v>15</v>
      </c>
      <c r="M158" s="26">
        <v>225</v>
      </c>
      <c r="N158" s="31">
        <v>56288.700000000004</v>
      </c>
      <c r="O158" s="26">
        <v>10</v>
      </c>
      <c r="P158" s="26">
        <v>120</v>
      </c>
      <c r="Q158" s="49">
        <v>1560</v>
      </c>
      <c r="R158" s="26">
        <v>8</v>
      </c>
      <c r="S158" s="50">
        <v>596.63157894736844</v>
      </c>
      <c r="T158" s="51">
        <v>58445.331578947371</v>
      </c>
      <c r="U158" s="26">
        <v>0</v>
      </c>
      <c r="V158" s="52">
        <v>0</v>
      </c>
      <c r="X158" s="78">
        <f t="shared" si="2"/>
        <v>46756.265263157897</v>
      </c>
      <c r="Z158" s="27">
        <v>751.92000000000007</v>
      </c>
    </row>
    <row r="159" spans="1:26" hidden="1" x14ac:dyDescent="0.3">
      <c r="A159" s="26">
        <v>3306</v>
      </c>
      <c r="B159" s="27" t="s">
        <v>351</v>
      </c>
      <c r="C159" s="27" t="s">
        <v>49</v>
      </c>
      <c r="D159" s="27">
        <v>0</v>
      </c>
      <c r="E159" s="27">
        <v>0</v>
      </c>
      <c r="F159" s="39">
        <v>0</v>
      </c>
      <c r="G159" s="26">
        <v>0</v>
      </c>
      <c r="H159" s="26">
        <v>0</v>
      </c>
      <c r="I159" s="29">
        <v>0</v>
      </c>
      <c r="J159" s="26">
        <v>35</v>
      </c>
      <c r="K159" s="26">
        <v>525</v>
      </c>
      <c r="L159" s="26">
        <v>0</v>
      </c>
      <c r="M159" s="26">
        <v>0</v>
      </c>
      <c r="N159" s="31">
        <v>38629.5</v>
      </c>
      <c r="O159" s="26">
        <v>0</v>
      </c>
      <c r="P159" s="26">
        <v>0</v>
      </c>
      <c r="Q159" s="49">
        <v>0</v>
      </c>
      <c r="R159" s="26">
        <v>0</v>
      </c>
      <c r="S159" s="50">
        <v>0</v>
      </c>
      <c r="T159" s="51">
        <v>38629.5</v>
      </c>
      <c r="U159" s="26">
        <v>0</v>
      </c>
      <c r="V159" s="52">
        <v>0</v>
      </c>
      <c r="X159" s="78">
        <f t="shared" si="2"/>
        <v>30903.600000000002</v>
      </c>
      <c r="Z159" s="27">
        <v>407.16000000000008</v>
      </c>
    </row>
    <row r="160" spans="1:26" hidden="1" x14ac:dyDescent="0.3">
      <c r="A160" s="26">
        <v>3310</v>
      </c>
      <c r="B160" s="27" t="s">
        <v>217</v>
      </c>
      <c r="C160" s="27" t="s">
        <v>49</v>
      </c>
      <c r="D160" s="27">
        <v>0</v>
      </c>
      <c r="E160" s="27">
        <v>0</v>
      </c>
      <c r="F160" s="39">
        <v>0</v>
      </c>
      <c r="G160" s="26">
        <v>0</v>
      </c>
      <c r="H160" s="26">
        <v>0</v>
      </c>
      <c r="I160" s="29">
        <v>0</v>
      </c>
      <c r="J160" s="26">
        <v>17</v>
      </c>
      <c r="K160" s="26">
        <v>255</v>
      </c>
      <c r="L160" s="26">
        <v>0</v>
      </c>
      <c r="M160" s="26">
        <v>0</v>
      </c>
      <c r="N160" s="31">
        <v>18762.900000000001</v>
      </c>
      <c r="O160" s="26">
        <v>10</v>
      </c>
      <c r="P160" s="26">
        <v>150</v>
      </c>
      <c r="Q160" s="49">
        <v>1950</v>
      </c>
      <c r="R160" s="26">
        <v>8</v>
      </c>
      <c r="S160" s="50">
        <v>596.63157894736844</v>
      </c>
      <c r="T160" s="51">
        <f>I160+N160+Q160+F160+S160</f>
        <v>21309.531578947372</v>
      </c>
      <c r="U160" s="26">
        <v>0</v>
      </c>
      <c r="V160" s="52">
        <v>0</v>
      </c>
      <c r="X160" s="78">
        <f t="shared" si="2"/>
        <v>17047.625263157897</v>
      </c>
      <c r="Z160" s="27">
        <v>1212.1199999999999</v>
      </c>
    </row>
    <row r="161" spans="1:26" hidden="1" x14ac:dyDescent="0.3">
      <c r="A161" s="26">
        <v>3311</v>
      </c>
      <c r="B161" s="27" t="s">
        <v>352</v>
      </c>
      <c r="C161" s="27" t="s">
        <v>49</v>
      </c>
      <c r="D161" s="27">
        <v>0</v>
      </c>
      <c r="E161" s="27">
        <v>0</v>
      </c>
      <c r="F161" s="39">
        <v>0</v>
      </c>
      <c r="G161" s="26">
        <v>0</v>
      </c>
      <c r="H161" s="26">
        <v>0</v>
      </c>
      <c r="I161" s="29">
        <v>0</v>
      </c>
      <c r="J161" s="26">
        <v>34</v>
      </c>
      <c r="K161" s="26">
        <v>510</v>
      </c>
      <c r="L161" s="26">
        <v>2</v>
      </c>
      <c r="M161" s="26">
        <v>30</v>
      </c>
      <c r="N161" s="31">
        <v>39733.200000000004</v>
      </c>
      <c r="O161" s="26">
        <v>10</v>
      </c>
      <c r="P161" s="26">
        <v>150</v>
      </c>
      <c r="Q161" s="49">
        <v>1950</v>
      </c>
      <c r="R161" s="26">
        <v>10</v>
      </c>
      <c r="S161" s="50">
        <v>745.78947368421052</v>
      </c>
      <c r="T161" s="51">
        <v>42428.989473684218</v>
      </c>
      <c r="U161" s="26">
        <v>0</v>
      </c>
      <c r="V161" s="52">
        <v>0</v>
      </c>
      <c r="X161" s="78">
        <f t="shared" si="2"/>
        <v>33943.191578947379</v>
      </c>
      <c r="Z161" s="27">
        <v>2422.6799999999998</v>
      </c>
    </row>
    <row r="162" spans="1:26" hidden="1" x14ac:dyDescent="0.3">
      <c r="A162" s="26">
        <v>3314</v>
      </c>
      <c r="B162" s="27" t="s">
        <v>353</v>
      </c>
      <c r="C162" s="27" t="s">
        <v>49</v>
      </c>
      <c r="D162" s="27">
        <v>0</v>
      </c>
      <c r="E162" s="27">
        <v>0</v>
      </c>
      <c r="F162" s="39">
        <v>0</v>
      </c>
      <c r="G162" s="26">
        <v>0</v>
      </c>
      <c r="H162" s="26">
        <v>0</v>
      </c>
      <c r="I162" s="29">
        <v>0</v>
      </c>
      <c r="J162" s="26">
        <v>26</v>
      </c>
      <c r="K162" s="26">
        <v>390</v>
      </c>
      <c r="L162" s="26">
        <v>3</v>
      </c>
      <c r="M162" s="26">
        <v>45</v>
      </c>
      <c r="N162" s="31">
        <v>32007.3</v>
      </c>
      <c r="O162" s="26">
        <v>6</v>
      </c>
      <c r="P162" s="26">
        <v>90</v>
      </c>
      <c r="Q162" s="49">
        <v>1170</v>
      </c>
      <c r="R162" s="26">
        <v>6</v>
      </c>
      <c r="S162" s="50">
        <v>447.47368421052636</v>
      </c>
      <c r="T162" s="51">
        <v>33624.77368421053</v>
      </c>
      <c r="U162" s="26">
        <v>0</v>
      </c>
      <c r="V162" s="52">
        <v>0</v>
      </c>
      <c r="X162" s="78">
        <f t="shared" si="2"/>
        <v>26899.818947368425</v>
      </c>
      <c r="Z162" s="27">
        <v>1319.7600000000002</v>
      </c>
    </row>
    <row r="163" spans="1:26" hidden="1" x14ac:dyDescent="0.3">
      <c r="A163" s="26">
        <v>3317</v>
      </c>
      <c r="B163" s="27" t="s">
        <v>95</v>
      </c>
      <c r="C163" s="27" t="s">
        <v>27</v>
      </c>
      <c r="D163" s="27">
        <v>0</v>
      </c>
      <c r="E163" s="27">
        <v>0</v>
      </c>
      <c r="F163" s="39">
        <v>0</v>
      </c>
      <c r="G163" s="26">
        <v>0</v>
      </c>
      <c r="H163" s="26">
        <v>0</v>
      </c>
      <c r="I163" s="29">
        <v>0</v>
      </c>
      <c r="J163" s="26">
        <v>20</v>
      </c>
      <c r="K163" s="26">
        <v>300</v>
      </c>
      <c r="L163" s="26">
        <v>2</v>
      </c>
      <c r="M163" s="26">
        <v>30</v>
      </c>
      <c r="N163" s="31">
        <v>24281.4</v>
      </c>
      <c r="O163" s="26">
        <v>5</v>
      </c>
      <c r="P163" s="26">
        <v>75</v>
      </c>
      <c r="Q163" s="49">
        <v>975</v>
      </c>
      <c r="R163" s="26">
        <v>5</v>
      </c>
      <c r="S163" s="50">
        <v>372.89473684210526</v>
      </c>
      <c r="T163" s="51">
        <v>25629.294736842108</v>
      </c>
      <c r="U163" s="26">
        <v>0</v>
      </c>
      <c r="V163" s="52">
        <v>0</v>
      </c>
      <c r="X163" s="78">
        <f t="shared" si="2"/>
        <v>20503.43578947369</v>
      </c>
      <c r="Z163" s="27">
        <v>182.52000000000004</v>
      </c>
    </row>
    <row r="164" spans="1:26" hidden="1" x14ac:dyDescent="0.3">
      <c r="A164" s="26">
        <v>3319</v>
      </c>
      <c r="B164" s="27" t="s">
        <v>61</v>
      </c>
      <c r="C164" s="27" t="s">
        <v>27</v>
      </c>
      <c r="D164" s="27">
        <v>0</v>
      </c>
      <c r="E164" s="27">
        <v>0</v>
      </c>
      <c r="F164" s="39">
        <v>0</v>
      </c>
      <c r="G164" s="26">
        <v>0</v>
      </c>
      <c r="H164" s="26">
        <v>0</v>
      </c>
      <c r="I164" s="29">
        <v>0</v>
      </c>
      <c r="J164" s="26">
        <v>32</v>
      </c>
      <c r="K164" s="26">
        <v>480</v>
      </c>
      <c r="L164" s="26">
        <v>10</v>
      </c>
      <c r="M164" s="26">
        <v>150</v>
      </c>
      <c r="N164" s="31">
        <v>46355.4</v>
      </c>
      <c r="O164" s="26">
        <v>17</v>
      </c>
      <c r="P164" s="26">
        <v>255</v>
      </c>
      <c r="Q164" s="49">
        <v>3315</v>
      </c>
      <c r="R164" s="26">
        <v>17</v>
      </c>
      <c r="S164" s="50">
        <v>1267.8421052631579</v>
      </c>
      <c r="T164" s="51">
        <v>50938.242105263162</v>
      </c>
      <c r="U164" s="26">
        <v>0</v>
      </c>
      <c r="V164" s="52">
        <v>0</v>
      </c>
      <c r="X164" s="78">
        <f t="shared" si="2"/>
        <v>40750.593684210529</v>
      </c>
      <c r="Z164" s="27">
        <v>1419.6000000000001</v>
      </c>
    </row>
    <row r="165" spans="1:26" hidden="1" x14ac:dyDescent="0.3">
      <c r="A165" s="26">
        <v>3322</v>
      </c>
      <c r="B165" s="27" t="s">
        <v>111</v>
      </c>
      <c r="C165" s="27" t="s">
        <v>49</v>
      </c>
      <c r="D165" s="27">
        <v>0</v>
      </c>
      <c r="E165" s="27">
        <v>0</v>
      </c>
      <c r="F165" s="39">
        <v>0</v>
      </c>
      <c r="G165" s="26">
        <v>0</v>
      </c>
      <c r="H165" s="26">
        <v>0</v>
      </c>
      <c r="I165" s="29">
        <v>0</v>
      </c>
      <c r="J165" s="26">
        <v>16</v>
      </c>
      <c r="K165" s="26">
        <v>240</v>
      </c>
      <c r="L165" s="26">
        <v>5</v>
      </c>
      <c r="M165" s="26">
        <v>75</v>
      </c>
      <c r="N165" s="31">
        <v>23177.7</v>
      </c>
      <c r="O165" s="26">
        <v>3</v>
      </c>
      <c r="P165" s="26">
        <v>45</v>
      </c>
      <c r="Q165" s="49">
        <v>585</v>
      </c>
      <c r="R165" s="26">
        <v>3</v>
      </c>
      <c r="S165" s="50">
        <v>223.73684210526318</v>
      </c>
      <c r="T165" s="51">
        <v>23986.436842105264</v>
      </c>
      <c r="U165" s="26">
        <v>0</v>
      </c>
      <c r="V165" s="52">
        <v>0</v>
      </c>
      <c r="X165" s="78">
        <f t="shared" si="2"/>
        <v>19189.149473684211</v>
      </c>
      <c r="Z165" s="27">
        <v>140.4</v>
      </c>
    </row>
    <row r="166" spans="1:26" hidden="1" x14ac:dyDescent="0.3">
      <c r="A166" s="26">
        <v>3323</v>
      </c>
      <c r="B166" s="27" t="s">
        <v>354</v>
      </c>
      <c r="C166" s="27" t="s">
        <v>49</v>
      </c>
      <c r="D166" s="27">
        <v>0</v>
      </c>
      <c r="E166" s="27">
        <v>0</v>
      </c>
      <c r="F166" s="39">
        <v>0</v>
      </c>
      <c r="G166" s="26">
        <v>0</v>
      </c>
      <c r="H166" s="26">
        <v>0</v>
      </c>
      <c r="I166" s="29">
        <v>0</v>
      </c>
      <c r="J166" s="26">
        <v>13</v>
      </c>
      <c r="K166" s="26">
        <v>195</v>
      </c>
      <c r="L166" s="26">
        <v>0</v>
      </c>
      <c r="M166" s="26">
        <v>0</v>
      </c>
      <c r="N166" s="31">
        <v>14348.1</v>
      </c>
      <c r="O166" s="26">
        <v>4</v>
      </c>
      <c r="P166" s="26">
        <v>60</v>
      </c>
      <c r="Q166" s="49">
        <v>780</v>
      </c>
      <c r="R166" s="26">
        <v>4</v>
      </c>
      <c r="S166" s="50">
        <v>298.31578947368422</v>
      </c>
      <c r="T166" s="51">
        <v>15426.415789473685</v>
      </c>
      <c r="U166" s="26">
        <v>0</v>
      </c>
      <c r="V166" s="52">
        <v>0</v>
      </c>
      <c r="X166" s="78">
        <f t="shared" si="2"/>
        <v>12341.132631578948</v>
      </c>
      <c r="Z166" s="27">
        <v>678.6</v>
      </c>
    </row>
    <row r="167" spans="1:26" hidden="1" x14ac:dyDescent="0.3">
      <c r="A167" s="26">
        <v>3325</v>
      </c>
      <c r="B167" s="27" t="s">
        <v>355</v>
      </c>
      <c r="C167" s="27" t="s">
        <v>49</v>
      </c>
      <c r="D167" s="27">
        <v>0</v>
      </c>
      <c r="E167" s="27">
        <v>0</v>
      </c>
      <c r="F167" s="39">
        <v>0</v>
      </c>
      <c r="G167" s="26">
        <v>0</v>
      </c>
      <c r="H167" s="26">
        <v>0</v>
      </c>
      <c r="I167" s="29">
        <v>0</v>
      </c>
      <c r="J167" s="26">
        <v>17</v>
      </c>
      <c r="K167" s="26">
        <v>255</v>
      </c>
      <c r="L167" s="26">
        <v>0</v>
      </c>
      <c r="M167" s="26">
        <v>0</v>
      </c>
      <c r="N167" s="31">
        <v>18762.900000000001</v>
      </c>
      <c r="O167" s="26">
        <v>5</v>
      </c>
      <c r="P167" s="26">
        <v>75</v>
      </c>
      <c r="Q167" s="49">
        <v>975</v>
      </c>
      <c r="R167" s="26">
        <v>5</v>
      </c>
      <c r="S167" s="50">
        <v>372.89473684210526</v>
      </c>
      <c r="T167" s="51">
        <v>20110.794736842108</v>
      </c>
      <c r="U167" s="26">
        <v>0</v>
      </c>
      <c r="V167" s="52">
        <v>0</v>
      </c>
      <c r="X167" s="78">
        <f t="shared" si="2"/>
        <v>16088.635789473687</v>
      </c>
      <c r="Z167" s="27">
        <v>124.80000000000001</v>
      </c>
    </row>
    <row r="168" spans="1:26" hidden="1" x14ac:dyDescent="0.3">
      <c r="A168" s="26">
        <v>3328</v>
      </c>
      <c r="B168" s="27" t="s">
        <v>356</v>
      </c>
      <c r="C168" s="27" t="s">
        <v>27</v>
      </c>
      <c r="D168" s="27">
        <v>0</v>
      </c>
      <c r="E168" s="27">
        <v>0</v>
      </c>
      <c r="F168" s="39">
        <v>0</v>
      </c>
      <c r="G168" s="26">
        <v>0</v>
      </c>
      <c r="H168" s="26">
        <v>0</v>
      </c>
      <c r="I168" s="29">
        <v>0</v>
      </c>
      <c r="J168" s="26">
        <v>12</v>
      </c>
      <c r="K168" s="26">
        <v>180</v>
      </c>
      <c r="L168" s="26">
        <v>0</v>
      </c>
      <c r="M168" s="26">
        <v>0</v>
      </c>
      <c r="N168" s="31">
        <v>13244.4</v>
      </c>
      <c r="O168" s="26">
        <v>3</v>
      </c>
      <c r="P168" s="26">
        <v>45</v>
      </c>
      <c r="Q168" s="49">
        <v>585</v>
      </c>
      <c r="R168" s="26">
        <v>3</v>
      </c>
      <c r="S168" s="50">
        <v>223.73684210526318</v>
      </c>
      <c r="T168" s="51">
        <v>14053.136842105263</v>
      </c>
      <c r="U168" s="26">
        <v>0</v>
      </c>
      <c r="V168" s="52">
        <v>0</v>
      </c>
      <c r="X168" s="78">
        <f t="shared" si="2"/>
        <v>11242.509473684211</v>
      </c>
      <c r="Z168" s="27">
        <v>235.56</v>
      </c>
    </row>
    <row r="169" spans="1:26" hidden="1" x14ac:dyDescent="0.3">
      <c r="A169" s="26">
        <v>3329</v>
      </c>
      <c r="B169" s="27" t="s">
        <v>209</v>
      </c>
      <c r="C169" s="27" t="s">
        <v>49</v>
      </c>
      <c r="D169" s="27">
        <v>0</v>
      </c>
      <c r="E169" s="27">
        <v>0</v>
      </c>
      <c r="F169" s="39">
        <v>0</v>
      </c>
      <c r="G169" s="26">
        <v>0</v>
      </c>
      <c r="H169" s="26">
        <v>0</v>
      </c>
      <c r="I169" s="29">
        <v>0</v>
      </c>
      <c r="J169" s="26">
        <v>26</v>
      </c>
      <c r="K169" s="26">
        <v>390</v>
      </c>
      <c r="L169" s="26">
        <v>4</v>
      </c>
      <c r="M169" s="26">
        <v>60</v>
      </c>
      <c r="N169" s="31">
        <v>33111</v>
      </c>
      <c r="O169" s="26">
        <v>2</v>
      </c>
      <c r="P169" s="26">
        <v>30</v>
      </c>
      <c r="Q169" s="49">
        <v>390</v>
      </c>
      <c r="R169" s="26">
        <v>2</v>
      </c>
      <c r="S169" s="50">
        <v>149.15789473684211</v>
      </c>
      <c r="T169" s="51">
        <v>33650.15789473684</v>
      </c>
      <c r="U169" s="26">
        <v>0</v>
      </c>
      <c r="V169" s="52">
        <v>0</v>
      </c>
      <c r="X169" s="78">
        <f t="shared" si="2"/>
        <v>26920.126315789472</v>
      </c>
      <c r="Z169" s="27">
        <v>405.6</v>
      </c>
    </row>
    <row r="170" spans="1:26" hidden="1" x14ac:dyDescent="0.3">
      <c r="A170" s="26">
        <v>3330</v>
      </c>
      <c r="B170" s="27" t="s">
        <v>357</v>
      </c>
      <c r="C170" s="27" t="s">
        <v>49</v>
      </c>
      <c r="D170" s="27">
        <v>0</v>
      </c>
      <c r="E170" s="27">
        <v>0</v>
      </c>
      <c r="F170" s="39">
        <v>0</v>
      </c>
      <c r="G170" s="26">
        <v>0</v>
      </c>
      <c r="H170" s="26">
        <v>0</v>
      </c>
      <c r="I170" s="29">
        <v>0</v>
      </c>
      <c r="J170" s="26">
        <v>32</v>
      </c>
      <c r="K170" s="26">
        <v>480</v>
      </c>
      <c r="L170" s="26">
        <v>10</v>
      </c>
      <c r="M170" s="26">
        <v>150</v>
      </c>
      <c r="N170" s="31">
        <v>46355.4</v>
      </c>
      <c r="O170" s="26">
        <v>0</v>
      </c>
      <c r="P170" s="26">
        <v>0</v>
      </c>
      <c r="Q170" s="49">
        <v>0</v>
      </c>
      <c r="R170" s="26">
        <v>0</v>
      </c>
      <c r="S170" s="50">
        <v>0</v>
      </c>
      <c r="T170" s="51">
        <v>46355.4</v>
      </c>
      <c r="U170" s="26">
        <v>0</v>
      </c>
      <c r="V170" s="52">
        <v>0</v>
      </c>
      <c r="X170" s="78">
        <f t="shared" si="2"/>
        <v>37084.32</v>
      </c>
      <c r="Z170" s="27">
        <v>1120.08</v>
      </c>
    </row>
    <row r="171" spans="1:26" hidden="1" x14ac:dyDescent="0.3">
      <c r="A171" s="26">
        <v>3331</v>
      </c>
      <c r="B171" s="27" t="s">
        <v>358</v>
      </c>
      <c r="C171" s="27" t="s">
        <v>27</v>
      </c>
      <c r="D171" s="27">
        <v>0</v>
      </c>
      <c r="E171" s="27">
        <v>0</v>
      </c>
      <c r="F171" s="39">
        <v>0</v>
      </c>
      <c r="G171" s="26">
        <v>0</v>
      </c>
      <c r="H171" s="26">
        <v>0</v>
      </c>
      <c r="I171" s="29">
        <v>0</v>
      </c>
      <c r="J171" s="26">
        <v>22</v>
      </c>
      <c r="K171" s="26">
        <v>330</v>
      </c>
      <c r="L171" s="26">
        <v>4</v>
      </c>
      <c r="M171" s="26">
        <v>60</v>
      </c>
      <c r="N171" s="31">
        <v>28696.2</v>
      </c>
      <c r="O171" s="26">
        <v>5</v>
      </c>
      <c r="P171" s="26">
        <v>75</v>
      </c>
      <c r="Q171" s="49">
        <v>975</v>
      </c>
      <c r="R171" s="26">
        <v>5</v>
      </c>
      <c r="S171" s="50">
        <v>372.89473684210526</v>
      </c>
      <c r="T171" s="51">
        <v>30044.094736842108</v>
      </c>
      <c r="U171" s="26">
        <v>0</v>
      </c>
      <c r="V171" s="52">
        <v>0</v>
      </c>
      <c r="X171" s="78">
        <f t="shared" si="2"/>
        <v>24035.275789473686</v>
      </c>
      <c r="Z171" s="27">
        <v>786.24000000000012</v>
      </c>
    </row>
    <row r="172" spans="1:26" ht="14.5" hidden="1" x14ac:dyDescent="0.35">
      <c r="A172" s="26">
        <v>3346</v>
      </c>
      <c r="B172" t="s">
        <v>213</v>
      </c>
      <c r="C172" s="27" t="s">
        <v>27</v>
      </c>
      <c r="D172" s="27">
        <v>0</v>
      </c>
      <c r="E172" s="27">
        <v>0</v>
      </c>
      <c r="F172" s="39">
        <v>0</v>
      </c>
      <c r="G172" s="26">
        <v>0</v>
      </c>
      <c r="H172" s="26">
        <v>0</v>
      </c>
      <c r="I172" s="29">
        <v>0</v>
      </c>
      <c r="J172" s="26">
        <v>24</v>
      </c>
      <c r="K172" s="26">
        <v>360</v>
      </c>
      <c r="L172" s="26">
        <v>1</v>
      </c>
      <c r="M172" s="26">
        <v>15</v>
      </c>
      <c r="N172" s="31">
        <v>27592.5</v>
      </c>
      <c r="O172" s="26">
        <v>9</v>
      </c>
      <c r="P172" s="26">
        <v>105</v>
      </c>
      <c r="Q172" s="49">
        <v>1365</v>
      </c>
      <c r="R172" s="26">
        <v>7</v>
      </c>
      <c r="S172" s="50">
        <v>522.0526315789474</v>
      </c>
      <c r="T172" s="51">
        <v>29479.552631578947</v>
      </c>
      <c r="U172" s="26">
        <v>0</v>
      </c>
      <c r="V172" s="52">
        <v>0</v>
      </c>
      <c r="X172" s="78">
        <f t="shared" si="2"/>
        <v>23583.642105263159</v>
      </c>
      <c r="Z172" s="27">
        <v>1179.3600000000001</v>
      </c>
    </row>
    <row r="173" spans="1:26" hidden="1" x14ac:dyDescent="0.3">
      <c r="A173" s="26">
        <v>3351</v>
      </c>
      <c r="B173" s="27" t="s">
        <v>359</v>
      </c>
      <c r="C173" s="27" t="s">
        <v>27</v>
      </c>
      <c r="D173" s="27">
        <v>0</v>
      </c>
      <c r="E173" s="27">
        <v>0</v>
      </c>
      <c r="F173" s="39">
        <v>0</v>
      </c>
      <c r="G173" s="26">
        <v>0</v>
      </c>
      <c r="H173" s="26">
        <v>0</v>
      </c>
      <c r="I173" s="29">
        <v>0</v>
      </c>
      <c r="J173" s="26">
        <v>21</v>
      </c>
      <c r="K173" s="26">
        <v>315</v>
      </c>
      <c r="L173" s="26">
        <v>0</v>
      </c>
      <c r="M173" s="26">
        <v>0</v>
      </c>
      <c r="N173" s="31">
        <v>23177.7</v>
      </c>
      <c r="O173" s="26">
        <v>12</v>
      </c>
      <c r="P173" s="26">
        <v>165</v>
      </c>
      <c r="Q173" s="49">
        <v>2145</v>
      </c>
      <c r="R173" s="26">
        <v>11</v>
      </c>
      <c r="S173" s="50">
        <v>820.36842105263156</v>
      </c>
      <c r="T173" s="51">
        <v>26143.068421052631</v>
      </c>
      <c r="U173" s="26">
        <v>0</v>
      </c>
      <c r="V173" s="52">
        <v>0</v>
      </c>
      <c r="X173" s="78">
        <f t="shared" si="2"/>
        <v>20914.454736842104</v>
      </c>
      <c r="Z173" s="27">
        <v>837.72000000000014</v>
      </c>
    </row>
    <row r="174" spans="1:26" hidden="1" x14ac:dyDescent="0.3">
      <c r="A174" s="26">
        <v>3352</v>
      </c>
      <c r="B174" s="27" t="s">
        <v>360</v>
      </c>
      <c r="C174" s="27" t="s">
        <v>27</v>
      </c>
      <c r="D174" s="27">
        <v>0</v>
      </c>
      <c r="E174" s="27">
        <v>0</v>
      </c>
      <c r="F174" s="39">
        <v>0</v>
      </c>
      <c r="G174" s="26">
        <v>0</v>
      </c>
      <c r="H174" s="26">
        <v>0</v>
      </c>
      <c r="I174" s="29">
        <v>0</v>
      </c>
      <c r="J174" s="26">
        <v>8</v>
      </c>
      <c r="K174" s="26">
        <v>120</v>
      </c>
      <c r="L174" s="26">
        <v>0</v>
      </c>
      <c r="M174" s="26">
        <v>0</v>
      </c>
      <c r="N174" s="31">
        <v>8829.6</v>
      </c>
      <c r="O174" s="26">
        <v>0</v>
      </c>
      <c r="P174" s="26">
        <v>0</v>
      </c>
      <c r="Q174" s="49">
        <v>0</v>
      </c>
      <c r="R174" s="26">
        <v>0</v>
      </c>
      <c r="S174" s="50">
        <v>0</v>
      </c>
      <c r="T174" s="51">
        <v>8829.6</v>
      </c>
      <c r="U174" s="26">
        <v>0</v>
      </c>
      <c r="V174" s="52">
        <v>0</v>
      </c>
      <c r="X174" s="78">
        <f t="shared" si="2"/>
        <v>7063.68</v>
      </c>
      <c r="Z174" s="27">
        <v>90.48</v>
      </c>
    </row>
    <row r="175" spans="1:26" hidden="1" x14ac:dyDescent="0.3">
      <c r="A175" s="26">
        <v>3359</v>
      </c>
      <c r="B175" s="27" t="s">
        <v>403</v>
      </c>
      <c r="C175" s="27" t="s">
        <v>49</v>
      </c>
      <c r="D175" s="27">
        <v>0</v>
      </c>
      <c r="E175" s="27">
        <v>0</v>
      </c>
      <c r="F175" s="39">
        <v>0</v>
      </c>
      <c r="G175" s="26">
        <v>0</v>
      </c>
      <c r="H175" s="26">
        <v>0</v>
      </c>
      <c r="I175" s="29">
        <v>0</v>
      </c>
      <c r="J175" s="26">
        <v>16</v>
      </c>
      <c r="K175" s="26">
        <v>240</v>
      </c>
      <c r="L175" s="26">
        <v>0</v>
      </c>
      <c r="M175" s="26">
        <v>0</v>
      </c>
      <c r="N175" s="31">
        <v>17659.2</v>
      </c>
      <c r="O175" s="26">
        <v>0</v>
      </c>
      <c r="P175" s="26">
        <v>0</v>
      </c>
      <c r="Q175" s="49">
        <v>0</v>
      </c>
      <c r="R175" s="26">
        <v>0</v>
      </c>
      <c r="S175" s="50">
        <v>0</v>
      </c>
      <c r="T175" s="51">
        <v>17659.2</v>
      </c>
      <c r="U175" s="26">
        <v>0</v>
      </c>
      <c r="V175" s="52"/>
      <c r="X175" s="78">
        <f t="shared" si="2"/>
        <v>14127.36</v>
      </c>
      <c r="Z175" s="27">
        <v>987.48</v>
      </c>
    </row>
    <row r="176" spans="1:26" hidden="1" x14ac:dyDescent="0.3">
      <c r="A176" s="26">
        <v>3361</v>
      </c>
      <c r="B176" s="27" t="s">
        <v>361</v>
      </c>
      <c r="C176" s="27" t="s">
        <v>27</v>
      </c>
      <c r="D176" s="27">
        <v>0</v>
      </c>
      <c r="E176" s="27">
        <v>0</v>
      </c>
      <c r="F176" s="39">
        <v>0</v>
      </c>
      <c r="G176" s="26">
        <v>0</v>
      </c>
      <c r="H176" s="26">
        <v>0</v>
      </c>
      <c r="I176" s="29">
        <v>0</v>
      </c>
      <c r="J176" s="26">
        <v>20</v>
      </c>
      <c r="K176" s="26">
        <v>300</v>
      </c>
      <c r="L176" s="26">
        <v>6</v>
      </c>
      <c r="M176" s="26">
        <v>90</v>
      </c>
      <c r="N176" s="31">
        <v>28696.2</v>
      </c>
      <c r="O176" s="26">
        <v>8</v>
      </c>
      <c r="P176" s="26">
        <v>120</v>
      </c>
      <c r="Q176" s="49">
        <v>1560</v>
      </c>
      <c r="R176" s="26">
        <v>8</v>
      </c>
      <c r="S176" s="50">
        <v>596.63157894736844</v>
      </c>
      <c r="T176" s="51">
        <v>30852.831578947371</v>
      </c>
      <c r="U176" s="26">
        <v>0</v>
      </c>
      <c r="V176" s="52">
        <v>0</v>
      </c>
      <c r="X176" s="78">
        <f t="shared" si="2"/>
        <v>24682.265263157897</v>
      </c>
      <c r="Z176" s="27">
        <v>726.96</v>
      </c>
    </row>
    <row r="177" spans="1:26" hidden="1" x14ac:dyDescent="0.3">
      <c r="A177" s="26">
        <v>3363</v>
      </c>
      <c r="B177" s="27" t="s">
        <v>362</v>
      </c>
      <c r="C177" s="27" t="s">
        <v>27</v>
      </c>
      <c r="D177" s="27">
        <v>0</v>
      </c>
      <c r="E177" s="27">
        <v>0</v>
      </c>
      <c r="F177" s="39">
        <v>0</v>
      </c>
      <c r="G177" s="26">
        <v>0</v>
      </c>
      <c r="H177" s="26">
        <v>0</v>
      </c>
      <c r="I177" s="29">
        <v>0</v>
      </c>
      <c r="J177" s="26">
        <v>25</v>
      </c>
      <c r="K177" s="26">
        <v>375</v>
      </c>
      <c r="L177" s="26">
        <v>0</v>
      </c>
      <c r="M177" s="26">
        <v>0</v>
      </c>
      <c r="N177" s="31">
        <v>27592.5</v>
      </c>
      <c r="O177" s="26">
        <v>4</v>
      </c>
      <c r="P177" s="26">
        <v>60</v>
      </c>
      <c r="Q177" s="49">
        <v>780</v>
      </c>
      <c r="R177" s="26">
        <v>4</v>
      </c>
      <c r="S177" s="50">
        <v>298.31578947368422</v>
      </c>
      <c r="T177" s="51">
        <v>28670.815789473683</v>
      </c>
      <c r="U177" s="26">
        <v>0</v>
      </c>
      <c r="V177" s="52">
        <v>0</v>
      </c>
      <c r="X177" s="78">
        <f t="shared" si="2"/>
        <v>22936.652631578949</v>
      </c>
      <c r="Z177" s="27">
        <v>322.92</v>
      </c>
    </row>
    <row r="178" spans="1:26" hidden="1" x14ac:dyDescent="0.3">
      <c r="A178" s="26">
        <v>3366</v>
      </c>
      <c r="B178" s="27" t="s">
        <v>363</v>
      </c>
      <c r="C178" s="27" t="s">
        <v>49</v>
      </c>
      <c r="D178" s="27">
        <v>0</v>
      </c>
      <c r="E178" s="27">
        <v>0</v>
      </c>
      <c r="F178" s="39">
        <v>0</v>
      </c>
      <c r="G178" s="26">
        <v>0</v>
      </c>
      <c r="H178" s="26">
        <v>0</v>
      </c>
      <c r="I178" s="29">
        <v>0</v>
      </c>
      <c r="J178" s="26">
        <v>6</v>
      </c>
      <c r="K178" s="26">
        <v>90</v>
      </c>
      <c r="L178" s="26">
        <v>0</v>
      </c>
      <c r="M178" s="26">
        <v>0</v>
      </c>
      <c r="N178" s="31">
        <v>6622.2</v>
      </c>
      <c r="O178" s="26">
        <v>3</v>
      </c>
      <c r="P178" s="26">
        <v>45</v>
      </c>
      <c r="Q178" s="49">
        <v>585</v>
      </c>
      <c r="R178" s="26">
        <v>3</v>
      </c>
      <c r="S178" s="50">
        <v>223.73684210526318</v>
      </c>
      <c r="T178" s="51">
        <v>7430.9368421052632</v>
      </c>
      <c r="U178" s="26">
        <v>0</v>
      </c>
      <c r="V178" s="52">
        <v>0</v>
      </c>
      <c r="X178" s="78">
        <f t="shared" si="2"/>
        <v>5944.7494736842109</v>
      </c>
      <c r="Z178" s="27">
        <v>375.96</v>
      </c>
    </row>
    <row r="179" spans="1:26" hidden="1" x14ac:dyDescent="0.3">
      <c r="A179" s="26">
        <v>3367</v>
      </c>
      <c r="B179" s="27" t="s">
        <v>364</v>
      </c>
      <c r="C179" s="27" t="s">
        <v>27</v>
      </c>
      <c r="D179" s="27">
        <v>0</v>
      </c>
      <c r="E179" s="27">
        <v>0</v>
      </c>
      <c r="F179" s="39">
        <v>0</v>
      </c>
      <c r="G179" s="26">
        <v>0</v>
      </c>
      <c r="H179" s="26">
        <v>0</v>
      </c>
      <c r="I179" s="29">
        <v>0</v>
      </c>
      <c r="J179" s="26">
        <v>26</v>
      </c>
      <c r="K179" s="26">
        <v>390</v>
      </c>
      <c r="L179" s="26">
        <v>8</v>
      </c>
      <c r="M179" s="26">
        <v>120</v>
      </c>
      <c r="N179" s="31">
        <v>37525.800000000003</v>
      </c>
      <c r="O179" s="26">
        <v>7</v>
      </c>
      <c r="P179" s="26">
        <v>105</v>
      </c>
      <c r="Q179" s="49">
        <v>1365</v>
      </c>
      <c r="R179" s="26">
        <v>7</v>
      </c>
      <c r="S179" s="50">
        <v>522.0526315789474</v>
      </c>
      <c r="T179" s="51">
        <v>39412.85263157895</v>
      </c>
      <c r="U179" s="26">
        <v>0</v>
      </c>
      <c r="V179" s="52">
        <v>0</v>
      </c>
      <c r="X179" s="78">
        <f t="shared" si="2"/>
        <v>31530.282105263163</v>
      </c>
      <c r="Z179" s="27">
        <v>1257.3599999999999</v>
      </c>
    </row>
    <row r="180" spans="1:26" hidden="1" x14ac:dyDescent="0.3">
      <c r="A180" s="26">
        <v>3372</v>
      </c>
      <c r="B180" s="27" t="s">
        <v>365</v>
      </c>
      <c r="C180" s="27" t="s">
        <v>27</v>
      </c>
      <c r="D180" s="27">
        <v>0</v>
      </c>
      <c r="E180" s="27">
        <v>0</v>
      </c>
      <c r="F180" s="39">
        <v>0</v>
      </c>
      <c r="G180" s="26">
        <v>0</v>
      </c>
      <c r="H180" s="26">
        <v>0</v>
      </c>
      <c r="I180" s="29">
        <v>0</v>
      </c>
      <c r="J180" s="26">
        <v>52</v>
      </c>
      <c r="K180" s="26">
        <v>780</v>
      </c>
      <c r="L180" s="26">
        <v>4</v>
      </c>
      <c r="M180" s="26">
        <v>60</v>
      </c>
      <c r="N180" s="31">
        <v>61807.200000000004</v>
      </c>
      <c r="O180" s="26">
        <v>16</v>
      </c>
      <c r="P180" s="26">
        <v>210</v>
      </c>
      <c r="Q180" s="49">
        <v>2730</v>
      </c>
      <c r="R180" s="26">
        <v>14</v>
      </c>
      <c r="S180" s="50">
        <v>1044.1052631578948</v>
      </c>
      <c r="T180" s="51">
        <v>65581.305263157905</v>
      </c>
      <c r="U180" s="26">
        <v>0</v>
      </c>
      <c r="V180" s="52">
        <v>0</v>
      </c>
      <c r="X180" s="78">
        <f t="shared" si="2"/>
        <v>52465.044210526328</v>
      </c>
      <c r="Z180" s="27">
        <v>1347.8400000000001</v>
      </c>
    </row>
    <row r="181" spans="1:26" hidden="1" x14ac:dyDescent="0.3">
      <c r="A181" s="26">
        <v>3377</v>
      </c>
      <c r="B181" s="27" t="s">
        <v>366</v>
      </c>
      <c r="C181" s="27" t="s">
        <v>27</v>
      </c>
      <c r="D181" s="27">
        <v>0</v>
      </c>
      <c r="E181" s="27">
        <v>0</v>
      </c>
      <c r="F181" s="39">
        <v>0</v>
      </c>
      <c r="G181" s="26">
        <v>0</v>
      </c>
      <c r="H181" s="26">
        <v>0</v>
      </c>
      <c r="I181" s="29">
        <v>0</v>
      </c>
      <c r="J181" s="26">
        <v>16</v>
      </c>
      <c r="K181" s="26">
        <v>240</v>
      </c>
      <c r="L181" s="26">
        <v>0</v>
      </c>
      <c r="M181" s="26">
        <v>0</v>
      </c>
      <c r="N181" s="31">
        <v>17659.2</v>
      </c>
      <c r="O181" s="26">
        <v>11</v>
      </c>
      <c r="P181" s="26">
        <v>165</v>
      </c>
      <c r="Q181" s="49">
        <v>2145</v>
      </c>
      <c r="R181" s="26">
        <v>0</v>
      </c>
      <c r="S181" s="50">
        <v>0</v>
      </c>
      <c r="T181" s="51">
        <v>19804.2</v>
      </c>
      <c r="U181" s="26">
        <v>0</v>
      </c>
      <c r="V181" s="52">
        <v>0</v>
      </c>
      <c r="X181" s="78">
        <f t="shared" si="2"/>
        <v>15843.36</v>
      </c>
      <c r="Z181" s="27">
        <v>1137.2399999999998</v>
      </c>
    </row>
    <row r="182" spans="1:26" hidden="1" x14ac:dyDescent="0.3">
      <c r="A182" s="26">
        <v>3386</v>
      </c>
      <c r="B182" s="27" t="s">
        <v>143</v>
      </c>
      <c r="C182" s="27" t="s">
        <v>27</v>
      </c>
      <c r="D182" s="27">
        <v>0</v>
      </c>
      <c r="E182" s="27">
        <v>0</v>
      </c>
      <c r="F182" s="39">
        <v>0</v>
      </c>
      <c r="G182" s="26">
        <v>0</v>
      </c>
      <c r="H182" s="26">
        <v>0</v>
      </c>
      <c r="I182" s="29">
        <v>0</v>
      </c>
      <c r="J182" s="26">
        <v>26</v>
      </c>
      <c r="K182" s="26">
        <v>390</v>
      </c>
      <c r="L182" s="26">
        <v>5</v>
      </c>
      <c r="M182" s="26">
        <v>60</v>
      </c>
      <c r="N182" s="31">
        <v>33111</v>
      </c>
      <c r="O182" s="26">
        <v>11</v>
      </c>
      <c r="P182" s="26">
        <v>165</v>
      </c>
      <c r="Q182" s="49">
        <v>2145</v>
      </c>
      <c r="R182" s="26">
        <v>8</v>
      </c>
      <c r="S182" s="50">
        <v>596.63157894736844</v>
      </c>
      <c r="T182" s="51">
        <v>35852.631578947367</v>
      </c>
      <c r="U182" s="26">
        <v>0</v>
      </c>
      <c r="V182" s="52">
        <v>0</v>
      </c>
      <c r="X182" s="78">
        <f t="shared" si="2"/>
        <v>28682.105263157893</v>
      </c>
      <c r="Z182" s="27">
        <v>889.2</v>
      </c>
    </row>
    <row r="183" spans="1:26" hidden="1" x14ac:dyDescent="0.3">
      <c r="A183" s="26">
        <v>3406</v>
      </c>
      <c r="B183" s="27" t="s">
        <v>367</v>
      </c>
      <c r="C183" s="27" t="s">
        <v>49</v>
      </c>
      <c r="D183" s="27">
        <v>0</v>
      </c>
      <c r="E183" s="27">
        <v>0</v>
      </c>
      <c r="F183" s="39">
        <v>0</v>
      </c>
      <c r="G183" s="26">
        <v>0</v>
      </c>
      <c r="H183" s="26">
        <v>0</v>
      </c>
      <c r="I183" s="29">
        <v>0</v>
      </c>
      <c r="J183" s="26">
        <v>20</v>
      </c>
      <c r="K183" s="26">
        <v>300</v>
      </c>
      <c r="L183" s="26">
        <v>0</v>
      </c>
      <c r="M183" s="26">
        <v>0</v>
      </c>
      <c r="N183" s="31">
        <v>22074</v>
      </c>
      <c r="O183" s="26">
        <v>8</v>
      </c>
      <c r="P183" s="26">
        <v>120</v>
      </c>
      <c r="Q183" s="49">
        <v>1560</v>
      </c>
      <c r="R183" s="26">
        <v>5</v>
      </c>
      <c r="S183" s="50">
        <v>372.89473684210526</v>
      </c>
      <c r="T183" s="51">
        <v>24006.894736842107</v>
      </c>
      <c r="U183" s="26">
        <v>0</v>
      </c>
      <c r="V183" s="52">
        <v>0</v>
      </c>
      <c r="X183" s="78">
        <f t="shared" si="2"/>
        <v>19205.515789473688</v>
      </c>
      <c r="Z183" s="27">
        <v>675.48</v>
      </c>
    </row>
    <row r="184" spans="1:26" hidden="1" x14ac:dyDescent="0.3">
      <c r="A184" s="26">
        <v>3411</v>
      </c>
      <c r="B184" s="27" t="s">
        <v>368</v>
      </c>
      <c r="C184" s="27" t="s">
        <v>27</v>
      </c>
      <c r="D184" s="27">
        <v>0</v>
      </c>
      <c r="E184" s="27">
        <v>0</v>
      </c>
      <c r="F184" s="39">
        <v>0</v>
      </c>
      <c r="G184" s="26">
        <v>0</v>
      </c>
      <c r="H184" s="26">
        <v>0</v>
      </c>
      <c r="I184" s="29">
        <v>0</v>
      </c>
      <c r="J184" s="26">
        <v>32</v>
      </c>
      <c r="K184" s="26">
        <v>480</v>
      </c>
      <c r="L184" s="26">
        <v>5</v>
      </c>
      <c r="M184" s="26">
        <v>75</v>
      </c>
      <c r="N184" s="31">
        <v>40836.9</v>
      </c>
      <c r="O184" s="26">
        <v>22</v>
      </c>
      <c r="P184" s="26">
        <v>330</v>
      </c>
      <c r="Q184" s="49">
        <v>4290</v>
      </c>
      <c r="R184" s="26">
        <v>21</v>
      </c>
      <c r="S184" s="50">
        <v>1566.1578947368421</v>
      </c>
      <c r="T184" s="51">
        <v>46693.057894736841</v>
      </c>
      <c r="U184" s="26">
        <v>0</v>
      </c>
      <c r="V184" s="52">
        <v>0</v>
      </c>
      <c r="X184" s="78">
        <f t="shared" si="2"/>
        <v>37354.446315789472</v>
      </c>
      <c r="Z184" s="27">
        <v>2800.2000000000003</v>
      </c>
    </row>
    <row r="185" spans="1:26" hidden="1" x14ac:dyDescent="0.3">
      <c r="A185" s="26">
        <v>3412</v>
      </c>
      <c r="B185" s="27" t="s">
        <v>369</v>
      </c>
      <c r="C185" s="27" t="s">
        <v>49</v>
      </c>
      <c r="D185" s="27">
        <v>0</v>
      </c>
      <c r="E185" s="27">
        <v>0</v>
      </c>
      <c r="F185" s="39">
        <v>0</v>
      </c>
      <c r="G185" s="26">
        <v>0</v>
      </c>
      <c r="H185" s="26">
        <v>0</v>
      </c>
      <c r="I185" s="29">
        <v>0</v>
      </c>
      <c r="J185" s="26">
        <v>54</v>
      </c>
      <c r="K185" s="26">
        <v>810</v>
      </c>
      <c r="L185" s="26">
        <v>8</v>
      </c>
      <c r="M185" s="26">
        <v>120</v>
      </c>
      <c r="N185" s="31">
        <v>68429.400000000009</v>
      </c>
      <c r="O185" s="26">
        <v>14</v>
      </c>
      <c r="P185" s="26">
        <v>195</v>
      </c>
      <c r="Q185" s="49">
        <v>2535</v>
      </c>
      <c r="R185" s="26">
        <v>13</v>
      </c>
      <c r="S185" s="50">
        <v>969.52631578947376</v>
      </c>
      <c r="T185" s="51">
        <v>71933.926315789489</v>
      </c>
      <c r="U185" s="26">
        <v>0</v>
      </c>
      <c r="V185" s="52">
        <v>0</v>
      </c>
      <c r="X185" s="78">
        <f t="shared" si="2"/>
        <v>57547.141052631596</v>
      </c>
      <c r="Z185" s="27">
        <v>2528.7600000000002</v>
      </c>
    </row>
    <row r="186" spans="1:26" hidden="1" x14ac:dyDescent="0.3">
      <c r="A186" s="26">
        <v>3428</v>
      </c>
      <c r="B186" s="27" t="s">
        <v>370</v>
      </c>
      <c r="C186" s="27" t="s">
        <v>27</v>
      </c>
      <c r="D186" s="27">
        <v>0</v>
      </c>
      <c r="E186" s="27">
        <v>0</v>
      </c>
      <c r="F186" s="39">
        <v>0</v>
      </c>
      <c r="G186" s="26">
        <v>0</v>
      </c>
      <c r="H186" s="26">
        <v>0</v>
      </c>
      <c r="I186" s="29">
        <v>0</v>
      </c>
      <c r="J186" s="26">
        <v>24</v>
      </c>
      <c r="K186" s="26">
        <v>360</v>
      </c>
      <c r="L186" s="26">
        <v>14</v>
      </c>
      <c r="M186" s="26">
        <v>210</v>
      </c>
      <c r="N186" s="31">
        <v>41940.6</v>
      </c>
      <c r="O186" s="26">
        <v>1</v>
      </c>
      <c r="P186" s="26">
        <v>15</v>
      </c>
      <c r="Q186" s="49">
        <v>195</v>
      </c>
      <c r="R186" s="26">
        <v>1</v>
      </c>
      <c r="S186" s="50">
        <v>74.578947368421055</v>
      </c>
      <c r="T186" s="51">
        <v>42210.178947368418</v>
      </c>
      <c r="U186" s="26">
        <v>0</v>
      </c>
      <c r="V186" s="52">
        <v>0</v>
      </c>
      <c r="X186" s="78">
        <f t="shared" si="2"/>
        <v>33768.143157894738</v>
      </c>
      <c r="Z186" s="27">
        <v>198.12</v>
      </c>
    </row>
    <row r="187" spans="1:26" hidden="1" x14ac:dyDescent="0.3">
      <c r="A187" s="26">
        <v>3431</v>
      </c>
      <c r="B187" s="27" t="s">
        <v>199</v>
      </c>
      <c r="C187" s="27" t="s">
        <v>49</v>
      </c>
      <c r="D187" s="27">
        <v>0</v>
      </c>
      <c r="E187" s="27">
        <v>0</v>
      </c>
      <c r="F187" s="39">
        <v>0</v>
      </c>
      <c r="G187" s="26">
        <v>0</v>
      </c>
      <c r="H187" s="26">
        <v>0</v>
      </c>
      <c r="I187" s="29">
        <v>0</v>
      </c>
      <c r="J187" s="26">
        <v>41</v>
      </c>
      <c r="K187" s="26">
        <v>615</v>
      </c>
      <c r="L187" s="26">
        <v>23</v>
      </c>
      <c r="M187" s="26">
        <v>345</v>
      </c>
      <c r="N187" s="31">
        <v>70636.800000000003</v>
      </c>
      <c r="O187" s="26">
        <v>1</v>
      </c>
      <c r="P187" s="26">
        <v>15</v>
      </c>
      <c r="Q187" s="49">
        <v>195</v>
      </c>
      <c r="R187" s="26">
        <v>1</v>
      </c>
      <c r="S187" s="50">
        <v>74.578947368421055</v>
      </c>
      <c r="T187" s="51">
        <v>70906.37894736843</v>
      </c>
      <c r="U187" s="26">
        <v>0</v>
      </c>
      <c r="V187" s="52">
        <v>0</v>
      </c>
      <c r="X187" s="78">
        <f t="shared" si="2"/>
        <v>56725.103157894744</v>
      </c>
      <c r="Z187" s="27">
        <v>558.4799999999999</v>
      </c>
    </row>
    <row r="188" spans="1:26" hidden="1" x14ac:dyDescent="0.3">
      <c r="A188" s="26">
        <v>3432</v>
      </c>
      <c r="B188" s="27" t="s">
        <v>63</v>
      </c>
      <c r="C188" s="27" t="s">
        <v>27</v>
      </c>
      <c r="D188" s="27">
        <v>0</v>
      </c>
      <c r="E188" s="27">
        <v>0</v>
      </c>
      <c r="F188" s="39">
        <v>0</v>
      </c>
      <c r="G188" s="26">
        <v>0</v>
      </c>
      <c r="H188" s="26">
        <v>0</v>
      </c>
      <c r="I188" s="29">
        <v>0</v>
      </c>
      <c r="J188" s="26">
        <v>62</v>
      </c>
      <c r="K188" s="26">
        <v>900</v>
      </c>
      <c r="L188" s="26">
        <v>4</v>
      </c>
      <c r="M188" s="26">
        <v>60</v>
      </c>
      <c r="N188" s="31">
        <v>70636.800000000003</v>
      </c>
      <c r="O188" s="26">
        <v>14</v>
      </c>
      <c r="P188" s="26">
        <v>200</v>
      </c>
      <c r="Q188" s="49">
        <v>2600</v>
      </c>
      <c r="R188" s="26">
        <v>1</v>
      </c>
      <c r="S188" s="50">
        <v>74.578947368421055</v>
      </c>
      <c r="T188" s="51">
        <v>73311.37894736843</v>
      </c>
      <c r="U188" s="26">
        <v>0</v>
      </c>
      <c r="V188" s="52">
        <v>0</v>
      </c>
      <c r="X188" s="78">
        <f t="shared" si="2"/>
        <v>58649.103157894744</v>
      </c>
      <c r="Z188" s="27">
        <v>3623.8799999999997</v>
      </c>
    </row>
    <row r="189" spans="1:26" hidden="1" x14ac:dyDescent="0.3">
      <c r="A189" s="26">
        <v>3433</v>
      </c>
      <c r="B189" s="27" t="s">
        <v>371</v>
      </c>
      <c r="C189" s="27" t="s">
        <v>49</v>
      </c>
      <c r="D189" s="27">
        <v>0</v>
      </c>
      <c r="E189" s="27">
        <v>0</v>
      </c>
      <c r="F189" s="39">
        <v>0</v>
      </c>
      <c r="G189" s="26">
        <v>0</v>
      </c>
      <c r="H189" s="26">
        <v>0</v>
      </c>
      <c r="I189" s="29">
        <v>0</v>
      </c>
      <c r="J189" s="26">
        <v>23</v>
      </c>
      <c r="K189" s="26">
        <v>345</v>
      </c>
      <c r="L189" s="26">
        <v>0</v>
      </c>
      <c r="M189" s="26">
        <v>0</v>
      </c>
      <c r="N189" s="31">
        <v>25385.100000000002</v>
      </c>
      <c r="O189" s="26">
        <v>13</v>
      </c>
      <c r="P189" s="26">
        <v>195</v>
      </c>
      <c r="Q189" s="49">
        <v>2535</v>
      </c>
      <c r="R189" s="26">
        <v>13</v>
      </c>
      <c r="S189" s="50">
        <v>969.52631578947376</v>
      </c>
      <c r="T189" s="51">
        <v>28889.626315789475</v>
      </c>
      <c r="U189" s="26">
        <v>0</v>
      </c>
      <c r="V189" s="52">
        <v>0</v>
      </c>
      <c r="X189" s="78">
        <f t="shared" si="2"/>
        <v>23111.701052631583</v>
      </c>
      <c r="Z189" s="27">
        <v>1009.3200000000002</v>
      </c>
    </row>
    <row r="190" spans="1:26" hidden="1" x14ac:dyDescent="0.3">
      <c r="A190" s="26">
        <v>4001</v>
      </c>
      <c r="B190" s="27" t="s">
        <v>372</v>
      </c>
      <c r="C190" s="27" t="s">
        <v>49</v>
      </c>
      <c r="D190" s="27">
        <v>0</v>
      </c>
      <c r="E190" s="27">
        <v>0</v>
      </c>
      <c r="F190" s="39">
        <v>0</v>
      </c>
      <c r="G190" s="26">
        <v>0</v>
      </c>
      <c r="H190" s="26">
        <v>0</v>
      </c>
      <c r="I190" s="29">
        <v>0</v>
      </c>
      <c r="J190" s="26">
        <v>20</v>
      </c>
      <c r="K190" s="26">
        <v>300</v>
      </c>
      <c r="L190" s="26">
        <v>0</v>
      </c>
      <c r="M190" s="26">
        <v>0</v>
      </c>
      <c r="N190" s="31">
        <v>22074</v>
      </c>
      <c r="O190" s="26">
        <v>8</v>
      </c>
      <c r="P190" s="26">
        <v>105</v>
      </c>
      <c r="Q190" s="49">
        <v>1365</v>
      </c>
      <c r="R190" s="26">
        <v>0</v>
      </c>
      <c r="S190" s="50">
        <v>0</v>
      </c>
      <c r="T190" s="51">
        <v>23439</v>
      </c>
      <c r="U190" s="26">
        <v>0</v>
      </c>
      <c r="V190" s="52">
        <v>0</v>
      </c>
      <c r="X190" s="78">
        <f t="shared" si="2"/>
        <v>18751.2</v>
      </c>
      <c r="Z190" s="27">
        <v>1458.6</v>
      </c>
    </row>
    <row r="191" spans="1:26" hidden="1" x14ac:dyDescent="0.3">
      <c r="A191" s="26">
        <v>4019</v>
      </c>
      <c r="B191" s="27" t="s">
        <v>373</v>
      </c>
      <c r="C191" s="27" t="s">
        <v>49</v>
      </c>
      <c r="D191" s="27">
        <v>0</v>
      </c>
      <c r="E191" s="27">
        <v>0</v>
      </c>
      <c r="F191" s="39">
        <v>0</v>
      </c>
      <c r="G191" s="26">
        <v>0</v>
      </c>
      <c r="H191" s="26">
        <v>0</v>
      </c>
      <c r="I191" s="29">
        <v>0</v>
      </c>
      <c r="J191" s="26">
        <v>64</v>
      </c>
      <c r="K191" s="26">
        <v>960</v>
      </c>
      <c r="L191" s="26">
        <v>4</v>
      </c>
      <c r="M191" s="26">
        <v>60</v>
      </c>
      <c r="N191" s="31">
        <v>75051.600000000006</v>
      </c>
      <c r="O191" s="26">
        <v>9</v>
      </c>
      <c r="P191" s="26">
        <v>135</v>
      </c>
      <c r="Q191" s="49">
        <v>1755</v>
      </c>
      <c r="R191" s="26">
        <v>8</v>
      </c>
      <c r="S191" s="50">
        <v>596.63157894736844</v>
      </c>
      <c r="T191" s="51">
        <v>77403.23157894738</v>
      </c>
      <c r="U191" s="26">
        <v>0</v>
      </c>
      <c r="V191" s="52">
        <v>0</v>
      </c>
      <c r="X191" s="78">
        <f t="shared" si="2"/>
        <v>61922.585263157904</v>
      </c>
      <c r="Z191" s="27">
        <v>544.43999999999994</v>
      </c>
    </row>
    <row r="192" spans="1:26" hidden="1" x14ac:dyDescent="0.3">
      <c r="A192" s="26">
        <v>4038</v>
      </c>
      <c r="B192" s="27" t="s">
        <v>374</v>
      </c>
      <c r="C192" s="27" t="s">
        <v>49</v>
      </c>
      <c r="D192" s="27">
        <v>0</v>
      </c>
      <c r="E192" s="27">
        <v>0</v>
      </c>
      <c r="F192" s="39">
        <v>0</v>
      </c>
      <c r="G192" s="26">
        <v>0</v>
      </c>
      <c r="H192" s="26">
        <v>0</v>
      </c>
      <c r="I192" s="29">
        <v>0</v>
      </c>
      <c r="J192" s="26">
        <v>99</v>
      </c>
      <c r="K192" s="26">
        <v>1485</v>
      </c>
      <c r="L192" s="26">
        <v>4</v>
      </c>
      <c r="M192" s="26">
        <v>60</v>
      </c>
      <c r="N192" s="31">
        <v>113681.1</v>
      </c>
      <c r="O192" s="26">
        <v>4</v>
      </c>
      <c r="P192" s="26">
        <v>60</v>
      </c>
      <c r="Q192" s="49">
        <v>780</v>
      </c>
      <c r="R192" s="26">
        <v>0</v>
      </c>
      <c r="S192" s="50">
        <v>0</v>
      </c>
      <c r="T192" s="51">
        <v>114461.1</v>
      </c>
      <c r="U192" s="26">
        <v>0</v>
      </c>
      <c r="V192" s="52">
        <v>0</v>
      </c>
      <c r="X192" s="78">
        <f t="shared" si="2"/>
        <v>91568.88</v>
      </c>
      <c r="Z192" s="27">
        <v>2558.4</v>
      </c>
    </row>
    <row r="193" spans="1:41" hidden="1" x14ac:dyDescent="0.3">
      <c r="A193" s="26">
        <v>5201</v>
      </c>
      <c r="B193" s="27" t="s">
        <v>375</v>
      </c>
      <c r="C193" s="27" t="s">
        <v>49</v>
      </c>
      <c r="D193" s="27">
        <v>0</v>
      </c>
      <c r="E193" s="27">
        <v>0</v>
      </c>
      <c r="F193" s="39">
        <v>0</v>
      </c>
      <c r="G193" s="26">
        <v>0</v>
      </c>
      <c r="H193" s="26">
        <v>0</v>
      </c>
      <c r="I193" s="29">
        <v>0</v>
      </c>
      <c r="J193" s="26">
        <v>25</v>
      </c>
      <c r="K193" s="26">
        <v>375</v>
      </c>
      <c r="L193" s="26">
        <v>0</v>
      </c>
      <c r="M193" s="26">
        <v>0</v>
      </c>
      <c r="N193" s="31">
        <v>27592.5</v>
      </c>
      <c r="O193" s="26">
        <v>0</v>
      </c>
      <c r="P193" s="26">
        <v>0</v>
      </c>
      <c r="Q193" s="49">
        <v>0</v>
      </c>
      <c r="R193" s="26">
        <v>0</v>
      </c>
      <c r="S193" s="50">
        <v>0</v>
      </c>
      <c r="T193" s="51">
        <v>27592.5</v>
      </c>
      <c r="U193" s="26">
        <v>0</v>
      </c>
      <c r="V193" s="52">
        <v>0</v>
      </c>
      <c r="X193" s="78">
        <f t="shared" si="2"/>
        <v>22074</v>
      </c>
      <c r="Z193" s="27">
        <v>12.48</v>
      </c>
      <c r="AA193" s="52"/>
      <c r="AI193" s="56"/>
      <c r="AJ193" s="56"/>
      <c r="AK193" s="56"/>
    </row>
    <row r="194" spans="1:41" hidden="1" x14ac:dyDescent="0.3">
      <c r="A194" s="26">
        <v>5203</v>
      </c>
      <c r="B194" s="27" t="s">
        <v>159</v>
      </c>
      <c r="C194" s="27" t="s">
        <v>27</v>
      </c>
      <c r="D194" s="27">
        <v>0</v>
      </c>
      <c r="E194" s="27">
        <v>0</v>
      </c>
      <c r="F194" s="39">
        <v>0</v>
      </c>
      <c r="G194" s="26">
        <v>0</v>
      </c>
      <c r="H194" s="26">
        <v>0</v>
      </c>
      <c r="I194" s="29">
        <v>0</v>
      </c>
      <c r="J194" s="26">
        <v>52</v>
      </c>
      <c r="K194" s="26">
        <v>780</v>
      </c>
      <c r="L194" s="26">
        <v>44</v>
      </c>
      <c r="M194" s="26">
        <v>660</v>
      </c>
      <c r="N194" s="31">
        <v>105955.20000000001</v>
      </c>
      <c r="O194" s="26">
        <v>2</v>
      </c>
      <c r="P194" s="26">
        <v>15</v>
      </c>
      <c r="Q194" s="49">
        <v>195</v>
      </c>
      <c r="R194" s="26">
        <v>1</v>
      </c>
      <c r="S194" s="50">
        <v>74.578947368421055</v>
      </c>
      <c r="T194" s="51">
        <v>106224.77894736844</v>
      </c>
      <c r="U194" s="26">
        <v>0</v>
      </c>
      <c r="V194" s="52">
        <v>0</v>
      </c>
      <c r="X194" s="78">
        <f t="shared" si="2"/>
        <v>84979.82315789476</v>
      </c>
      <c r="Z194" s="27">
        <v>24.96</v>
      </c>
      <c r="AA194" s="52"/>
      <c r="AI194" s="56"/>
      <c r="AJ194" s="56"/>
      <c r="AK194" s="56"/>
    </row>
    <row r="195" spans="1:41" hidden="1" x14ac:dyDescent="0.3">
      <c r="A195" s="26">
        <v>5205</v>
      </c>
      <c r="B195" s="27" t="s">
        <v>376</v>
      </c>
      <c r="C195" s="27" t="s">
        <v>49</v>
      </c>
      <c r="D195" s="27">
        <v>0</v>
      </c>
      <c r="E195" s="27">
        <v>0</v>
      </c>
      <c r="F195" s="39">
        <v>0</v>
      </c>
      <c r="G195" s="26">
        <v>0</v>
      </c>
      <c r="H195" s="26">
        <v>0</v>
      </c>
      <c r="I195" s="29">
        <v>0</v>
      </c>
      <c r="J195" s="26">
        <v>24</v>
      </c>
      <c r="K195" s="26">
        <v>360</v>
      </c>
      <c r="L195" s="26">
        <v>16</v>
      </c>
      <c r="M195" s="26">
        <v>240</v>
      </c>
      <c r="N195" s="31">
        <v>44148</v>
      </c>
      <c r="O195" s="26">
        <v>0</v>
      </c>
      <c r="P195" s="26">
        <v>0</v>
      </c>
      <c r="Q195" s="49">
        <v>0</v>
      </c>
      <c r="R195" s="26">
        <v>0</v>
      </c>
      <c r="S195" s="50">
        <v>0</v>
      </c>
      <c r="T195" s="51">
        <v>44148</v>
      </c>
      <c r="U195" s="26">
        <v>0</v>
      </c>
      <c r="V195" s="52">
        <v>0</v>
      </c>
      <c r="X195" s="78">
        <f t="shared" si="2"/>
        <v>35318.400000000001</v>
      </c>
      <c r="Z195" s="27">
        <v>273</v>
      </c>
      <c r="AA195" s="52"/>
      <c r="AI195" s="56"/>
      <c r="AJ195" s="56"/>
      <c r="AK195" s="56"/>
    </row>
    <row r="196" spans="1:41" s="57" customFormat="1" x14ac:dyDescent="0.3">
      <c r="G196" s="58"/>
      <c r="H196" s="58"/>
      <c r="I196" s="59"/>
      <c r="J196" s="58"/>
      <c r="K196" s="58"/>
      <c r="L196" s="26"/>
      <c r="M196" s="58"/>
      <c r="N196" s="60"/>
      <c r="O196" s="58"/>
      <c r="P196" s="58"/>
      <c r="Q196" s="61"/>
      <c r="R196" s="62"/>
      <c r="S196" s="62"/>
      <c r="T196" s="61"/>
      <c r="U196" s="63"/>
      <c r="V196" s="64"/>
      <c r="AD196" s="27"/>
      <c r="AE196" s="27"/>
      <c r="AF196" s="27"/>
      <c r="AG196" s="27"/>
      <c r="AH196" s="27"/>
      <c r="AI196" s="56"/>
      <c r="AJ196" s="56"/>
      <c r="AK196" s="56"/>
      <c r="AL196" s="27"/>
    </row>
    <row r="197" spans="1:41" x14ac:dyDescent="0.3">
      <c r="A197" s="65" t="s">
        <v>377</v>
      </c>
      <c r="I197" s="27"/>
      <c r="J197" s="27"/>
      <c r="K197" s="27"/>
      <c r="L197" s="27"/>
      <c r="M197" s="27"/>
      <c r="N197" s="27"/>
      <c r="S197" s="27"/>
      <c r="AI197" s="56"/>
      <c r="AJ197" s="56"/>
      <c r="AK197" s="56"/>
    </row>
    <row r="198" spans="1:41" s="67" customFormat="1" x14ac:dyDescent="0.3">
      <c r="A198" s="66">
        <v>7004</v>
      </c>
      <c r="B198" s="66" t="s">
        <v>378</v>
      </c>
      <c r="C198" s="66"/>
      <c r="D198" s="27"/>
      <c r="E198" s="27"/>
      <c r="F198" s="27"/>
      <c r="G198" s="26"/>
      <c r="H198" s="26">
        <v>0</v>
      </c>
      <c r="I198" s="27"/>
      <c r="J198" s="26"/>
      <c r="K198" s="26"/>
      <c r="L198" s="26">
        <v>0</v>
      </c>
      <c r="M198" s="26">
        <v>0</v>
      </c>
      <c r="N198" s="27"/>
      <c r="O198" s="26"/>
      <c r="P198" s="27"/>
      <c r="Q198" s="27"/>
      <c r="R198" s="26"/>
      <c r="S198" s="27"/>
      <c r="T198" s="27"/>
      <c r="U198" s="27"/>
      <c r="V198" s="27"/>
      <c r="W198" s="27"/>
      <c r="X198" s="52">
        <f>SUM(X7:X196)</f>
        <v>8400946.0079999994</v>
      </c>
      <c r="Y198" s="27"/>
      <c r="Z198" s="27"/>
      <c r="AA198" s="27"/>
      <c r="AD198" s="27"/>
      <c r="AE198" s="27"/>
      <c r="AF198" s="27"/>
      <c r="AG198" s="27"/>
      <c r="AH198" s="27"/>
      <c r="AI198" s="56"/>
      <c r="AJ198" s="56"/>
      <c r="AK198" s="56"/>
      <c r="AL198" s="57"/>
    </row>
    <row r="199" spans="1:41" x14ac:dyDescent="0.3">
      <c r="A199" s="66">
        <v>7009</v>
      </c>
      <c r="B199" s="66" t="s">
        <v>379</v>
      </c>
      <c r="C199" s="66"/>
      <c r="G199" s="26"/>
      <c r="H199" s="26">
        <v>0</v>
      </c>
      <c r="I199" s="27"/>
      <c r="L199" s="26">
        <v>0</v>
      </c>
      <c r="M199" s="26">
        <v>0</v>
      </c>
      <c r="N199" s="27"/>
      <c r="O199" s="26"/>
      <c r="S199" s="27"/>
      <c r="AI199" s="56"/>
      <c r="AJ199" s="56"/>
      <c r="AK199" s="56"/>
      <c r="AL199" s="67"/>
    </row>
    <row r="200" spans="1:41" x14ac:dyDescent="0.3">
      <c r="A200" s="66">
        <v>7012</v>
      </c>
      <c r="B200" s="66" t="s">
        <v>380</v>
      </c>
      <c r="C200" s="66"/>
      <c r="G200" s="26"/>
      <c r="H200" s="26">
        <v>0</v>
      </c>
      <c r="I200" s="27"/>
      <c r="L200" s="26">
        <v>0</v>
      </c>
      <c r="M200" s="26">
        <v>0</v>
      </c>
      <c r="N200" s="27"/>
      <c r="O200" s="26"/>
      <c r="S200" s="27"/>
      <c r="AI200" s="56"/>
      <c r="AJ200" s="57"/>
      <c r="AK200" s="57"/>
    </row>
    <row r="201" spans="1:41" x14ac:dyDescent="0.3">
      <c r="A201" s="66">
        <v>7031</v>
      </c>
      <c r="B201" s="66" t="s">
        <v>381</v>
      </c>
      <c r="C201" s="66"/>
      <c r="G201" s="26"/>
      <c r="H201" s="26">
        <v>0</v>
      </c>
      <c r="I201" s="27"/>
      <c r="L201" s="26">
        <v>0</v>
      </c>
      <c r="M201" s="26">
        <v>0</v>
      </c>
      <c r="N201" s="27"/>
      <c r="O201" s="26"/>
      <c r="S201" s="27"/>
      <c r="AG201" s="57"/>
      <c r="AH201" s="57"/>
      <c r="AI201" s="57"/>
      <c r="AJ201" s="67"/>
      <c r="AK201" s="67"/>
    </row>
    <row r="202" spans="1:41" x14ac:dyDescent="0.3">
      <c r="A202" s="66">
        <v>7034</v>
      </c>
      <c r="B202" s="66" t="s">
        <v>382</v>
      </c>
      <c r="C202" s="66"/>
      <c r="G202" s="26"/>
      <c r="H202" s="26">
        <v>0</v>
      </c>
      <c r="I202" s="27"/>
      <c r="L202" s="26">
        <v>0</v>
      </c>
      <c r="M202" s="26">
        <v>0</v>
      </c>
      <c r="N202" s="27"/>
      <c r="O202" s="26"/>
      <c r="S202" s="27"/>
      <c r="AF202" s="57"/>
      <c r="AG202" s="67"/>
      <c r="AH202" s="67"/>
      <c r="AI202" s="67"/>
    </row>
    <row r="203" spans="1:41" s="74" customFormat="1" ht="14.5" x14ac:dyDescent="0.35">
      <c r="A203" s="66">
        <v>2184</v>
      </c>
      <c r="B203" s="66" t="s">
        <v>383</v>
      </c>
      <c r="C203" s="66"/>
      <c r="D203" s="68">
        <v>0</v>
      </c>
      <c r="E203" s="68">
        <v>4</v>
      </c>
      <c r="F203" s="68">
        <v>14</v>
      </c>
      <c r="G203" s="26"/>
      <c r="H203" s="68">
        <v>0</v>
      </c>
      <c r="I203" s="68">
        <v>0</v>
      </c>
      <c r="J203" s="26"/>
      <c r="K203" s="26"/>
      <c r="L203" s="26">
        <v>0</v>
      </c>
      <c r="M203" s="26">
        <v>0</v>
      </c>
      <c r="N203" s="69">
        <v>270</v>
      </c>
      <c r="O203" s="26"/>
      <c r="P203" s="68">
        <v>0</v>
      </c>
      <c r="Q203" s="68">
        <v>15</v>
      </c>
      <c r="R203" s="26"/>
      <c r="S203" s="68">
        <v>0</v>
      </c>
      <c r="T203" s="68">
        <v>0</v>
      </c>
      <c r="U203" s="70">
        <v>0</v>
      </c>
      <c r="V203" s="68">
        <v>4</v>
      </c>
      <c r="W203" s="68"/>
      <c r="X203" s="70"/>
      <c r="Y203" s="68"/>
      <c r="Z203" s="71"/>
      <c r="AA203" s="72"/>
      <c r="AB203" s="70"/>
      <c r="AC203" s="73">
        <v>0</v>
      </c>
      <c r="AD203" s="68">
        <v>0</v>
      </c>
      <c r="AE203" s="71"/>
      <c r="AF203" s="72"/>
      <c r="AG203" s="68">
        <v>0</v>
      </c>
      <c r="AO203" s="74" t="e">
        <v>#N/A</v>
      </c>
    </row>
    <row r="204" spans="1:41" x14ac:dyDescent="0.3">
      <c r="I204" s="27"/>
      <c r="J204" s="27"/>
      <c r="K204" s="75">
        <v>0</v>
      </c>
      <c r="L204" s="27"/>
      <c r="M204" s="27"/>
      <c r="N204" s="27"/>
      <c r="R204" s="27"/>
      <c r="S204" s="27"/>
    </row>
    <row r="205" spans="1:41" x14ac:dyDescent="0.3">
      <c r="I205" s="27"/>
      <c r="J205" s="27"/>
      <c r="K205" s="27"/>
      <c r="L205" s="27"/>
      <c r="M205" s="27"/>
      <c r="N205" s="27"/>
      <c r="R205" s="27"/>
      <c r="S205" s="27"/>
      <c r="W205" s="27" t="s">
        <v>384</v>
      </c>
      <c r="X205" s="79">
        <f>SUMIFS(X7:X195,C7:C195,"Chq Bk")</f>
        <v>5353677.9920000006</v>
      </c>
      <c r="Z205" s="79">
        <f>SUMIFS(Z7:Z195,C7:C195,"Chq Bk")</f>
        <v>154628.75999999998</v>
      </c>
    </row>
    <row r="206" spans="1:41" x14ac:dyDescent="0.3">
      <c r="W206" s="27" t="s">
        <v>49</v>
      </c>
      <c r="X206" s="54">
        <f>SUMIFS(X7:X195,C7:C195,W206)</f>
        <v>3047268.0160000003</v>
      </c>
      <c r="Z206" s="79">
        <f>SUMIFS(Z7:Z195,C7:C195,W206)</f>
        <v>90749.56799999997</v>
      </c>
    </row>
    <row r="207" spans="1:41" x14ac:dyDescent="0.3">
      <c r="X207" s="52">
        <f>SUM(X205:X206)</f>
        <v>8400946.0080000013</v>
      </c>
      <c r="Z207" s="52">
        <f>SUM(Z205:Z206)</f>
        <v>245378.32799999995</v>
      </c>
    </row>
    <row r="208" spans="1:41" x14ac:dyDescent="0.3">
      <c r="X208" s="52">
        <f>X207-X198</f>
        <v>0</v>
      </c>
      <c r="Z208" s="52">
        <v>0</v>
      </c>
    </row>
  </sheetData>
  <autoFilter ref="A6:AO195" xr:uid="{00D87FAD-12E5-4C4D-B2A5-15BC84FAECD6}">
    <filterColumn colId="1">
      <filters>
        <filter val="Adderley Nursery School"/>
      </filters>
    </filterColumn>
  </autoFilter>
  <pageMargins left="0.7" right="0.7" top="0.75" bottom="0.75" header="0.3" footer="0.3"/>
  <headerFooter>
    <oddFooter>&amp;C_x000D_&amp;1#&amp;"Calibri"&amp;10&amp;K000000 OFFICIAL</oddFooter>
  </headerFooter>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B4682-C062-4742-9813-5AC8DABCAB41}">
  <sheetPr codeName="Sheet6" filterMode="1"/>
  <dimension ref="A1:AA211"/>
  <sheetViews>
    <sheetView zoomScale="80" zoomScaleNormal="80" workbookViewId="0">
      <selection activeCell="L1" sqref="L1:L1048576"/>
    </sheetView>
  </sheetViews>
  <sheetFormatPr defaultColWidth="8.7265625" defaultRowHeight="13" x14ac:dyDescent="0.3"/>
  <cols>
    <col min="1" max="1" width="9" style="26" bestFit="1" customWidth="1"/>
    <col min="2" max="3" width="47.7265625" style="27" customWidth="1"/>
    <col min="4" max="5" width="9.54296875" style="27" customWidth="1"/>
    <col min="6" max="7" width="8.7265625" style="27" customWidth="1"/>
    <col min="8" max="8" width="11.7265625" style="29" customWidth="1"/>
    <col min="9" max="9" width="12.453125" style="26" customWidth="1"/>
    <col min="10" max="12" width="9" style="26" customWidth="1"/>
    <col min="13" max="13" width="11.54296875" style="31" customWidth="1"/>
    <col min="14" max="15" width="8.7265625" style="27" customWidth="1"/>
    <col min="16" max="16" width="11" style="27" customWidth="1"/>
    <col min="17" max="18" width="10.26953125" style="26" customWidth="1"/>
    <col min="19" max="19" width="12.7265625" style="27" customWidth="1"/>
    <col min="20" max="20" width="11" style="27" customWidth="1"/>
    <col min="21" max="21" width="11.26953125" style="27" customWidth="1"/>
    <col min="22" max="23" width="8.7265625" style="27"/>
    <col min="24" max="24" width="16" style="27" bestFit="1" customWidth="1"/>
    <col min="25" max="26" width="8.7265625" style="27"/>
    <col min="27" max="27" width="9.453125" style="27" bestFit="1" customWidth="1"/>
    <col min="28" max="28" width="8.7265625" style="27"/>
    <col min="29" max="31" width="8.7265625" style="27" bestFit="1" customWidth="1"/>
    <col min="32" max="16384" width="8.7265625" style="27"/>
  </cols>
  <sheetData>
    <row r="1" spans="1:27" x14ac:dyDescent="0.3">
      <c r="A1" s="26">
        <v>1</v>
      </c>
      <c r="B1" s="26">
        <v>2</v>
      </c>
      <c r="C1" s="26">
        <v>3</v>
      </c>
      <c r="D1" s="26">
        <v>4</v>
      </c>
      <c r="E1" s="26">
        <v>5</v>
      </c>
      <c r="F1" s="26">
        <v>6</v>
      </c>
      <c r="G1" s="26">
        <v>7</v>
      </c>
      <c r="H1" s="26">
        <v>8</v>
      </c>
      <c r="I1" s="26">
        <v>9</v>
      </c>
      <c r="J1" s="26">
        <v>10</v>
      </c>
      <c r="K1" s="26">
        <v>11</v>
      </c>
      <c r="L1" s="26">
        <v>12</v>
      </c>
      <c r="M1" s="26">
        <v>13</v>
      </c>
      <c r="N1" s="26">
        <v>14</v>
      </c>
      <c r="O1" s="26">
        <v>15</v>
      </c>
      <c r="P1" s="26">
        <v>16</v>
      </c>
      <c r="Q1" s="26">
        <v>17</v>
      </c>
      <c r="R1" s="26">
        <v>18</v>
      </c>
      <c r="S1" s="26">
        <v>19</v>
      </c>
      <c r="T1" s="26">
        <v>20</v>
      </c>
      <c r="U1" s="26">
        <v>21</v>
      </c>
      <c r="V1" s="26">
        <v>22</v>
      </c>
      <c r="W1" s="26">
        <v>23</v>
      </c>
    </row>
    <row r="2" spans="1:27" s="33" customFormat="1" x14ac:dyDescent="0.3">
      <c r="A2" s="32" t="s">
        <v>223</v>
      </c>
      <c r="F2" s="32">
        <v>787.57894736842104</v>
      </c>
      <c r="G2" s="32">
        <v>10815.157894736842</v>
      </c>
      <c r="H2" s="80">
        <v>1104443.9242105263</v>
      </c>
      <c r="I2" s="32">
        <v>7188.3157894736905</v>
      </c>
      <c r="J2" s="32">
        <v>1252.1052631578943</v>
      </c>
      <c r="K2" s="32">
        <v>107661.4105263158</v>
      </c>
      <c r="L2" s="32">
        <v>18431.526315789466</v>
      </c>
      <c r="M2" s="80">
        <v>8630491.7703157887</v>
      </c>
      <c r="N2" s="32">
        <v>2592.3157894736819</v>
      </c>
      <c r="O2" s="32">
        <v>38884.736842105252</v>
      </c>
      <c r="P2" s="80">
        <v>470105.24210526329</v>
      </c>
      <c r="Q2" s="32">
        <v>1602.9473684210534</v>
      </c>
      <c r="R2" s="80">
        <v>110368.27146814398</v>
      </c>
      <c r="S2" s="80">
        <v>10245688.30809973</v>
      </c>
      <c r="T2" s="32">
        <v>93.157894736842067</v>
      </c>
      <c r="U2" s="80">
        <v>43600.18836565096</v>
      </c>
    </row>
    <row r="3" spans="1:27" s="33" customFormat="1" x14ac:dyDescent="0.3">
      <c r="A3" s="32"/>
      <c r="F3" s="32">
        <v>787.57894736842104</v>
      </c>
      <c r="G3" s="32">
        <v>10815.157894736842</v>
      </c>
      <c r="H3" s="32"/>
      <c r="I3" s="32">
        <v>7188.3157894736905</v>
      </c>
      <c r="J3" s="32">
        <v>1252.1052631578943</v>
      </c>
      <c r="K3" s="32">
        <v>107661.4105263158</v>
      </c>
      <c r="L3" s="32">
        <v>18431.526315789466</v>
      </c>
      <c r="M3" s="32"/>
      <c r="N3" s="32">
        <v>2592.3157894736819</v>
      </c>
      <c r="O3" s="32">
        <v>38884.736842105252</v>
      </c>
      <c r="P3" s="32"/>
      <c r="Q3" s="32">
        <v>1602.9473684210534</v>
      </c>
      <c r="R3" s="32"/>
      <c r="S3" s="32"/>
      <c r="T3" s="32">
        <v>93.157894736842067</v>
      </c>
      <c r="U3" s="32"/>
    </row>
    <row r="4" spans="1:27" x14ac:dyDescent="0.3">
      <c r="E4" s="39">
        <v>11.92</v>
      </c>
      <c r="H4" s="39">
        <v>8.51</v>
      </c>
      <c r="M4" s="76">
        <v>5.66</v>
      </c>
      <c r="P4" s="39">
        <v>1</v>
      </c>
      <c r="R4" s="81">
        <v>68.84210526315789</v>
      </c>
      <c r="S4" s="41"/>
      <c r="U4" s="42">
        <v>296.21052631578948</v>
      </c>
    </row>
    <row r="5" spans="1:27" s="44" customFormat="1" ht="104" x14ac:dyDescent="0.3">
      <c r="A5" s="43" t="s">
        <v>225</v>
      </c>
      <c r="B5" s="43" t="s">
        <v>226</v>
      </c>
      <c r="C5" s="43"/>
      <c r="D5" s="43" t="s">
        <v>404</v>
      </c>
      <c r="E5" s="43" t="s">
        <v>228</v>
      </c>
      <c r="F5" s="44" t="s">
        <v>405</v>
      </c>
      <c r="G5" s="44" t="s">
        <v>406</v>
      </c>
      <c r="H5" s="45" t="s">
        <v>407</v>
      </c>
      <c r="I5" s="44" t="s">
        <v>408</v>
      </c>
      <c r="J5" s="44" t="s">
        <v>409</v>
      </c>
      <c r="K5" s="44" t="s">
        <v>410</v>
      </c>
      <c r="L5" s="44" t="s">
        <v>411</v>
      </c>
      <c r="M5" s="46" t="s">
        <v>412</v>
      </c>
      <c r="N5" s="44" t="s">
        <v>413</v>
      </c>
      <c r="O5" s="44" t="s">
        <v>414</v>
      </c>
      <c r="P5" s="44" t="s">
        <v>415</v>
      </c>
      <c r="Q5" s="44" t="s">
        <v>416</v>
      </c>
      <c r="R5" s="44" t="s">
        <v>417</v>
      </c>
      <c r="S5" s="47" t="s">
        <v>418</v>
      </c>
      <c r="T5" s="44" t="s">
        <v>419</v>
      </c>
      <c r="U5" s="44" t="s">
        <v>14</v>
      </c>
      <c r="V5" s="44" t="s">
        <v>229</v>
      </c>
      <c r="X5" s="82" t="s">
        <v>401</v>
      </c>
    </row>
    <row r="6" spans="1:27" hidden="1" x14ac:dyDescent="0.3">
      <c r="A6" s="26">
        <v>1000</v>
      </c>
      <c r="B6" s="27" t="s">
        <v>207</v>
      </c>
      <c r="C6" s="27" t="s">
        <v>245</v>
      </c>
      <c r="D6" s="27">
        <v>0</v>
      </c>
      <c r="E6" s="27">
        <v>0</v>
      </c>
      <c r="F6" s="83">
        <v>0</v>
      </c>
      <c r="G6" s="83">
        <v>0</v>
      </c>
      <c r="H6" s="29">
        <v>0</v>
      </c>
      <c r="I6" s="83">
        <v>67.26315789473685</v>
      </c>
      <c r="J6" s="83">
        <v>26.842105263157894</v>
      </c>
      <c r="K6" s="83">
        <v>1008.9473684210525</v>
      </c>
      <c r="L6" s="83">
        <v>362.49473684210523</v>
      </c>
      <c r="M6" s="31">
        <v>93148.347789473672</v>
      </c>
      <c r="N6" s="83">
        <v>17.05263157894737</v>
      </c>
      <c r="O6" s="83">
        <v>255.78947368421055</v>
      </c>
      <c r="P6" s="49">
        <v>3069.4736842105267</v>
      </c>
      <c r="Q6" s="83">
        <v>16.736842105263158</v>
      </c>
      <c r="R6" s="50">
        <v>1152.1994459833793</v>
      </c>
      <c r="S6" s="51">
        <v>97370.020919667571</v>
      </c>
      <c r="T6" s="83">
        <v>1.263157894736842</v>
      </c>
      <c r="U6" s="52">
        <v>374.1606648199446</v>
      </c>
      <c r="V6" s="27">
        <v>0</v>
      </c>
      <c r="X6" s="78">
        <f>(S6+U6)*0.8</f>
        <v>78195.345267590004</v>
      </c>
      <c r="Z6" s="27">
        <v>78195.345267590004</v>
      </c>
      <c r="AA6" s="52">
        <f>Z6-X6</f>
        <v>0</v>
      </c>
    </row>
    <row r="7" spans="1:27" hidden="1" x14ac:dyDescent="0.3">
      <c r="A7" s="26">
        <v>1001</v>
      </c>
      <c r="B7" s="27" t="s">
        <v>181</v>
      </c>
      <c r="C7" s="27" t="s">
        <v>246</v>
      </c>
      <c r="D7" s="27">
        <v>0</v>
      </c>
      <c r="E7" s="27">
        <v>0</v>
      </c>
      <c r="F7" s="83">
        <v>20.842105263157897</v>
      </c>
      <c r="G7" s="83">
        <v>270</v>
      </c>
      <c r="H7" s="29">
        <v>27572.399999999998</v>
      </c>
      <c r="I7" s="83">
        <v>50.84210526315789</v>
      </c>
      <c r="J7" s="83">
        <v>8.8421052631578938</v>
      </c>
      <c r="K7" s="83">
        <v>762.63157894736855</v>
      </c>
      <c r="L7" s="83">
        <v>132.63157894736844</v>
      </c>
      <c r="M7" s="31">
        <v>60806.273684210544</v>
      </c>
      <c r="N7" s="83">
        <v>23.05263157894737</v>
      </c>
      <c r="O7" s="83">
        <v>345.78947368421052</v>
      </c>
      <c r="P7" s="49">
        <v>4149.4736842105267</v>
      </c>
      <c r="Q7" s="83">
        <v>0</v>
      </c>
      <c r="R7" s="50">
        <v>0</v>
      </c>
      <c r="S7" s="51">
        <v>92528.14736842108</v>
      </c>
      <c r="T7" s="83">
        <v>0.94736842105263153</v>
      </c>
      <c r="U7" s="52">
        <v>280.62049861495842</v>
      </c>
      <c r="V7" s="27">
        <v>0</v>
      </c>
      <c r="X7" s="78">
        <f t="shared" ref="X7:X70" si="0">(S7+U7)*0.8</f>
        <v>74247.014293628832</v>
      </c>
      <c r="Z7" s="27">
        <v>74247.014293628832</v>
      </c>
      <c r="AA7" s="52">
        <f t="shared" ref="AA7:AA32" si="1">Z7-X7</f>
        <v>0</v>
      </c>
    </row>
    <row r="8" spans="1:27" hidden="1" x14ac:dyDescent="0.3">
      <c r="A8" s="26">
        <v>1002</v>
      </c>
      <c r="B8" s="27" t="s">
        <v>46</v>
      </c>
      <c r="C8" s="27" t="s">
        <v>27</v>
      </c>
      <c r="D8" s="27">
        <v>0</v>
      </c>
      <c r="E8" s="27">
        <v>0</v>
      </c>
      <c r="F8" s="83">
        <v>33.157894736842103</v>
      </c>
      <c r="G8" s="83">
        <v>492.63157894736844</v>
      </c>
      <c r="H8" s="29">
        <v>50307.53684210527</v>
      </c>
      <c r="I8" s="83">
        <v>74.526315789473685</v>
      </c>
      <c r="J8" s="83">
        <v>7.8947368421052628</v>
      </c>
      <c r="K8" s="83">
        <v>1117.8947368421054</v>
      </c>
      <c r="L8" s="83">
        <v>113.68421052631578</v>
      </c>
      <c r="M8" s="31">
        <v>83648.84210526316</v>
      </c>
      <c r="N8" s="83">
        <v>51.789473684210527</v>
      </c>
      <c r="O8" s="83">
        <v>776.84210526315792</v>
      </c>
      <c r="P8" s="49">
        <v>9322.105263157895</v>
      </c>
      <c r="Q8" s="83">
        <v>51.15789473684211</v>
      </c>
      <c r="R8" s="50">
        <v>3521.8171745152354</v>
      </c>
      <c r="S8" s="51">
        <v>146800.30138504153</v>
      </c>
      <c r="T8" s="83">
        <v>1.8947368421052631</v>
      </c>
      <c r="U8" s="52">
        <v>561.24099722991684</v>
      </c>
      <c r="V8" s="27">
        <v>0</v>
      </c>
      <c r="X8" s="78">
        <f t="shared" si="0"/>
        <v>117889.23390581715</v>
      </c>
      <c r="Z8" s="27">
        <v>117889.23390581715</v>
      </c>
      <c r="AA8" s="52">
        <f t="shared" si="1"/>
        <v>0</v>
      </c>
    </row>
    <row r="9" spans="1:27" hidden="1" x14ac:dyDescent="0.3">
      <c r="A9" s="26">
        <v>1006</v>
      </c>
      <c r="B9" s="27" t="s">
        <v>77</v>
      </c>
      <c r="C9" s="27" t="s">
        <v>27</v>
      </c>
      <c r="D9" s="27">
        <v>0</v>
      </c>
      <c r="E9" s="27">
        <v>0</v>
      </c>
      <c r="F9" s="83">
        <v>1.5789473684210527</v>
      </c>
      <c r="G9" s="83">
        <v>4.7368421052631575</v>
      </c>
      <c r="H9" s="29">
        <v>483.72631578947363</v>
      </c>
      <c r="I9" s="83">
        <v>65.05263157894737</v>
      </c>
      <c r="J9" s="83">
        <v>28.105263157894736</v>
      </c>
      <c r="K9" s="83">
        <v>975.78947368421063</v>
      </c>
      <c r="L9" s="83">
        <v>421.57894736842104</v>
      </c>
      <c r="M9" s="31">
        <v>94909.263157894748</v>
      </c>
      <c r="N9" s="83">
        <v>15.157894736842104</v>
      </c>
      <c r="O9" s="83">
        <v>227.36842105263156</v>
      </c>
      <c r="P9" s="49">
        <v>2728.4210526315787</v>
      </c>
      <c r="Q9" s="83">
        <v>1.8947368421052631</v>
      </c>
      <c r="R9" s="50">
        <v>130.4376731301939</v>
      </c>
      <c r="S9" s="51">
        <v>98251.848199445987</v>
      </c>
      <c r="T9" s="83">
        <v>6</v>
      </c>
      <c r="U9" s="52">
        <v>1777.2631578947369</v>
      </c>
      <c r="V9" s="27">
        <v>0</v>
      </c>
      <c r="X9" s="78">
        <f t="shared" si="0"/>
        <v>80023.289085872588</v>
      </c>
      <c r="Z9" s="27">
        <v>80023.289085872588</v>
      </c>
      <c r="AA9" s="52">
        <f t="shared" si="1"/>
        <v>0</v>
      </c>
    </row>
    <row r="10" spans="1:27" hidden="1" x14ac:dyDescent="0.3">
      <c r="A10" s="26">
        <v>1008</v>
      </c>
      <c r="B10" s="27" t="s">
        <v>247</v>
      </c>
      <c r="C10" s="27" t="s">
        <v>27</v>
      </c>
      <c r="D10" s="27">
        <v>0</v>
      </c>
      <c r="E10" s="27">
        <v>0</v>
      </c>
      <c r="F10" s="83">
        <v>0</v>
      </c>
      <c r="G10" s="83">
        <v>0</v>
      </c>
      <c r="H10" s="29">
        <v>0</v>
      </c>
      <c r="I10" s="83">
        <v>65.68421052631578</v>
      </c>
      <c r="J10" s="83">
        <v>26.526315789473681</v>
      </c>
      <c r="K10" s="83">
        <v>985.26315789473688</v>
      </c>
      <c r="L10" s="83">
        <v>397.8947368421052</v>
      </c>
      <c r="M10" s="31">
        <v>93944.084210526329</v>
      </c>
      <c r="N10" s="83">
        <v>9.473684210526315</v>
      </c>
      <c r="O10" s="83">
        <v>142.10526315789474</v>
      </c>
      <c r="P10" s="49">
        <v>1705.2631578947369</v>
      </c>
      <c r="Q10" s="83">
        <v>0</v>
      </c>
      <c r="R10" s="50">
        <v>0</v>
      </c>
      <c r="S10" s="51">
        <v>95649.347368421062</v>
      </c>
      <c r="T10" s="83">
        <v>0.31578947368421051</v>
      </c>
      <c r="U10" s="52">
        <v>93.54016620498615</v>
      </c>
      <c r="V10" s="27">
        <v>0</v>
      </c>
      <c r="X10" s="78">
        <f t="shared" si="0"/>
        <v>76594.310027700834</v>
      </c>
      <c r="Z10" s="27">
        <v>76594.310027700834</v>
      </c>
      <c r="AA10" s="52">
        <f t="shared" si="1"/>
        <v>0</v>
      </c>
    </row>
    <row r="11" spans="1:27" hidden="1" x14ac:dyDescent="0.3">
      <c r="A11" s="26">
        <v>1009</v>
      </c>
      <c r="B11" s="27" t="s">
        <v>248</v>
      </c>
      <c r="C11" s="27" t="s">
        <v>245</v>
      </c>
      <c r="D11" s="27">
        <v>0</v>
      </c>
      <c r="E11" s="27">
        <v>0</v>
      </c>
      <c r="F11" s="83">
        <v>36.315789473684205</v>
      </c>
      <c r="G11" s="83">
        <v>516.31578947368416</v>
      </c>
      <c r="H11" s="29">
        <v>52726.168421052622</v>
      </c>
      <c r="I11" s="83">
        <v>74.21052631578948</v>
      </c>
      <c r="J11" s="83">
        <v>12.315789473684211</v>
      </c>
      <c r="K11" s="83">
        <v>1113.1578947368421</v>
      </c>
      <c r="L11" s="83">
        <v>183.15789473684211</v>
      </c>
      <c r="M11" s="31">
        <v>88045.768421052635</v>
      </c>
      <c r="N11" s="83">
        <v>25.578947368421055</v>
      </c>
      <c r="O11" s="83">
        <v>383.68421052631584</v>
      </c>
      <c r="P11" s="49">
        <v>4604.21052631579</v>
      </c>
      <c r="Q11" s="83">
        <v>24.315789473684209</v>
      </c>
      <c r="R11" s="50">
        <v>1673.9501385041549</v>
      </c>
      <c r="S11" s="51">
        <v>147050.0975069252</v>
      </c>
      <c r="T11" s="83">
        <v>0</v>
      </c>
      <c r="U11" s="52">
        <v>0</v>
      </c>
      <c r="V11" s="27">
        <v>0</v>
      </c>
      <c r="X11" s="78">
        <f t="shared" si="0"/>
        <v>117640.07800554017</v>
      </c>
      <c r="Z11" s="27">
        <v>117640.07800554017</v>
      </c>
      <c r="AA11" s="52">
        <f t="shared" si="1"/>
        <v>0</v>
      </c>
    </row>
    <row r="12" spans="1:27" hidden="1" x14ac:dyDescent="0.3">
      <c r="A12" s="26">
        <v>1010</v>
      </c>
      <c r="B12" s="27" t="s">
        <v>249</v>
      </c>
      <c r="C12" s="27" t="s">
        <v>27</v>
      </c>
      <c r="D12" s="27">
        <v>0</v>
      </c>
      <c r="E12" s="27">
        <v>0</v>
      </c>
      <c r="F12" s="83">
        <v>48.94736842105263</v>
      </c>
      <c r="G12" s="83">
        <v>710.52631578947364</v>
      </c>
      <c r="H12" s="29">
        <v>72558.947368421039</v>
      </c>
      <c r="I12" s="83">
        <v>97.578947368421055</v>
      </c>
      <c r="J12" s="83">
        <v>12.947368421052632</v>
      </c>
      <c r="K12" s="83">
        <v>1463.6842105263158</v>
      </c>
      <c r="L12" s="83">
        <v>194.21052631578948</v>
      </c>
      <c r="M12" s="31">
        <v>112604.2105263158</v>
      </c>
      <c r="N12" s="83">
        <v>27.157894736842103</v>
      </c>
      <c r="O12" s="83">
        <v>407.36842105263156</v>
      </c>
      <c r="P12" s="49">
        <v>4888.4210526315783</v>
      </c>
      <c r="Q12" s="83">
        <v>18.315789473684212</v>
      </c>
      <c r="R12" s="50">
        <v>1260.8975069252078</v>
      </c>
      <c r="S12" s="51">
        <v>191312.47645429365</v>
      </c>
      <c r="T12" s="83">
        <v>7.2631578947368425</v>
      </c>
      <c r="U12" s="52">
        <v>2151.4238227146816</v>
      </c>
      <c r="V12" s="27">
        <v>0</v>
      </c>
      <c r="X12" s="78">
        <f t="shared" si="0"/>
        <v>154771.12022160666</v>
      </c>
      <c r="Z12" s="27">
        <v>154771.12022160666</v>
      </c>
      <c r="AA12" s="52">
        <f t="shared" si="1"/>
        <v>0</v>
      </c>
    </row>
    <row r="13" spans="1:27" hidden="1" x14ac:dyDescent="0.3">
      <c r="A13" s="26">
        <v>1012</v>
      </c>
      <c r="B13" s="27" t="s">
        <v>109</v>
      </c>
      <c r="C13" s="27" t="s">
        <v>27</v>
      </c>
      <c r="D13" s="27">
        <v>0</v>
      </c>
      <c r="E13" s="27">
        <v>0</v>
      </c>
      <c r="F13" s="83">
        <v>29.684210526315791</v>
      </c>
      <c r="G13" s="83">
        <v>421.57894736842104</v>
      </c>
      <c r="H13" s="29">
        <v>43051.642105263156</v>
      </c>
      <c r="I13" s="83">
        <v>83.05263157894737</v>
      </c>
      <c r="J13" s="83">
        <v>18</v>
      </c>
      <c r="K13" s="83">
        <v>1245.7894736842104</v>
      </c>
      <c r="L13" s="83">
        <v>270</v>
      </c>
      <c r="M13" s="31">
        <v>102952.42105263157</v>
      </c>
      <c r="N13" s="83">
        <v>44.526315789473685</v>
      </c>
      <c r="O13" s="83">
        <v>667.89473684210532</v>
      </c>
      <c r="P13" s="49">
        <v>8014.7368421052633</v>
      </c>
      <c r="Q13" s="83">
        <v>0</v>
      </c>
      <c r="R13" s="50">
        <v>0</v>
      </c>
      <c r="S13" s="51">
        <v>154018.79999999999</v>
      </c>
      <c r="T13" s="83">
        <v>1.8947368421052631</v>
      </c>
      <c r="U13" s="52">
        <v>561.24099722991684</v>
      </c>
      <c r="V13" s="27">
        <v>0</v>
      </c>
      <c r="X13" s="78">
        <f t="shared" si="0"/>
        <v>123664.03279778392</v>
      </c>
      <c r="Z13" s="27">
        <v>123664.03279778392</v>
      </c>
      <c r="AA13" s="52">
        <f t="shared" si="1"/>
        <v>0</v>
      </c>
    </row>
    <row r="14" spans="1:27" hidden="1" x14ac:dyDescent="0.3">
      <c r="A14" s="26">
        <v>1014</v>
      </c>
      <c r="B14" s="27" t="s">
        <v>167</v>
      </c>
      <c r="C14" s="27" t="s">
        <v>27</v>
      </c>
      <c r="D14" s="27">
        <v>0</v>
      </c>
      <c r="E14" s="27">
        <v>0</v>
      </c>
      <c r="F14" s="83">
        <v>25.263157894736842</v>
      </c>
      <c r="G14" s="83">
        <v>355.26315789473682</v>
      </c>
      <c r="H14" s="29">
        <v>36279.473684210519</v>
      </c>
      <c r="I14" s="83">
        <v>83.368421052631589</v>
      </c>
      <c r="J14" s="83">
        <v>17.684210526315791</v>
      </c>
      <c r="K14" s="83">
        <v>1250.5263157894738</v>
      </c>
      <c r="L14" s="83">
        <v>255.78947368421052</v>
      </c>
      <c r="M14" s="31">
        <v>102308.96842105263</v>
      </c>
      <c r="N14" s="83">
        <v>59.368421052631582</v>
      </c>
      <c r="O14" s="83">
        <v>890.52631578947376</v>
      </c>
      <c r="P14" s="49">
        <v>10686.315789473685</v>
      </c>
      <c r="Q14" s="83">
        <v>26.842105263157897</v>
      </c>
      <c r="R14" s="50">
        <v>1847.8670360110805</v>
      </c>
      <c r="S14" s="51">
        <v>151122.6249307479</v>
      </c>
      <c r="T14" s="83">
        <v>4.7368421052631575</v>
      </c>
      <c r="U14" s="52">
        <v>1403.1024930747922</v>
      </c>
      <c r="V14" s="27">
        <v>0</v>
      </c>
      <c r="X14" s="78">
        <f t="shared" si="0"/>
        <v>122020.58193905815</v>
      </c>
      <c r="Z14" s="27">
        <v>122020.58193905815</v>
      </c>
      <c r="AA14" s="52">
        <f t="shared" si="1"/>
        <v>0</v>
      </c>
    </row>
    <row r="15" spans="1:27" hidden="1" x14ac:dyDescent="0.3">
      <c r="A15" s="26">
        <v>1015</v>
      </c>
      <c r="B15" s="27" t="s">
        <v>250</v>
      </c>
      <c r="C15" s="27" t="s">
        <v>27</v>
      </c>
      <c r="D15" s="27">
        <v>0</v>
      </c>
      <c r="E15" s="27">
        <v>0</v>
      </c>
      <c r="F15" s="83">
        <v>19.578947368421051</v>
      </c>
      <c r="G15" s="83">
        <v>232.10526315789474</v>
      </c>
      <c r="H15" s="29">
        <v>23702.589473684209</v>
      </c>
      <c r="I15" s="83">
        <v>77.684210526315795</v>
      </c>
      <c r="J15" s="83">
        <v>35.052631578947363</v>
      </c>
      <c r="K15" s="83">
        <v>1165.2631578947369</v>
      </c>
      <c r="L15" s="83">
        <v>525.78947368421052</v>
      </c>
      <c r="M15" s="31">
        <v>114856.29473684212</v>
      </c>
      <c r="N15" s="83">
        <v>34.421052631578945</v>
      </c>
      <c r="O15" s="83">
        <v>516.31578947368416</v>
      </c>
      <c r="P15" s="49">
        <v>6195.78947368421</v>
      </c>
      <c r="Q15" s="83">
        <v>33.789473684210527</v>
      </c>
      <c r="R15" s="50">
        <v>2326.1385041551248</v>
      </c>
      <c r="S15" s="51">
        <v>147080.81218836567</v>
      </c>
      <c r="T15" s="83">
        <v>4.1052631578947372</v>
      </c>
      <c r="U15" s="52">
        <v>1216.0221606648201</v>
      </c>
      <c r="V15" s="27">
        <v>0</v>
      </c>
      <c r="X15" s="78">
        <f t="shared" si="0"/>
        <v>118637.46747922439</v>
      </c>
      <c r="Z15" s="27">
        <v>118637.46747922439</v>
      </c>
      <c r="AA15" s="52">
        <f t="shared" si="1"/>
        <v>0</v>
      </c>
    </row>
    <row r="16" spans="1:27" hidden="1" x14ac:dyDescent="0.3">
      <c r="A16" s="26">
        <v>1016</v>
      </c>
      <c r="B16" s="27" t="s">
        <v>101</v>
      </c>
      <c r="C16" s="27" t="s">
        <v>27</v>
      </c>
      <c r="D16" s="27">
        <v>0</v>
      </c>
      <c r="E16" s="27">
        <v>0</v>
      </c>
      <c r="F16" s="83">
        <v>16.736842105263158</v>
      </c>
      <c r="G16" s="83">
        <v>213.15789473684211</v>
      </c>
      <c r="H16" s="29">
        <v>21767.684210526317</v>
      </c>
      <c r="I16" s="83">
        <v>68.210526315789465</v>
      </c>
      <c r="J16" s="83">
        <v>26.526315789473685</v>
      </c>
      <c r="K16" s="83">
        <v>1023.1578947368421</v>
      </c>
      <c r="L16" s="83">
        <v>390.4736842105263</v>
      </c>
      <c r="M16" s="31">
        <v>96013.856842105262</v>
      </c>
      <c r="N16" s="83">
        <v>30.94736842105263</v>
      </c>
      <c r="O16" s="83">
        <v>464.21052631578948</v>
      </c>
      <c r="P16" s="49">
        <v>5570.5263157894733</v>
      </c>
      <c r="Q16" s="83">
        <v>29.05263157894737</v>
      </c>
      <c r="R16" s="50">
        <v>2000.0443213296398</v>
      </c>
      <c r="S16" s="51">
        <v>125352.1116897507</v>
      </c>
      <c r="T16" s="83">
        <v>0</v>
      </c>
      <c r="U16" s="52">
        <v>0</v>
      </c>
      <c r="V16" s="27">
        <v>0</v>
      </c>
      <c r="X16" s="78">
        <f t="shared" si="0"/>
        <v>100281.68935180057</v>
      </c>
      <c r="Z16" s="27">
        <v>100281.68935180057</v>
      </c>
      <c r="AA16" s="52">
        <f t="shared" si="1"/>
        <v>0</v>
      </c>
    </row>
    <row r="17" spans="1:27" hidden="1" x14ac:dyDescent="0.3">
      <c r="A17" s="26">
        <v>1017</v>
      </c>
      <c r="B17" s="27" t="s">
        <v>29</v>
      </c>
      <c r="C17" s="27" t="s">
        <v>27</v>
      </c>
      <c r="D17" s="27">
        <v>0</v>
      </c>
      <c r="E17" s="27">
        <v>0</v>
      </c>
      <c r="F17" s="83">
        <v>36.631578947368425</v>
      </c>
      <c r="G17" s="83">
        <v>445.26315789473688</v>
      </c>
      <c r="H17" s="29">
        <v>45470.27368421053</v>
      </c>
      <c r="I17" s="83">
        <v>95.05263157894737</v>
      </c>
      <c r="J17" s="83">
        <v>43.578947368421055</v>
      </c>
      <c r="K17" s="83">
        <v>1421.0526315789475</v>
      </c>
      <c r="L17" s="83">
        <v>652.73684210526312</v>
      </c>
      <c r="M17" s="31">
        <v>140851.78105263159</v>
      </c>
      <c r="N17" s="83">
        <v>56.84210526315789</v>
      </c>
      <c r="O17" s="83">
        <v>852.63157894736833</v>
      </c>
      <c r="P17" s="49">
        <v>10231.57894736842</v>
      </c>
      <c r="Q17" s="83">
        <v>54</v>
      </c>
      <c r="R17" s="50">
        <v>3717.4736842105262</v>
      </c>
      <c r="S17" s="51">
        <v>200271.10736842107</v>
      </c>
      <c r="T17" s="83">
        <v>6.3157894736842106</v>
      </c>
      <c r="U17" s="52">
        <v>1870.8033240997231</v>
      </c>
      <c r="V17" s="27">
        <v>0</v>
      </c>
      <c r="X17" s="78">
        <f t="shared" si="0"/>
        <v>161713.52855401664</v>
      </c>
      <c r="Z17" s="27">
        <v>161713.52855401664</v>
      </c>
      <c r="AA17" s="52">
        <f t="shared" si="1"/>
        <v>0</v>
      </c>
    </row>
    <row r="18" spans="1:27" hidden="1" x14ac:dyDescent="0.3">
      <c r="A18" s="26">
        <v>1018</v>
      </c>
      <c r="B18" s="27" t="s">
        <v>129</v>
      </c>
      <c r="C18" s="27" t="s">
        <v>27</v>
      </c>
      <c r="D18" s="27">
        <v>0</v>
      </c>
      <c r="E18" s="27">
        <v>0</v>
      </c>
      <c r="F18" s="83">
        <v>39.789473684210527</v>
      </c>
      <c r="G18" s="83">
        <v>563.68421052631584</v>
      </c>
      <c r="H18" s="29">
        <v>57563.431578947369</v>
      </c>
      <c r="I18" s="83">
        <v>93.15789473684211</v>
      </c>
      <c r="J18" s="83">
        <v>43.263157894736835</v>
      </c>
      <c r="K18" s="83">
        <v>1397.3684210526317</v>
      </c>
      <c r="L18" s="83">
        <v>648.9473684210526</v>
      </c>
      <c r="M18" s="31">
        <v>138985.76842105263</v>
      </c>
      <c r="N18" s="83">
        <v>64.421052631578945</v>
      </c>
      <c r="O18" s="83">
        <v>966.31578947368416</v>
      </c>
      <c r="P18" s="49">
        <v>11595.78947368421</v>
      </c>
      <c r="Q18" s="83">
        <v>63.473684210526315</v>
      </c>
      <c r="R18" s="50">
        <v>4369.6620498614957</v>
      </c>
      <c r="S18" s="51">
        <v>212514.65152354573</v>
      </c>
      <c r="T18" s="83">
        <v>7.8947368421052637</v>
      </c>
      <c r="U18" s="52">
        <v>2338.5041551246541</v>
      </c>
      <c r="V18" s="27">
        <v>0</v>
      </c>
      <c r="X18" s="78">
        <f t="shared" si="0"/>
        <v>171882.52454293633</v>
      </c>
      <c r="Z18" s="27">
        <v>171882.52454293633</v>
      </c>
      <c r="AA18" s="52">
        <f t="shared" si="1"/>
        <v>0</v>
      </c>
    </row>
    <row r="19" spans="1:27" hidden="1" x14ac:dyDescent="0.3">
      <c r="A19" s="26">
        <v>1019</v>
      </c>
      <c r="B19" s="27" t="s">
        <v>185</v>
      </c>
      <c r="C19" s="27" t="s">
        <v>246</v>
      </c>
      <c r="D19" s="27">
        <v>0</v>
      </c>
      <c r="E19" s="27">
        <v>0</v>
      </c>
      <c r="F19" s="83">
        <v>24.315789473684209</v>
      </c>
      <c r="G19" s="83">
        <v>307.89473684210526</v>
      </c>
      <c r="H19" s="29">
        <v>31442.21052631579</v>
      </c>
      <c r="I19" s="83">
        <v>89.05263157894737</v>
      </c>
      <c r="J19" s="83">
        <v>22.10526315789474</v>
      </c>
      <c r="K19" s="83">
        <v>1335.7894736842104</v>
      </c>
      <c r="L19" s="83">
        <v>331.57894736842104</v>
      </c>
      <c r="M19" s="31">
        <v>113247.66315789473</v>
      </c>
      <c r="N19" s="83">
        <v>27.157894736842103</v>
      </c>
      <c r="O19" s="83">
        <v>407.36842105263156</v>
      </c>
      <c r="P19" s="49">
        <v>4888.4210526315783</v>
      </c>
      <c r="Q19" s="83">
        <v>2.8421052631578947</v>
      </c>
      <c r="R19" s="50">
        <v>195.65650969529085</v>
      </c>
      <c r="S19" s="51">
        <v>149773.95124653738</v>
      </c>
      <c r="T19" s="83">
        <v>0.63157894736842102</v>
      </c>
      <c r="U19" s="52">
        <v>187.0803324099723</v>
      </c>
      <c r="V19" s="27">
        <v>0</v>
      </c>
      <c r="X19" s="78">
        <f t="shared" si="0"/>
        <v>119968.82526315789</v>
      </c>
      <c r="Z19" s="27">
        <v>119968.82526315789</v>
      </c>
      <c r="AA19" s="52">
        <f t="shared" si="1"/>
        <v>0</v>
      </c>
    </row>
    <row r="20" spans="1:27" hidden="1" x14ac:dyDescent="0.3">
      <c r="A20" s="26">
        <v>1020</v>
      </c>
      <c r="B20" s="27" t="s">
        <v>219</v>
      </c>
      <c r="C20" s="27" t="s">
        <v>245</v>
      </c>
      <c r="D20" s="27">
        <v>2</v>
      </c>
      <c r="E20" s="27">
        <v>30</v>
      </c>
      <c r="F20" s="83">
        <v>61.26315789473685</v>
      </c>
      <c r="G20" s="83">
        <v>843.15789473684208</v>
      </c>
      <c r="H20" s="29">
        <v>86103.284210526312</v>
      </c>
      <c r="I20" s="83">
        <v>111.47368421052633</v>
      </c>
      <c r="J20" s="83">
        <v>35.05263157894737</v>
      </c>
      <c r="K20" s="83">
        <v>1672.1052631578946</v>
      </c>
      <c r="L20" s="83">
        <v>525.78947368421052</v>
      </c>
      <c r="M20" s="31">
        <v>149281.01052631577</v>
      </c>
      <c r="N20" s="83">
        <v>80.84210526315789</v>
      </c>
      <c r="O20" s="83">
        <v>1212.6315789473683</v>
      </c>
      <c r="P20" s="49">
        <v>14551.57894736842</v>
      </c>
      <c r="Q20" s="83">
        <v>80.21052631578948</v>
      </c>
      <c r="R20" s="50">
        <v>5521.8614958448752</v>
      </c>
      <c r="S20" s="51">
        <v>255487.7351800554</v>
      </c>
      <c r="T20" s="83">
        <v>7.8947368421052637</v>
      </c>
      <c r="U20" s="52">
        <v>2338.5041551246541</v>
      </c>
      <c r="V20" s="27">
        <v>4291.2000000000007</v>
      </c>
      <c r="X20" s="78">
        <f>(S20+U20+V20)*0.8</f>
        <v>209693.95146814408</v>
      </c>
      <c r="Z20" s="27">
        <v>209669.95146814405</v>
      </c>
      <c r="AA20" s="52">
        <f t="shared" si="1"/>
        <v>-24.000000000029104</v>
      </c>
    </row>
    <row r="21" spans="1:27" hidden="1" x14ac:dyDescent="0.3">
      <c r="A21" s="26">
        <v>1021</v>
      </c>
      <c r="B21" s="27" t="s">
        <v>91</v>
      </c>
      <c r="C21" s="27" t="s">
        <v>27</v>
      </c>
      <c r="D21" s="27">
        <v>0</v>
      </c>
      <c r="E21" s="27">
        <v>0</v>
      </c>
      <c r="F21" s="83">
        <v>14.526315789473685</v>
      </c>
      <c r="G21" s="83">
        <v>203.68421052631578</v>
      </c>
      <c r="H21" s="29">
        <v>20800.231578947365</v>
      </c>
      <c r="I21" s="83">
        <v>42</v>
      </c>
      <c r="J21" s="83">
        <v>9.1578947368421044</v>
      </c>
      <c r="K21" s="83">
        <v>630</v>
      </c>
      <c r="L21" s="83">
        <v>137.36842105263156</v>
      </c>
      <c r="M21" s="31">
        <v>52119.663157894734</v>
      </c>
      <c r="N21" s="83">
        <v>15.473684210526315</v>
      </c>
      <c r="O21" s="83">
        <v>232.10526315789474</v>
      </c>
      <c r="P21" s="49">
        <v>2785.2631578947367</v>
      </c>
      <c r="Q21" s="83">
        <v>14.842105263157896</v>
      </c>
      <c r="R21" s="50">
        <v>1021.7617728531856</v>
      </c>
      <c r="S21" s="51">
        <v>76726.919667590031</v>
      </c>
      <c r="T21" s="83">
        <v>0</v>
      </c>
      <c r="U21" s="52">
        <v>0</v>
      </c>
      <c r="V21" s="27">
        <v>0</v>
      </c>
      <c r="X21" s="78">
        <f t="shared" ref="X21:X22" si="2">(S21+U21+V21)*0.8</f>
        <v>61381.535734072029</v>
      </c>
      <c r="Z21" s="27">
        <v>61381.535734072029</v>
      </c>
      <c r="AA21" s="52">
        <f t="shared" si="1"/>
        <v>0</v>
      </c>
    </row>
    <row r="22" spans="1:27" hidden="1" x14ac:dyDescent="0.3">
      <c r="A22" s="26">
        <v>1022</v>
      </c>
      <c r="B22" s="27" t="s">
        <v>81</v>
      </c>
      <c r="C22" s="27" t="s">
        <v>27</v>
      </c>
      <c r="D22" s="27">
        <v>1</v>
      </c>
      <c r="E22" s="27">
        <v>15</v>
      </c>
      <c r="F22" s="83">
        <v>23.368421052631579</v>
      </c>
      <c r="G22" s="83">
        <v>307.89473684210526</v>
      </c>
      <c r="H22" s="29">
        <v>31442.21052631579</v>
      </c>
      <c r="I22" s="83">
        <v>63.157894736842103</v>
      </c>
      <c r="J22" s="83">
        <v>13.578947368421051</v>
      </c>
      <c r="K22" s="83">
        <v>923.68421052631584</v>
      </c>
      <c r="L22" s="83">
        <v>203.68421052631578</v>
      </c>
      <c r="M22" s="31">
        <v>76570.863157894739</v>
      </c>
      <c r="N22" s="83">
        <v>28.421052631578945</v>
      </c>
      <c r="O22" s="83">
        <v>426.31578947368416</v>
      </c>
      <c r="P22" s="49">
        <v>5115.78947368421</v>
      </c>
      <c r="Q22" s="83">
        <v>18</v>
      </c>
      <c r="R22" s="50">
        <v>1239.1578947368421</v>
      </c>
      <c r="S22" s="51">
        <v>114383.02105263158</v>
      </c>
      <c r="T22" s="83">
        <v>6.6315789473684212</v>
      </c>
      <c r="U22" s="52">
        <v>1964.3434903047093</v>
      </c>
      <c r="V22" s="27">
        <v>2145.6000000000004</v>
      </c>
      <c r="X22" s="78">
        <f t="shared" si="2"/>
        <v>94794.371634349052</v>
      </c>
      <c r="Z22" s="27">
        <v>94782.371634349052</v>
      </c>
      <c r="AA22" s="52">
        <f t="shared" si="1"/>
        <v>-12</v>
      </c>
    </row>
    <row r="23" spans="1:27" hidden="1" x14ac:dyDescent="0.3">
      <c r="A23" s="26">
        <v>1023</v>
      </c>
      <c r="B23" s="27" t="s">
        <v>97</v>
      </c>
      <c r="C23" s="27" t="s">
        <v>27</v>
      </c>
      <c r="D23" s="27">
        <v>0</v>
      </c>
      <c r="E23" s="27">
        <v>0</v>
      </c>
      <c r="F23" s="83">
        <v>17.368421052631579</v>
      </c>
      <c r="G23" s="83">
        <v>232.10526315789474</v>
      </c>
      <c r="H23" s="29">
        <v>23702.589473684209</v>
      </c>
      <c r="I23" s="83">
        <v>57.15789473684211</v>
      </c>
      <c r="J23" s="83">
        <v>5.6842105263157894</v>
      </c>
      <c r="K23" s="83">
        <v>857.36842105263167</v>
      </c>
      <c r="L23" s="83">
        <v>85.26315789473685</v>
      </c>
      <c r="M23" s="31">
        <v>64023.53684210527</v>
      </c>
      <c r="N23" s="83">
        <v>30.94736842105263</v>
      </c>
      <c r="O23" s="83">
        <v>464.21052631578948</v>
      </c>
      <c r="P23" s="49">
        <v>5570.5263157894733</v>
      </c>
      <c r="Q23" s="83">
        <v>13.578947368421051</v>
      </c>
      <c r="R23" s="50">
        <v>934.80332409972289</v>
      </c>
      <c r="S23" s="51">
        <v>94231.455955678655</v>
      </c>
      <c r="T23" s="83">
        <v>5.6842105263157894</v>
      </c>
      <c r="U23" s="52">
        <v>1683.7229916897506</v>
      </c>
      <c r="V23" s="27">
        <v>0</v>
      </c>
      <c r="X23" s="78">
        <f t="shared" si="0"/>
        <v>76732.143157894723</v>
      </c>
      <c r="Z23" s="27">
        <v>76732.143157894723</v>
      </c>
      <c r="AA23" s="52">
        <f t="shared" si="1"/>
        <v>0</v>
      </c>
    </row>
    <row r="24" spans="1:27" hidden="1" x14ac:dyDescent="0.3">
      <c r="A24" s="26">
        <v>1024</v>
      </c>
      <c r="B24" s="27" t="s">
        <v>251</v>
      </c>
      <c r="C24" s="27" t="s">
        <v>245</v>
      </c>
      <c r="D24" s="27">
        <v>0</v>
      </c>
      <c r="E24" s="27">
        <v>0</v>
      </c>
      <c r="F24" s="83">
        <v>26.842105263157897</v>
      </c>
      <c r="G24" s="83">
        <v>378.9473684210526</v>
      </c>
      <c r="H24" s="29">
        <v>38698.105263157893</v>
      </c>
      <c r="I24" s="83">
        <v>50.842105263157904</v>
      </c>
      <c r="J24" s="83">
        <v>7.5789473684210522</v>
      </c>
      <c r="K24" s="83">
        <v>762.63157894736844</v>
      </c>
      <c r="L24" s="83">
        <v>113.68421052631578</v>
      </c>
      <c r="M24" s="31">
        <v>59519.368421052641</v>
      </c>
      <c r="N24" s="83">
        <v>37.263157894736842</v>
      </c>
      <c r="O24" s="83">
        <v>558.9473684210526</v>
      </c>
      <c r="P24" s="49">
        <v>6707.3684210526317</v>
      </c>
      <c r="Q24" s="83">
        <v>37.263157894736842</v>
      </c>
      <c r="R24" s="50">
        <v>2565.2742382271467</v>
      </c>
      <c r="S24" s="51">
        <v>107490.11634349031</v>
      </c>
      <c r="T24" s="83">
        <v>0</v>
      </c>
      <c r="U24" s="52">
        <v>0</v>
      </c>
      <c r="V24" s="27">
        <v>0</v>
      </c>
      <c r="X24" s="78">
        <f t="shared" si="0"/>
        <v>85992.093074792254</v>
      </c>
      <c r="Z24" s="27">
        <v>85992.093074792254</v>
      </c>
      <c r="AA24" s="52">
        <f t="shared" si="1"/>
        <v>0</v>
      </c>
    </row>
    <row r="25" spans="1:27" hidden="1" x14ac:dyDescent="0.3">
      <c r="A25" s="26">
        <v>1025</v>
      </c>
      <c r="B25" s="27" t="s">
        <v>40</v>
      </c>
      <c r="C25" s="27" t="s">
        <v>27</v>
      </c>
      <c r="D25" s="27">
        <v>0</v>
      </c>
      <c r="E25" s="27">
        <v>0</v>
      </c>
      <c r="F25" s="83">
        <v>45.157894736842103</v>
      </c>
      <c r="G25" s="83">
        <v>658.42105263157896</v>
      </c>
      <c r="H25" s="29">
        <v>67237.957894736843</v>
      </c>
      <c r="I25" s="83">
        <v>78</v>
      </c>
      <c r="J25" s="83">
        <v>9.4736842105263168</v>
      </c>
      <c r="K25" s="83">
        <v>1170</v>
      </c>
      <c r="L25" s="83">
        <v>142.10526315789474</v>
      </c>
      <c r="M25" s="31">
        <v>89118.189473684222</v>
      </c>
      <c r="N25" s="83">
        <v>73.26315789473685</v>
      </c>
      <c r="O25" s="83">
        <v>1098.9473684210527</v>
      </c>
      <c r="P25" s="49">
        <v>13187.368421052633</v>
      </c>
      <c r="Q25" s="83">
        <v>53.05263157894737</v>
      </c>
      <c r="R25" s="50">
        <v>3652.2548476454294</v>
      </c>
      <c r="S25" s="51">
        <v>173195.77063711916</v>
      </c>
      <c r="T25" s="83">
        <v>3.1578947368421053</v>
      </c>
      <c r="U25" s="52">
        <v>935.40166204986156</v>
      </c>
      <c r="V25" s="27">
        <v>0</v>
      </c>
      <c r="X25" s="78">
        <f t="shared" si="0"/>
        <v>139304.93783933524</v>
      </c>
      <c r="Z25" s="27">
        <v>139304.93783933524</v>
      </c>
      <c r="AA25" s="52">
        <f t="shared" si="1"/>
        <v>0</v>
      </c>
    </row>
    <row r="26" spans="1:27" hidden="1" x14ac:dyDescent="0.3">
      <c r="A26" s="26">
        <v>1026</v>
      </c>
      <c r="B26" s="27" t="s">
        <v>73</v>
      </c>
      <c r="C26" s="27" t="s">
        <v>27</v>
      </c>
      <c r="D26" s="27">
        <v>0</v>
      </c>
      <c r="E26" s="27">
        <v>0</v>
      </c>
      <c r="F26" s="83">
        <v>25.894736842105264</v>
      </c>
      <c r="G26" s="83">
        <v>345.78947368421052</v>
      </c>
      <c r="H26" s="29">
        <v>35312.021052631579</v>
      </c>
      <c r="I26" s="83">
        <v>88.421052631578959</v>
      </c>
      <c r="J26" s="83">
        <v>17.368421052631579</v>
      </c>
      <c r="K26" s="83">
        <v>1321.578947368421</v>
      </c>
      <c r="L26" s="83">
        <v>260.52631578947364</v>
      </c>
      <c r="M26" s="31">
        <v>107456.58947368422</v>
      </c>
      <c r="N26" s="83">
        <v>47.684210526315795</v>
      </c>
      <c r="O26" s="83">
        <v>715.26315789473688</v>
      </c>
      <c r="P26" s="49">
        <v>8583.1578947368434</v>
      </c>
      <c r="Q26" s="83">
        <v>17.368421052631579</v>
      </c>
      <c r="R26" s="50">
        <v>1195.6786703601108</v>
      </c>
      <c r="S26" s="51">
        <v>152547.44709141279</v>
      </c>
      <c r="T26" s="83">
        <v>3.1578947368421053</v>
      </c>
      <c r="U26" s="52">
        <v>935.40166204986156</v>
      </c>
      <c r="V26" s="27">
        <v>0</v>
      </c>
      <c r="X26" s="78">
        <f t="shared" si="0"/>
        <v>122786.27900277014</v>
      </c>
      <c r="Z26" s="27">
        <v>122786.27900277014</v>
      </c>
      <c r="AA26" s="52">
        <f t="shared" si="1"/>
        <v>0</v>
      </c>
    </row>
    <row r="27" spans="1:27" x14ac:dyDescent="0.3">
      <c r="A27" s="26">
        <v>1027</v>
      </c>
      <c r="B27" s="27" t="s">
        <v>25</v>
      </c>
      <c r="C27" s="27" t="s">
        <v>27</v>
      </c>
      <c r="D27" s="27">
        <v>0</v>
      </c>
      <c r="E27" s="27">
        <v>0</v>
      </c>
      <c r="F27" s="83">
        <v>25.578947368421055</v>
      </c>
      <c r="G27" s="83">
        <v>355.26315789473682</v>
      </c>
      <c r="H27" s="29">
        <v>36279.473684210519</v>
      </c>
      <c r="I27" s="83">
        <v>76.421052631578945</v>
      </c>
      <c r="J27" s="83">
        <v>15.157894736842104</v>
      </c>
      <c r="K27" s="83">
        <v>1141.578947368421</v>
      </c>
      <c r="L27" s="83">
        <v>227.36842105263156</v>
      </c>
      <c r="M27" s="31">
        <v>92978.905263157896</v>
      </c>
      <c r="N27" s="83">
        <v>26.526315789473685</v>
      </c>
      <c r="O27" s="83">
        <v>397.89473684210526</v>
      </c>
      <c r="P27" s="49">
        <v>4774.7368421052633</v>
      </c>
      <c r="Q27" s="83">
        <v>4.7368421052631575</v>
      </c>
      <c r="R27" s="50">
        <v>326.09418282548472</v>
      </c>
      <c r="S27" s="51">
        <v>134359.20997229914</v>
      </c>
      <c r="T27" s="83">
        <v>2.8421052631578947</v>
      </c>
      <c r="U27" s="52">
        <v>841.86149584487532</v>
      </c>
      <c r="V27" s="27">
        <v>0</v>
      </c>
      <c r="X27" s="78">
        <f t="shared" si="0"/>
        <v>108160.85717451521</v>
      </c>
      <c r="Z27" s="27">
        <v>108160.85717451521</v>
      </c>
      <c r="AA27" s="52">
        <f t="shared" si="1"/>
        <v>0</v>
      </c>
    </row>
    <row r="28" spans="1:27" hidden="1" x14ac:dyDescent="0.3">
      <c r="A28" s="26">
        <v>1028</v>
      </c>
      <c r="B28" s="27" t="s">
        <v>201</v>
      </c>
      <c r="C28" s="27" t="s">
        <v>245</v>
      </c>
      <c r="D28" s="27">
        <v>0</v>
      </c>
      <c r="E28" s="27">
        <v>0</v>
      </c>
      <c r="F28" s="83">
        <v>27.789473684210527</v>
      </c>
      <c r="G28" s="83">
        <v>388.42105263157896</v>
      </c>
      <c r="H28" s="29">
        <v>39665.557894736841</v>
      </c>
      <c r="I28" s="83">
        <v>49.89473684210526</v>
      </c>
      <c r="J28" s="83">
        <v>2.8421052631578947</v>
      </c>
      <c r="K28" s="83">
        <v>748.42105263157896</v>
      </c>
      <c r="L28" s="83">
        <v>42.631578947368418</v>
      </c>
      <c r="M28" s="31">
        <v>53728.294736842101</v>
      </c>
      <c r="N28" s="83">
        <v>36.315789473684205</v>
      </c>
      <c r="O28" s="83">
        <v>544.73684210526312</v>
      </c>
      <c r="P28" s="49">
        <v>6536.8421052631575</v>
      </c>
      <c r="Q28" s="83">
        <v>18.631578947368421</v>
      </c>
      <c r="R28" s="50">
        <v>1282.6371191135734</v>
      </c>
      <c r="S28" s="51">
        <v>101213.33185595568</v>
      </c>
      <c r="T28" s="83">
        <v>2.8421052631578947</v>
      </c>
      <c r="U28" s="52">
        <v>841.86149584487532</v>
      </c>
      <c r="V28" s="27">
        <v>0</v>
      </c>
      <c r="X28" s="78">
        <f t="shared" si="0"/>
        <v>81644.154681440443</v>
      </c>
      <c r="Z28" s="27">
        <v>81644.154681440443</v>
      </c>
      <c r="AA28" s="52">
        <f t="shared" si="1"/>
        <v>0</v>
      </c>
    </row>
    <row r="29" spans="1:27" hidden="1" x14ac:dyDescent="0.3">
      <c r="A29" s="26">
        <v>1038</v>
      </c>
      <c r="B29" s="27" t="s">
        <v>252</v>
      </c>
      <c r="C29" s="27" t="s">
        <v>27</v>
      </c>
      <c r="D29" s="27">
        <v>0</v>
      </c>
      <c r="E29" s="27">
        <v>0</v>
      </c>
      <c r="F29" s="83">
        <v>40.421052631578945</v>
      </c>
      <c r="G29" s="83">
        <v>468.94736842105266</v>
      </c>
      <c r="H29" s="29">
        <v>47888.905263157896</v>
      </c>
      <c r="I29" s="83">
        <v>92.21052631578948</v>
      </c>
      <c r="J29" s="83">
        <v>38.526315789473685</v>
      </c>
      <c r="K29" s="83">
        <v>1383.1578947368421</v>
      </c>
      <c r="L29" s="83">
        <v>577.8947368421052</v>
      </c>
      <c r="M29" s="31">
        <v>133194.69473684212</v>
      </c>
      <c r="N29" s="83">
        <v>54.315789473684205</v>
      </c>
      <c r="O29" s="83">
        <v>814.73684210526312</v>
      </c>
      <c r="P29" s="49">
        <v>9776.8421052631566</v>
      </c>
      <c r="Q29" s="83">
        <v>53.05263157894737</v>
      </c>
      <c r="R29" s="50">
        <v>3652.2548476454294</v>
      </c>
      <c r="S29" s="51">
        <v>194512.69695290862</v>
      </c>
      <c r="T29" s="83">
        <v>0.94736842105263153</v>
      </c>
      <c r="U29" s="52">
        <v>280.62049861495842</v>
      </c>
      <c r="V29" s="27">
        <v>0</v>
      </c>
      <c r="X29" s="78">
        <f t="shared" si="0"/>
        <v>155834.65396121886</v>
      </c>
      <c r="Z29" s="27">
        <v>155834.65396121886</v>
      </c>
      <c r="AA29" s="52">
        <f t="shared" si="1"/>
        <v>0</v>
      </c>
    </row>
    <row r="30" spans="1:27" hidden="1" x14ac:dyDescent="0.3">
      <c r="A30" s="26">
        <v>1048</v>
      </c>
      <c r="B30" s="27" t="s">
        <v>53</v>
      </c>
      <c r="C30" s="27" t="s">
        <v>27</v>
      </c>
      <c r="D30" s="27">
        <v>0</v>
      </c>
      <c r="E30" s="27">
        <v>0</v>
      </c>
      <c r="F30" s="83">
        <v>42.315789473684205</v>
      </c>
      <c r="G30" s="83">
        <v>625.26315789473688</v>
      </c>
      <c r="H30" s="29">
        <v>63851.873684210528</v>
      </c>
      <c r="I30" s="83">
        <v>95.05263157894737</v>
      </c>
      <c r="J30" s="83">
        <v>28.105263157894736</v>
      </c>
      <c r="K30" s="83">
        <v>1425.7894736842106</v>
      </c>
      <c r="L30" s="83">
        <v>412.10526315789474</v>
      </c>
      <c r="M30" s="31">
        <v>124829.81052631579</v>
      </c>
      <c r="N30" s="83">
        <v>70.421052631578945</v>
      </c>
      <c r="O30" s="83">
        <v>1056.3157894736842</v>
      </c>
      <c r="P30" s="49">
        <v>12675.78947368421</v>
      </c>
      <c r="Q30" s="83">
        <v>56.84210526315789</v>
      </c>
      <c r="R30" s="50">
        <v>3913.1301939058167</v>
      </c>
      <c r="S30" s="51">
        <v>205270.60387811635</v>
      </c>
      <c r="T30" s="83">
        <v>6.3157894736842106</v>
      </c>
      <c r="U30" s="52">
        <v>1870.8033240997231</v>
      </c>
      <c r="V30" s="27">
        <v>0</v>
      </c>
      <c r="X30" s="78">
        <f t="shared" si="0"/>
        <v>165713.12576177286</v>
      </c>
      <c r="Z30" s="27">
        <v>165713.12576177286</v>
      </c>
      <c r="AA30" s="52">
        <f t="shared" si="1"/>
        <v>0</v>
      </c>
    </row>
    <row r="31" spans="1:27" hidden="1" x14ac:dyDescent="0.3">
      <c r="A31" s="26">
        <v>1049</v>
      </c>
      <c r="B31" s="27" t="s">
        <v>117</v>
      </c>
      <c r="C31" s="27" t="s">
        <v>27</v>
      </c>
      <c r="D31" s="27">
        <v>0</v>
      </c>
      <c r="E31" s="27">
        <v>0</v>
      </c>
      <c r="F31" s="83">
        <v>29.368421052631575</v>
      </c>
      <c r="G31" s="83">
        <v>416.84210526315792</v>
      </c>
      <c r="H31" s="29">
        <v>42567.915789473685</v>
      </c>
      <c r="I31" s="83">
        <v>91.578947368421041</v>
      </c>
      <c r="J31" s="83">
        <v>12.631578947368421</v>
      </c>
      <c r="K31" s="83">
        <v>1373.6842105263158</v>
      </c>
      <c r="L31" s="83">
        <v>189.4736842105263</v>
      </c>
      <c r="M31" s="31">
        <v>106169.68421052632</v>
      </c>
      <c r="N31" s="83">
        <v>65.05263157894737</v>
      </c>
      <c r="O31" s="83">
        <v>975.78947368421052</v>
      </c>
      <c r="P31" s="49">
        <v>11709.473684210527</v>
      </c>
      <c r="Q31" s="83">
        <v>20.842105263157897</v>
      </c>
      <c r="R31" s="50">
        <v>1434.814404432133</v>
      </c>
      <c r="S31" s="51">
        <v>161881.88808864268</v>
      </c>
      <c r="T31" s="83">
        <v>5.3684210526315788</v>
      </c>
      <c r="U31" s="52">
        <v>1590.1828254847644</v>
      </c>
      <c r="V31" s="27">
        <v>0</v>
      </c>
      <c r="X31" s="78">
        <f t="shared" si="0"/>
        <v>130777.65673130198</v>
      </c>
      <c r="Z31" s="27">
        <v>130777.65673130198</v>
      </c>
      <c r="AA31" s="52">
        <f t="shared" si="1"/>
        <v>0</v>
      </c>
    </row>
    <row r="32" spans="1:27" hidden="1" x14ac:dyDescent="0.3">
      <c r="A32" s="26">
        <v>1802</v>
      </c>
      <c r="B32" s="27" t="s">
        <v>189</v>
      </c>
      <c r="C32" s="27" t="s">
        <v>245</v>
      </c>
      <c r="D32" s="27">
        <v>0</v>
      </c>
      <c r="E32" s="27">
        <v>0</v>
      </c>
      <c r="F32" s="83">
        <v>35.05263157894737</v>
      </c>
      <c r="G32" s="83">
        <v>478.42105263157896</v>
      </c>
      <c r="H32" s="29">
        <v>48856.357894736844</v>
      </c>
      <c r="I32" s="83">
        <v>41.368421052631582</v>
      </c>
      <c r="J32" s="83">
        <v>9.7894736842105274</v>
      </c>
      <c r="K32" s="83">
        <v>615.78947368421052</v>
      </c>
      <c r="L32" s="83">
        <v>146.84210526315786</v>
      </c>
      <c r="M32" s="31">
        <v>51797.936842105264</v>
      </c>
      <c r="N32" s="83">
        <v>36.315789473684205</v>
      </c>
      <c r="O32" s="83">
        <v>544.73684210526312</v>
      </c>
      <c r="P32" s="49">
        <v>6536.8421052631575</v>
      </c>
      <c r="Q32" s="83">
        <v>31.578947368421055</v>
      </c>
      <c r="R32" s="50">
        <v>2173.961218836565</v>
      </c>
      <c r="S32" s="51">
        <v>109365.09806094183</v>
      </c>
      <c r="T32" s="83">
        <v>0.63157894736842102</v>
      </c>
      <c r="U32" s="52">
        <v>187.0803324099723</v>
      </c>
      <c r="V32" s="27">
        <v>0</v>
      </c>
      <c r="X32" s="78">
        <f t="shared" si="0"/>
        <v>87641.742714681444</v>
      </c>
      <c r="Z32" s="27">
        <v>87641.742714681444</v>
      </c>
      <c r="AA32" s="52">
        <f t="shared" si="1"/>
        <v>0</v>
      </c>
    </row>
    <row r="33" spans="1:27" hidden="1" x14ac:dyDescent="0.3">
      <c r="A33" s="26">
        <v>2003</v>
      </c>
      <c r="B33" s="27" t="s">
        <v>253</v>
      </c>
      <c r="C33" s="27" t="s">
        <v>49</v>
      </c>
      <c r="D33" s="27">
        <v>0</v>
      </c>
      <c r="E33" s="27">
        <v>0</v>
      </c>
      <c r="F33" s="83">
        <v>0</v>
      </c>
      <c r="G33" s="83">
        <v>0</v>
      </c>
      <c r="H33" s="29">
        <v>0</v>
      </c>
      <c r="I33" s="83">
        <v>56.21052631578948</v>
      </c>
      <c r="J33" s="83">
        <v>9.7894736842105274</v>
      </c>
      <c r="K33" s="83">
        <v>843.15789473684208</v>
      </c>
      <c r="L33" s="83">
        <v>146.84210526315789</v>
      </c>
      <c r="M33" s="31">
        <v>67240.800000000003</v>
      </c>
      <c r="N33" s="83">
        <v>17.368421052631579</v>
      </c>
      <c r="O33" s="83">
        <v>260.5263157894737</v>
      </c>
      <c r="P33" s="49">
        <v>3126.3157894736842</v>
      </c>
      <c r="Q33" s="83">
        <v>12.315789473684212</v>
      </c>
      <c r="R33" s="50">
        <v>847.84487534626044</v>
      </c>
      <c r="S33" s="51">
        <v>71214.960664819941</v>
      </c>
      <c r="T33" s="83">
        <v>0</v>
      </c>
      <c r="U33" s="52">
        <v>0</v>
      </c>
      <c r="V33" s="27">
        <v>0</v>
      </c>
      <c r="X33" s="78">
        <f t="shared" si="0"/>
        <v>56971.968531855957</v>
      </c>
      <c r="Z33" s="27">
        <v>56971.968531855957</v>
      </c>
      <c r="AA33" s="52">
        <f>Z33-X33</f>
        <v>0</v>
      </c>
    </row>
    <row r="34" spans="1:27" hidden="1" x14ac:dyDescent="0.3">
      <c r="A34" s="26">
        <v>2004</v>
      </c>
      <c r="B34" s="27" t="s">
        <v>197</v>
      </c>
      <c r="C34" s="27" t="s">
        <v>245</v>
      </c>
      <c r="D34" s="27">
        <v>0</v>
      </c>
      <c r="E34" s="27">
        <v>0</v>
      </c>
      <c r="F34" s="83">
        <v>0</v>
      </c>
      <c r="G34" s="83">
        <v>0</v>
      </c>
      <c r="H34" s="29">
        <v>0</v>
      </c>
      <c r="I34" s="83">
        <v>14.210526315789474</v>
      </c>
      <c r="J34" s="83">
        <v>0</v>
      </c>
      <c r="K34" s="83">
        <v>213.15789473684211</v>
      </c>
      <c r="L34" s="83">
        <v>0</v>
      </c>
      <c r="M34" s="31">
        <v>14477.684210526317</v>
      </c>
      <c r="N34" s="83">
        <v>4.7368421052631575</v>
      </c>
      <c r="O34" s="83">
        <v>71.05263157894737</v>
      </c>
      <c r="P34" s="49">
        <v>852.63157894736844</v>
      </c>
      <c r="Q34" s="83">
        <v>0</v>
      </c>
      <c r="R34" s="50">
        <v>0</v>
      </c>
      <c r="S34" s="51">
        <v>15330.315789473685</v>
      </c>
      <c r="T34" s="83">
        <v>0</v>
      </c>
      <c r="U34" s="52">
        <v>0</v>
      </c>
      <c r="V34" s="27">
        <v>0</v>
      </c>
      <c r="X34" s="78">
        <f t="shared" si="0"/>
        <v>12264.252631578949</v>
      </c>
      <c r="Z34" s="27">
        <v>12264.252631578949</v>
      </c>
      <c r="AA34" s="52">
        <f t="shared" ref="AA34:AA42" si="3">Z34-X34</f>
        <v>0</v>
      </c>
    </row>
    <row r="35" spans="1:27" hidden="1" x14ac:dyDescent="0.3">
      <c r="A35" s="26">
        <v>2005</v>
      </c>
      <c r="B35" s="27" t="s">
        <v>193</v>
      </c>
      <c r="C35" s="27" t="s">
        <v>245</v>
      </c>
      <c r="D35" s="27">
        <v>0</v>
      </c>
      <c r="E35" s="27">
        <v>0</v>
      </c>
      <c r="F35" s="83">
        <v>0</v>
      </c>
      <c r="G35" s="83">
        <v>0</v>
      </c>
      <c r="H35" s="29">
        <v>0</v>
      </c>
      <c r="I35" s="83">
        <v>34.10526315789474</v>
      </c>
      <c r="J35" s="83">
        <v>7.5789473684210522</v>
      </c>
      <c r="K35" s="83">
        <v>510.63157894736838</v>
      </c>
      <c r="L35" s="83">
        <v>27.821052631578951</v>
      </c>
      <c r="M35" s="31">
        <v>36571.702736842104</v>
      </c>
      <c r="N35" s="83">
        <v>7.5789473684210522</v>
      </c>
      <c r="O35" s="83">
        <v>113.68421052631578</v>
      </c>
      <c r="P35" s="49">
        <v>1364.2105263157894</v>
      </c>
      <c r="Q35" s="83">
        <v>7.5789473684210522</v>
      </c>
      <c r="R35" s="50">
        <v>521.7506925207756</v>
      </c>
      <c r="S35" s="51">
        <v>38457.663955678669</v>
      </c>
      <c r="T35" s="83">
        <v>0</v>
      </c>
      <c r="U35" s="52">
        <v>0</v>
      </c>
      <c r="V35" s="27">
        <v>0</v>
      </c>
      <c r="X35" s="78">
        <f t="shared" si="0"/>
        <v>30766.131164542938</v>
      </c>
      <c r="Z35" s="27">
        <v>30766.131164542938</v>
      </c>
      <c r="AA35" s="52">
        <f t="shared" si="3"/>
        <v>0</v>
      </c>
    </row>
    <row r="36" spans="1:27" hidden="1" x14ac:dyDescent="0.3">
      <c r="A36" s="26">
        <v>2008</v>
      </c>
      <c r="B36" s="27" t="s">
        <v>133</v>
      </c>
      <c r="C36" s="27" t="s">
        <v>27</v>
      </c>
      <c r="D36" s="27">
        <v>0</v>
      </c>
      <c r="E36" s="27">
        <v>0</v>
      </c>
      <c r="F36" s="83">
        <v>0</v>
      </c>
      <c r="G36" s="83">
        <v>0</v>
      </c>
      <c r="H36" s="29">
        <v>0</v>
      </c>
      <c r="I36" s="83">
        <v>43.263157894736842</v>
      </c>
      <c r="J36" s="83">
        <v>7.2631578947368425</v>
      </c>
      <c r="K36" s="83">
        <v>648.9473684210526</v>
      </c>
      <c r="L36" s="83">
        <v>108.94736842105263</v>
      </c>
      <c r="M36" s="31">
        <v>51476.210526315786</v>
      </c>
      <c r="N36" s="83">
        <v>14.842105263157896</v>
      </c>
      <c r="O36" s="83">
        <v>222.63157894736844</v>
      </c>
      <c r="P36" s="49">
        <v>2671.5789473684213</v>
      </c>
      <c r="Q36" s="83">
        <v>1.263157894736842</v>
      </c>
      <c r="R36" s="50">
        <v>86.958448753462591</v>
      </c>
      <c r="S36" s="51">
        <v>54234.747922437666</v>
      </c>
      <c r="T36" s="83">
        <v>0</v>
      </c>
      <c r="U36" s="52">
        <v>0</v>
      </c>
      <c r="V36" s="27">
        <v>0</v>
      </c>
      <c r="X36" s="78">
        <f t="shared" si="0"/>
        <v>43387.798337950138</v>
      </c>
      <c r="Z36" s="27">
        <v>43387.798337950138</v>
      </c>
      <c r="AA36" s="52">
        <f t="shared" si="3"/>
        <v>0</v>
      </c>
    </row>
    <row r="37" spans="1:27" hidden="1" x14ac:dyDescent="0.3">
      <c r="A37" s="26">
        <v>2011</v>
      </c>
      <c r="B37" s="27" t="s">
        <v>169</v>
      </c>
      <c r="C37" s="27" t="s">
        <v>27</v>
      </c>
      <c r="D37" s="27">
        <v>0</v>
      </c>
      <c r="E37" s="27">
        <v>0</v>
      </c>
      <c r="F37" s="83">
        <v>0</v>
      </c>
      <c r="G37" s="83">
        <v>0</v>
      </c>
      <c r="H37" s="29">
        <v>0</v>
      </c>
      <c r="I37" s="83">
        <v>36.631578947368425</v>
      </c>
      <c r="J37" s="83">
        <v>0</v>
      </c>
      <c r="K37" s="83">
        <v>549.47368421052636</v>
      </c>
      <c r="L37" s="83">
        <v>0</v>
      </c>
      <c r="M37" s="31">
        <v>37320.252631578951</v>
      </c>
      <c r="N37" s="83">
        <v>10.421052631578949</v>
      </c>
      <c r="O37" s="83">
        <v>156.31578947368422</v>
      </c>
      <c r="P37" s="49">
        <v>1875.7894736842106</v>
      </c>
      <c r="Q37" s="83">
        <v>10.105263157894736</v>
      </c>
      <c r="R37" s="50">
        <v>695.66759002770073</v>
      </c>
      <c r="S37" s="51">
        <v>39891.709695290869</v>
      </c>
      <c r="T37" s="83">
        <v>0</v>
      </c>
      <c r="U37" s="52">
        <v>0</v>
      </c>
      <c r="V37" s="27">
        <v>0</v>
      </c>
      <c r="X37" s="78">
        <f t="shared" si="0"/>
        <v>31913.367756232696</v>
      </c>
      <c r="Z37" s="27">
        <v>31913.367756232696</v>
      </c>
      <c r="AA37" s="52">
        <f t="shared" si="3"/>
        <v>0</v>
      </c>
    </row>
    <row r="38" spans="1:27" hidden="1" x14ac:dyDescent="0.3">
      <c r="A38" s="26">
        <v>2014</v>
      </c>
      <c r="B38" s="27" t="s">
        <v>187</v>
      </c>
      <c r="C38" s="27" t="s">
        <v>245</v>
      </c>
      <c r="D38" s="27">
        <v>0</v>
      </c>
      <c r="E38" s="27">
        <v>0</v>
      </c>
      <c r="F38" s="83">
        <v>0</v>
      </c>
      <c r="G38" s="83">
        <v>0</v>
      </c>
      <c r="H38" s="29">
        <v>0</v>
      </c>
      <c r="I38" s="83">
        <v>29.368421052631579</v>
      </c>
      <c r="J38" s="83">
        <v>0</v>
      </c>
      <c r="K38" s="83">
        <v>440.52631578947364</v>
      </c>
      <c r="L38" s="83">
        <v>0</v>
      </c>
      <c r="M38" s="31">
        <v>29920.547368421048</v>
      </c>
      <c r="N38" s="83">
        <v>6</v>
      </c>
      <c r="O38" s="83">
        <v>90</v>
      </c>
      <c r="P38" s="49">
        <v>1080</v>
      </c>
      <c r="Q38" s="83">
        <v>6</v>
      </c>
      <c r="R38" s="50">
        <v>413.05263157894734</v>
      </c>
      <c r="S38" s="51">
        <v>31413.599999999995</v>
      </c>
      <c r="T38" s="83">
        <v>0</v>
      </c>
      <c r="U38" s="52">
        <v>0</v>
      </c>
      <c r="V38" s="27">
        <v>0</v>
      </c>
      <c r="X38" s="78">
        <f t="shared" si="0"/>
        <v>25130.879999999997</v>
      </c>
      <c r="Z38" s="27">
        <v>25130.879999999997</v>
      </c>
      <c r="AA38" s="52">
        <f t="shared" si="3"/>
        <v>0</v>
      </c>
    </row>
    <row r="39" spans="1:27" hidden="1" x14ac:dyDescent="0.3">
      <c r="A39" s="26">
        <v>2015</v>
      </c>
      <c r="B39" s="27" t="s">
        <v>99</v>
      </c>
      <c r="C39" s="27" t="s">
        <v>27</v>
      </c>
      <c r="D39" s="27">
        <v>0</v>
      </c>
      <c r="E39" s="27">
        <v>0</v>
      </c>
      <c r="F39" s="83">
        <v>0</v>
      </c>
      <c r="G39" s="83">
        <v>0</v>
      </c>
      <c r="H39" s="29">
        <v>0</v>
      </c>
      <c r="I39" s="83">
        <v>32.21052631578948</v>
      </c>
      <c r="J39" s="83">
        <v>0</v>
      </c>
      <c r="K39" s="83">
        <v>483.15789473684214</v>
      </c>
      <c r="L39" s="83">
        <v>0</v>
      </c>
      <c r="M39" s="31">
        <v>32816.084210526322</v>
      </c>
      <c r="N39" s="83">
        <v>5.0526315789473681</v>
      </c>
      <c r="O39" s="83">
        <v>75.78947368421052</v>
      </c>
      <c r="P39" s="49">
        <v>909.47368421052624</v>
      </c>
      <c r="Q39" s="83">
        <v>5.0526315789473681</v>
      </c>
      <c r="R39" s="50">
        <v>347.83379501385036</v>
      </c>
      <c r="S39" s="51">
        <v>34073.391689750701</v>
      </c>
      <c r="T39" s="83">
        <v>0</v>
      </c>
      <c r="U39" s="52">
        <v>0</v>
      </c>
      <c r="V39" s="27">
        <v>0</v>
      </c>
      <c r="X39" s="78">
        <f t="shared" si="0"/>
        <v>27258.713351800561</v>
      </c>
      <c r="Z39" s="27">
        <v>27258.713351800561</v>
      </c>
      <c r="AA39" s="52">
        <f t="shared" si="3"/>
        <v>0</v>
      </c>
    </row>
    <row r="40" spans="1:27" hidden="1" x14ac:dyDescent="0.3">
      <c r="A40" s="26">
        <v>2018</v>
      </c>
      <c r="B40" s="27" t="s">
        <v>254</v>
      </c>
      <c r="C40" s="27" t="s">
        <v>49</v>
      </c>
      <c r="D40" s="27">
        <v>0</v>
      </c>
      <c r="E40" s="27">
        <v>0</v>
      </c>
      <c r="F40" s="83">
        <v>14.842105263157896</v>
      </c>
      <c r="G40" s="83">
        <v>222.63157894736844</v>
      </c>
      <c r="H40" s="29">
        <v>22735.136842105265</v>
      </c>
      <c r="I40" s="83">
        <v>35.368421052631575</v>
      </c>
      <c r="J40" s="83">
        <v>3.1578947368421049</v>
      </c>
      <c r="K40" s="83">
        <v>530.52631578947364</v>
      </c>
      <c r="L40" s="83">
        <v>47.368421052631575</v>
      </c>
      <c r="M40" s="31">
        <v>39250.610526315788</v>
      </c>
      <c r="N40" s="83">
        <v>27.473684210526315</v>
      </c>
      <c r="O40" s="83">
        <v>412.10526315789474</v>
      </c>
      <c r="P40" s="49">
        <v>4945.2631578947367</v>
      </c>
      <c r="Q40" s="83">
        <v>0</v>
      </c>
      <c r="R40" s="50">
        <v>0</v>
      </c>
      <c r="S40" s="51">
        <v>66931.010526315789</v>
      </c>
      <c r="T40" s="83">
        <v>0</v>
      </c>
      <c r="U40" s="52">
        <v>0</v>
      </c>
      <c r="V40" s="27">
        <v>0</v>
      </c>
      <c r="X40" s="78">
        <f t="shared" si="0"/>
        <v>53544.808421052636</v>
      </c>
      <c r="Z40" s="27">
        <v>53544.808421052636</v>
      </c>
      <c r="AA40" s="52">
        <f t="shared" si="3"/>
        <v>0</v>
      </c>
    </row>
    <row r="41" spans="1:27" hidden="1" x14ac:dyDescent="0.3">
      <c r="A41" s="26">
        <v>2020</v>
      </c>
      <c r="B41" s="27" t="s">
        <v>255</v>
      </c>
      <c r="C41" s="27" t="s">
        <v>49</v>
      </c>
      <c r="D41" s="27">
        <v>0</v>
      </c>
      <c r="E41" s="27">
        <v>0</v>
      </c>
      <c r="F41" s="83">
        <v>0</v>
      </c>
      <c r="G41" s="83">
        <v>0</v>
      </c>
      <c r="H41" s="29">
        <v>0</v>
      </c>
      <c r="I41" s="83">
        <v>51.789473684210527</v>
      </c>
      <c r="J41" s="83">
        <v>15.473684210526315</v>
      </c>
      <c r="K41" s="83">
        <v>776.84210526315792</v>
      </c>
      <c r="L41" s="83">
        <v>232.10526315789474</v>
      </c>
      <c r="M41" s="31">
        <v>68527.705263157899</v>
      </c>
      <c r="N41" s="83">
        <v>9.473684210526315</v>
      </c>
      <c r="O41" s="83">
        <v>142.10526315789474</v>
      </c>
      <c r="P41" s="49">
        <v>1705.2631578947369</v>
      </c>
      <c r="Q41" s="83">
        <v>1.8947368421052631</v>
      </c>
      <c r="R41" s="50">
        <v>130.4376731301939</v>
      </c>
      <c r="S41" s="51">
        <v>70363.406094182821</v>
      </c>
      <c r="T41" s="83">
        <v>0</v>
      </c>
      <c r="U41" s="52">
        <v>0</v>
      </c>
      <c r="V41" s="27">
        <v>0</v>
      </c>
      <c r="X41" s="78">
        <f t="shared" si="0"/>
        <v>56290.724875346263</v>
      </c>
      <c r="Z41" s="27">
        <v>56290.724875346263</v>
      </c>
      <c r="AA41" s="52">
        <f t="shared" si="3"/>
        <v>0</v>
      </c>
    </row>
    <row r="42" spans="1:27" hidden="1" x14ac:dyDescent="0.3">
      <c r="A42" s="26">
        <v>2021</v>
      </c>
      <c r="B42" s="27" t="s">
        <v>256</v>
      </c>
      <c r="C42" s="27" t="s">
        <v>49</v>
      </c>
      <c r="D42" s="27">
        <v>0</v>
      </c>
      <c r="E42" s="27">
        <v>0</v>
      </c>
      <c r="F42" s="83">
        <v>0</v>
      </c>
      <c r="G42" s="83">
        <v>0</v>
      </c>
      <c r="H42" s="29">
        <v>0</v>
      </c>
      <c r="I42" s="83">
        <v>23.05263157894737</v>
      </c>
      <c r="J42" s="83">
        <v>0</v>
      </c>
      <c r="K42" s="83">
        <v>345.78947368421052</v>
      </c>
      <c r="L42" s="83">
        <v>0</v>
      </c>
      <c r="M42" s="31">
        <v>23486.021052631582</v>
      </c>
      <c r="N42" s="83">
        <v>10.421052631578949</v>
      </c>
      <c r="O42" s="83">
        <v>156.31578947368422</v>
      </c>
      <c r="P42" s="49">
        <v>1875.7894736842106</v>
      </c>
      <c r="Q42" s="83">
        <v>5.6842105263157894</v>
      </c>
      <c r="R42" s="50">
        <v>391.3130193905817</v>
      </c>
      <c r="S42" s="51">
        <v>25753.123545706374</v>
      </c>
      <c r="T42" s="83">
        <v>0</v>
      </c>
      <c r="U42" s="52">
        <v>0</v>
      </c>
      <c r="V42" s="27">
        <v>0</v>
      </c>
      <c r="X42" s="78">
        <f t="shared" si="0"/>
        <v>20602.498836565101</v>
      </c>
      <c r="Z42" s="27">
        <v>20602.498836565101</v>
      </c>
      <c r="AA42" s="52">
        <f t="shared" si="3"/>
        <v>0</v>
      </c>
    </row>
    <row r="43" spans="1:27" hidden="1" x14ac:dyDescent="0.3">
      <c r="A43" s="26">
        <v>2030</v>
      </c>
      <c r="B43" s="27" t="s">
        <v>44</v>
      </c>
      <c r="C43" s="27" t="s">
        <v>27</v>
      </c>
      <c r="D43" s="27">
        <v>0</v>
      </c>
      <c r="E43" s="27">
        <v>0</v>
      </c>
      <c r="F43" s="83">
        <v>0</v>
      </c>
      <c r="G43" s="83">
        <v>0</v>
      </c>
      <c r="H43" s="29">
        <v>0</v>
      </c>
      <c r="I43" s="83">
        <v>48.94736842105263</v>
      </c>
      <c r="J43" s="83">
        <v>0</v>
      </c>
      <c r="K43" s="83">
        <v>734.21052631578948</v>
      </c>
      <c r="L43" s="83">
        <v>0</v>
      </c>
      <c r="M43" s="31">
        <v>49867.57894736842</v>
      </c>
      <c r="N43" s="83">
        <v>16.421052631578949</v>
      </c>
      <c r="O43" s="83">
        <v>246.31578947368422</v>
      </c>
      <c r="P43" s="49">
        <v>2955.7894736842109</v>
      </c>
      <c r="Q43" s="83">
        <v>0</v>
      </c>
      <c r="R43" s="50">
        <v>0</v>
      </c>
      <c r="S43" s="51">
        <v>52823.368421052633</v>
      </c>
      <c r="T43" s="83">
        <v>0</v>
      </c>
      <c r="U43" s="52">
        <v>0</v>
      </c>
      <c r="V43" s="27">
        <v>0</v>
      </c>
      <c r="X43" s="78">
        <f t="shared" si="0"/>
        <v>42258.69473684211</v>
      </c>
      <c r="Z43" s="27">
        <v>42258.69473684211</v>
      </c>
      <c r="AA43" s="52">
        <f>Z43-X43</f>
        <v>0</v>
      </c>
    </row>
    <row r="44" spans="1:27" hidden="1" x14ac:dyDescent="0.3">
      <c r="A44" s="26">
        <v>2036</v>
      </c>
      <c r="B44" s="27" t="s">
        <v>257</v>
      </c>
      <c r="C44" s="27" t="s">
        <v>49</v>
      </c>
      <c r="D44" s="27">
        <v>0</v>
      </c>
      <c r="E44" s="27">
        <v>0</v>
      </c>
      <c r="F44" s="83">
        <v>0</v>
      </c>
      <c r="G44" s="83">
        <v>0</v>
      </c>
      <c r="H44" s="29">
        <v>0</v>
      </c>
      <c r="I44" s="83">
        <v>19.578947368421055</v>
      </c>
      <c r="J44" s="83">
        <v>2.8421052631578947</v>
      </c>
      <c r="K44" s="83">
        <v>293.68421052631578</v>
      </c>
      <c r="L44" s="83">
        <v>42.631578947368418</v>
      </c>
      <c r="M44" s="31">
        <v>22842.568421052631</v>
      </c>
      <c r="N44" s="83">
        <v>5.0526315789473681</v>
      </c>
      <c r="O44" s="83">
        <v>75.78947368421052</v>
      </c>
      <c r="P44" s="49">
        <v>909.47368421052624</v>
      </c>
      <c r="Q44" s="83">
        <v>3.4736842105263159</v>
      </c>
      <c r="R44" s="50">
        <v>239.13573407202216</v>
      </c>
      <c r="S44" s="51">
        <v>23991.177839335178</v>
      </c>
      <c r="T44" s="83">
        <v>0</v>
      </c>
      <c r="U44" s="52">
        <v>0</v>
      </c>
      <c r="V44" s="27">
        <v>0</v>
      </c>
      <c r="X44" s="78">
        <f t="shared" si="0"/>
        <v>19192.942271468142</v>
      </c>
      <c r="Z44" s="27">
        <v>19192.942271468142</v>
      </c>
      <c r="AA44" s="52">
        <f t="shared" ref="AA44:AA47" si="4">Z44-X44</f>
        <v>0</v>
      </c>
    </row>
    <row r="45" spans="1:27" hidden="1" x14ac:dyDescent="0.3">
      <c r="A45" s="26">
        <v>2037</v>
      </c>
      <c r="B45" s="27" t="s">
        <v>258</v>
      </c>
      <c r="C45" s="27" t="s">
        <v>49</v>
      </c>
      <c r="D45" s="27">
        <v>0</v>
      </c>
      <c r="E45" s="27">
        <v>0</v>
      </c>
      <c r="F45" s="83">
        <v>0</v>
      </c>
      <c r="G45" s="83">
        <v>0</v>
      </c>
      <c r="H45" s="29">
        <v>0</v>
      </c>
      <c r="I45" s="83">
        <v>32.210526315789473</v>
      </c>
      <c r="J45" s="83">
        <v>6.6315789473684212</v>
      </c>
      <c r="K45" s="83">
        <v>483.15789473684208</v>
      </c>
      <c r="L45" s="83">
        <v>94.736842105263165</v>
      </c>
      <c r="M45" s="31">
        <v>39250.610526315788</v>
      </c>
      <c r="N45" s="83">
        <v>8.2105263157894743</v>
      </c>
      <c r="O45" s="83">
        <v>123.15789473684211</v>
      </c>
      <c r="P45" s="49">
        <v>1477.8947368421054</v>
      </c>
      <c r="Q45" s="83">
        <v>0.94736842105263153</v>
      </c>
      <c r="R45" s="50">
        <v>65.21883656509695</v>
      </c>
      <c r="S45" s="51">
        <v>40793.724099722989</v>
      </c>
      <c r="T45" s="83">
        <v>0</v>
      </c>
      <c r="U45" s="52">
        <v>0</v>
      </c>
      <c r="V45" s="27">
        <v>0</v>
      </c>
      <c r="X45" s="78">
        <f t="shared" si="0"/>
        <v>32634.979279778392</v>
      </c>
      <c r="Z45" s="27">
        <v>32634.979279778392</v>
      </c>
      <c r="AA45" s="52">
        <f t="shared" si="4"/>
        <v>0</v>
      </c>
    </row>
    <row r="46" spans="1:27" hidden="1" x14ac:dyDescent="0.3">
      <c r="A46" s="26">
        <v>2038</v>
      </c>
      <c r="B46" s="27" t="s">
        <v>259</v>
      </c>
      <c r="C46" s="27" t="s">
        <v>49</v>
      </c>
      <c r="D46" s="27">
        <v>0</v>
      </c>
      <c r="E46" s="27">
        <v>0</v>
      </c>
      <c r="F46" s="83">
        <v>0</v>
      </c>
      <c r="G46" s="83">
        <v>0</v>
      </c>
      <c r="H46" s="29">
        <v>0</v>
      </c>
      <c r="I46" s="83">
        <v>7.2631578947368425</v>
      </c>
      <c r="J46" s="83">
        <v>0</v>
      </c>
      <c r="K46" s="83">
        <v>108.94736842105263</v>
      </c>
      <c r="L46" s="83">
        <v>0</v>
      </c>
      <c r="M46" s="31">
        <v>7399.7052631578954</v>
      </c>
      <c r="N46" s="83">
        <v>0.63157894736842102</v>
      </c>
      <c r="O46" s="83">
        <v>9.473684210526315</v>
      </c>
      <c r="P46" s="49">
        <v>113.68421052631578</v>
      </c>
      <c r="Q46" s="83">
        <v>0.31578947368421051</v>
      </c>
      <c r="R46" s="50">
        <v>21.739612188365648</v>
      </c>
      <c r="S46" s="51">
        <v>7535.129085872577</v>
      </c>
      <c r="T46" s="83">
        <v>0</v>
      </c>
      <c r="U46" s="52">
        <v>0</v>
      </c>
      <c r="V46" s="27">
        <v>0</v>
      </c>
      <c r="X46" s="78">
        <f t="shared" si="0"/>
        <v>6028.1032686980616</v>
      </c>
      <c r="Z46" s="27">
        <v>6028.1032686980616</v>
      </c>
      <c r="AA46" s="52">
        <f t="shared" si="4"/>
        <v>0</v>
      </c>
    </row>
    <row r="47" spans="1:27" hidden="1" x14ac:dyDescent="0.3">
      <c r="A47" s="26">
        <v>2039</v>
      </c>
      <c r="B47" s="27" t="s">
        <v>260</v>
      </c>
      <c r="C47" s="27" t="s">
        <v>49</v>
      </c>
      <c r="D47" s="27">
        <v>0</v>
      </c>
      <c r="E47" s="27">
        <v>0</v>
      </c>
      <c r="F47" s="83">
        <v>0</v>
      </c>
      <c r="G47" s="83">
        <v>0</v>
      </c>
      <c r="H47" s="29">
        <v>0</v>
      </c>
      <c r="I47" s="83">
        <v>43.263157894736835</v>
      </c>
      <c r="J47" s="83">
        <v>0</v>
      </c>
      <c r="K47" s="83">
        <v>648.9473684210526</v>
      </c>
      <c r="L47" s="83">
        <v>0</v>
      </c>
      <c r="M47" s="31">
        <v>44076.505263157895</v>
      </c>
      <c r="N47" s="83">
        <v>11.368421052631579</v>
      </c>
      <c r="O47" s="83">
        <v>170.52631578947367</v>
      </c>
      <c r="P47" s="49">
        <v>2046.3157894736842</v>
      </c>
      <c r="Q47" s="83">
        <v>7.2631578947368425</v>
      </c>
      <c r="R47" s="50">
        <v>500.01108033240996</v>
      </c>
      <c r="S47" s="51">
        <v>46622.832132963995</v>
      </c>
      <c r="T47" s="83">
        <v>0</v>
      </c>
      <c r="U47" s="52">
        <v>0</v>
      </c>
      <c r="V47" s="27">
        <v>0</v>
      </c>
      <c r="X47" s="78">
        <f t="shared" si="0"/>
        <v>37298.265706371196</v>
      </c>
      <c r="Z47" s="27">
        <v>37298.265706371196</v>
      </c>
      <c r="AA47" s="52">
        <f t="shared" si="4"/>
        <v>0</v>
      </c>
    </row>
    <row r="48" spans="1:27" hidden="1" x14ac:dyDescent="0.3">
      <c r="A48" s="26">
        <v>2040</v>
      </c>
      <c r="B48" s="27" t="s">
        <v>55</v>
      </c>
      <c r="C48" s="27" t="s">
        <v>27</v>
      </c>
      <c r="D48" s="27">
        <v>0</v>
      </c>
      <c r="E48" s="27">
        <v>0</v>
      </c>
      <c r="F48" s="83">
        <v>0</v>
      </c>
      <c r="G48" s="83">
        <v>0</v>
      </c>
      <c r="H48" s="29">
        <v>0</v>
      </c>
      <c r="I48" s="83">
        <v>24.315789473684212</v>
      </c>
      <c r="J48" s="83">
        <v>0</v>
      </c>
      <c r="K48" s="83">
        <v>364.73684210526318</v>
      </c>
      <c r="L48" s="83">
        <v>0</v>
      </c>
      <c r="M48" s="31">
        <v>24772.926315789478</v>
      </c>
      <c r="N48" s="83">
        <v>3.7894736842105261</v>
      </c>
      <c r="O48" s="83">
        <v>56.84210526315789</v>
      </c>
      <c r="P48" s="49">
        <v>682.10526315789468</v>
      </c>
      <c r="Q48" s="83">
        <v>0.31578947368421051</v>
      </c>
      <c r="R48" s="50">
        <v>21.739612188365648</v>
      </c>
      <c r="S48" s="51">
        <v>25476.771191135736</v>
      </c>
      <c r="T48" s="83">
        <v>0</v>
      </c>
      <c r="U48" s="52">
        <v>0</v>
      </c>
      <c r="V48" s="27">
        <v>0</v>
      </c>
      <c r="X48" s="78">
        <f t="shared" si="0"/>
        <v>20381.416952908592</v>
      </c>
      <c r="Z48" s="27">
        <v>20381.416952908592</v>
      </c>
      <c r="AA48" s="52">
        <f>Z48-X48</f>
        <v>0</v>
      </c>
    </row>
    <row r="49" spans="1:27" hidden="1" x14ac:dyDescent="0.3">
      <c r="A49" s="26">
        <v>2048</v>
      </c>
      <c r="B49" s="27" t="s">
        <v>261</v>
      </c>
      <c r="C49" s="27" t="s">
        <v>49</v>
      </c>
      <c r="D49" s="27">
        <v>0</v>
      </c>
      <c r="E49" s="27">
        <v>0</v>
      </c>
      <c r="F49" s="83">
        <v>0</v>
      </c>
      <c r="G49" s="83">
        <v>0</v>
      </c>
      <c r="H49" s="29">
        <v>0</v>
      </c>
      <c r="I49" s="83">
        <v>6.6315789473684212</v>
      </c>
      <c r="J49" s="83">
        <v>0</v>
      </c>
      <c r="K49" s="83">
        <v>99.473684210526301</v>
      </c>
      <c r="L49" s="83">
        <v>0</v>
      </c>
      <c r="M49" s="31">
        <v>6756.2526315789464</v>
      </c>
      <c r="N49" s="83">
        <v>1.5789473684210527</v>
      </c>
      <c r="O49" s="83">
        <v>23.684210526315791</v>
      </c>
      <c r="P49" s="49">
        <v>284.21052631578948</v>
      </c>
      <c r="Q49" s="83">
        <v>0.94736842105263153</v>
      </c>
      <c r="R49" s="50">
        <v>65.21883656509695</v>
      </c>
      <c r="S49" s="51">
        <v>7105.6819944598328</v>
      </c>
      <c r="T49" s="83">
        <v>0</v>
      </c>
      <c r="U49" s="52">
        <v>0</v>
      </c>
      <c r="V49" s="27">
        <v>0</v>
      </c>
      <c r="X49" s="78">
        <f t="shared" si="0"/>
        <v>5684.5455955678663</v>
      </c>
      <c r="Z49" s="27">
        <v>5684.5455955678663</v>
      </c>
      <c r="AA49" s="52">
        <f>Z49-X49</f>
        <v>0</v>
      </c>
    </row>
    <row r="50" spans="1:27" hidden="1" x14ac:dyDescent="0.3">
      <c r="A50" s="26">
        <v>2054</v>
      </c>
      <c r="B50" s="27" t="s">
        <v>67</v>
      </c>
      <c r="C50" s="27" t="s">
        <v>27</v>
      </c>
      <c r="D50" s="27">
        <v>0</v>
      </c>
      <c r="E50" s="27">
        <v>0</v>
      </c>
      <c r="F50" s="83">
        <v>0</v>
      </c>
      <c r="G50" s="83">
        <v>0</v>
      </c>
      <c r="H50" s="29">
        <v>0</v>
      </c>
      <c r="I50" s="83">
        <v>44.210526315789473</v>
      </c>
      <c r="J50" s="83">
        <v>2.2105263157894735</v>
      </c>
      <c r="K50" s="83">
        <v>663.15789473684208</v>
      </c>
      <c r="L50" s="83">
        <v>33.157894736842103</v>
      </c>
      <c r="M50" s="31">
        <v>47293.768421052628</v>
      </c>
      <c r="N50" s="83">
        <v>8.2105263157894743</v>
      </c>
      <c r="O50" s="83">
        <v>123.15789473684211</v>
      </c>
      <c r="P50" s="49">
        <v>1477.8947368421054</v>
      </c>
      <c r="Q50" s="83">
        <v>3.7894736842105261</v>
      </c>
      <c r="R50" s="50">
        <v>260.8753462603878</v>
      </c>
      <c r="S50" s="51">
        <v>49032.53850415512</v>
      </c>
      <c r="T50" s="83">
        <v>0.31578947368421051</v>
      </c>
      <c r="U50" s="52">
        <v>93.54016620498615</v>
      </c>
      <c r="V50" s="27">
        <v>0</v>
      </c>
      <c r="X50" s="78">
        <f t="shared" si="0"/>
        <v>39300.862936288089</v>
      </c>
      <c r="Z50" s="27">
        <v>39300.862936288089</v>
      </c>
      <c r="AA50" s="52">
        <f t="shared" ref="AA50:AA68" si="5">Z50-X50</f>
        <v>0</v>
      </c>
    </row>
    <row r="51" spans="1:27" hidden="1" x14ac:dyDescent="0.3">
      <c r="A51" s="26">
        <v>2055</v>
      </c>
      <c r="B51" s="27" t="s">
        <v>69</v>
      </c>
      <c r="C51" s="27" t="s">
        <v>27</v>
      </c>
      <c r="D51" s="27">
        <v>0</v>
      </c>
      <c r="E51" s="27">
        <v>0</v>
      </c>
      <c r="F51" s="83">
        <v>0</v>
      </c>
      <c r="G51" s="83">
        <v>0</v>
      </c>
      <c r="H51" s="29">
        <v>0</v>
      </c>
      <c r="I51" s="83">
        <v>29.052631578947366</v>
      </c>
      <c r="J51" s="83">
        <v>15.157894736842104</v>
      </c>
      <c r="K51" s="83">
        <v>433.89473684210526</v>
      </c>
      <c r="L51" s="83">
        <v>227.36842105263159</v>
      </c>
      <c r="M51" s="31">
        <v>44912.993684210531</v>
      </c>
      <c r="N51" s="83">
        <v>1.8947368421052631</v>
      </c>
      <c r="O51" s="83">
        <v>28.421052631578945</v>
      </c>
      <c r="P51" s="49">
        <v>341.05263157894734</v>
      </c>
      <c r="Q51" s="83">
        <v>0</v>
      </c>
      <c r="R51" s="50">
        <v>0</v>
      </c>
      <c r="S51" s="51">
        <v>45254.046315789477</v>
      </c>
      <c r="T51" s="83">
        <v>0</v>
      </c>
      <c r="U51" s="52">
        <v>0</v>
      </c>
      <c r="V51" s="27">
        <v>0</v>
      </c>
      <c r="X51" s="78">
        <f t="shared" si="0"/>
        <v>36203.237052631586</v>
      </c>
      <c r="Z51" s="27">
        <v>36203.237052631586</v>
      </c>
      <c r="AA51" s="52">
        <f t="shared" si="5"/>
        <v>0</v>
      </c>
    </row>
    <row r="52" spans="1:27" hidden="1" x14ac:dyDescent="0.3">
      <c r="A52" s="26">
        <v>2056</v>
      </c>
      <c r="B52" s="27" t="s">
        <v>262</v>
      </c>
      <c r="C52" s="27" t="s">
        <v>49</v>
      </c>
      <c r="D52" s="27">
        <v>0</v>
      </c>
      <c r="E52" s="27">
        <v>0</v>
      </c>
      <c r="F52" s="83">
        <v>0</v>
      </c>
      <c r="G52" s="83">
        <v>0</v>
      </c>
      <c r="H52" s="29">
        <v>0</v>
      </c>
      <c r="I52" s="83">
        <v>35.684210526315795</v>
      </c>
      <c r="J52" s="83">
        <v>1.8947368421052631</v>
      </c>
      <c r="K52" s="83">
        <v>535.26315789473688</v>
      </c>
      <c r="L52" s="83">
        <v>0</v>
      </c>
      <c r="M52" s="31">
        <v>36355.073684210533</v>
      </c>
      <c r="N52" s="83">
        <v>7.8947368421052637</v>
      </c>
      <c r="O52" s="83">
        <v>118.42105263157896</v>
      </c>
      <c r="P52" s="49">
        <v>1421.0526315789475</v>
      </c>
      <c r="Q52" s="83">
        <v>7.8947368421052637</v>
      </c>
      <c r="R52" s="50">
        <v>543.49030470914124</v>
      </c>
      <c r="S52" s="51">
        <v>38319.616620498622</v>
      </c>
      <c r="T52" s="83">
        <v>0</v>
      </c>
      <c r="U52" s="52">
        <v>0</v>
      </c>
      <c r="V52" s="27">
        <v>0</v>
      </c>
      <c r="X52" s="78">
        <f t="shared" si="0"/>
        <v>30655.693296398898</v>
      </c>
      <c r="Z52" s="27">
        <v>30655.693296398898</v>
      </c>
      <c r="AA52" s="52">
        <f t="shared" si="5"/>
        <v>0</v>
      </c>
    </row>
    <row r="53" spans="1:27" hidden="1" x14ac:dyDescent="0.3">
      <c r="A53" s="26">
        <v>2057</v>
      </c>
      <c r="B53" s="27" t="s">
        <v>263</v>
      </c>
      <c r="C53" s="27" t="s">
        <v>49</v>
      </c>
      <c r="D53" s="27">
        <v>0</v>
      </c>
      <c r="E53" s="27">
        <v>0</v>
      </c>
      <c r="F53" s="83">
        <v>0</v>
      </c>
      <c r="G53" s="83">
        <v>0</v>
      </c>
      <c r="H53" s="29">
        <v>0</v>
      </c>
      <c r="I53" s="83">
        <v>34.10526315789474</v>
      </c>
      <c r="J53" s="83">
        <v>0</v>
      </c>
      <c r="K53" s="83">
        <v>511.57894736842104</v>
      </c>
      <c r="L53" s="83">
        <v>0</v>
      </c>
      <c r="M53" s="31">
        <v>34746.442105263159</v>
      </c>
      <c r="N53" s="83">
        <v>12.947368421052632</v>
      </c>
      <c r="O53" s="83">
        <v>194.21052631578948</v>
      </c>
      <c r="P53" s="49">
        <v>2330.5263157894738</v>
      </c>
      <c r="Q53" s="83">
        <v>12.947368421052632</v>
      </c>
      <c r="R53" s="50">
        <v>891.3240997229916</v>
      </c>
      <c r="S53" s="51">
        <v>37968.292520775627</v>
      </c>
      <c r="T53" s="83">
        <v>0</v>
      </c>
      <c r="U53" s="52">
        <v>0</v>
      </c>
      <c r="V53" s="27">
        <v>0</v>
      </c>
      <c r="X53" s="78">
        <f t="shared" si="0"/>
        <v>30374.634016620505</v>
      </c>
      <c r="Z53" s="27">
        <v>30374.634016620505</v>
      </c>
      <c r="AA53" s="52">
        <f t="shared" si="5"/>
        <v>0</v>
      </c>
    </row>
    <row r="54" spans="1:27" hidden="1" x14ac:dyDescent="0.3">
      <c r="A54" s="26">
        <v>2058</v>
      </c>
      <c r="B54" s="27" t="s">
        <v>264</v>
      </c>
      <c r="C54" s="27" t="s">
        <v>49</v>
      </c>
      <c r="D54" s="27">
        <v>0</v>
      </c>
      <c r="E54" s="27">
        <v>0</v>
      </c>
      <c r="F54" s="83">
        <v>0</v>
      </c>
      <c r="G54" s="83">
        <v>0</v>
      </c>
      <c r="H54" s="29">
        <v>0</v>
      </c>
      <c r="I54" s="83">
        <v>28.736842105263158</v>
      </c>
      <c r="J54" s="83">
        <v>10.736842105263158</v>
      </c>
      <c r="K54" s="83">
        <v>431.0526315789474</v>
      </c>
      <c r="L54" s="83">
        <v>161.05263157894734</v>
      </c>
      <c r="M54" s="31">
        <v>40215.789473684206</v>
      </c>
      <c r="N54" s="83">
        <v>17.368421052631579</v>
      </c>
      <c r="O54" s="83">
        <v>260.5263157894737</v>
      </c>
      <c r="P54" s="49">
        <v>3126.3157894736842</v>
      </c>
      <c r="Q54" s="83">
        <v>15.157894736842104</v>
      </c>
      <c r="R54" s="50">
        <v>1043.5013850415512</v>
      </c>
      <c r="S54" s="51">
        <v>44385.606648199442</v>
      </c>
      <c r="T54" s="83">
        <v>0</v>
      </c>
      <c r="U54" s="52">
        <v>0</v>
      </c>
      <c r="V54" s="27">
        <v>0</v>
      </c>
      <c r="X54" s="78">
        <f t="shared" si="0"/>
        <v>35508.485318559557</v>
      </c>
      <c r="Z54" s="27">
        <v>35508.485318559557</v>
      </c>
      <c r="AA54" s="52">
        <f t="shared" si="5"/>
        <v>0</v>
      </c>
    </row>
    <row r="55" spans="1:27" hidden="1" x14ac:dyDescent="0.3">
      <c r="A55" s="26">
        <v>2059</v>
      </c>
      <c r="B55" s="27" t="s">
        <v>265</v>
      </c>
      <c r="C55" s="27" t="s">
        <v>49</v>
      </c>
      <c r="D55" s="27">
        <v>0</v>
      </c>
      <c r="E55" s="27">
        <v>0</v>
      </c>
      <c r="F55" s="83">
        <v>0</v>
      </c>
      <c r="G55" s="83">
        <v>0</v>
      </c>
      <c r="H55" s="29">
        <v>0</v>
      </c>
      <c r="I55" s="83">
        <v>10.421052631578947</v>
      </c>
      <c r="J55" s="83">
        <v>0.94736842105263153</v>
      </c>
      <c r="K55" s="83">
        <v>156.31578947368419</v>
      </c>
      <c r="L55" s="83">
        <v>14.210526315789473</v>
      </c>
      <c r="M55" s="31">
        <v>11582.147368421052</v>
      </c>
      <c r="N55" s="83">
        <v>4.1052631578947372</v>
      </c>
      <c r="O55" s="83">
        <v>61.578947368421055</v>
      </c>
      <c r="P55" s="49">
        <v>738.94736842105272</v>
      </c>
      <c r="Q55" s="83">
        <v>2.2105263157894735</v>
      </c>
      <c r="R55" s="50">
        <v>152.17728531855954</v>
      </c>
      <c r="S55" s="51">
        <v>12473.272022160665</v>
      </c>
      <c r="T55" s="83">
        <v>0</v>
      </c>
      <c r="U55" s="52">
        <v>0</v>
      </c>
      <c r="V55" s="27">
        <v>0</v>
      </c>
      <c r="X55" s="78">
        <f t="shared" si="0"/>
        <v>9978.6176177285324</v>
      </c>
      <c r="Z55" s="27">
        <v>9978.6176177285324</v>
      </c>
      <c r="AA55" s="52">
        <f t="shared" si="5"/>
        <v>0</v>
      </c>
    </row>
    <row r="56" spans="1:27" hidden="1" x14ac:dyDescent="0.3">
      <c r="A56" s="26">
        <v>2060</v>
      </c>
      <c r="B56" s="27" t="s">
        <v>266</v>
      </c>
      <c r="C56" s="27" t="s">
        <v>49</v>
      </c>
      <c r="D56" s="27">
        <v>0</v>
      </c>
      <c r="E56" s="27">
        <v>0</v>
      </c>
      <c r="F56" s="83">
        <v>0</v>
      </c>
      <c r="G56" s="83">
        <v>0</v>
      </c>
      <c r="H56" s="29">
        <v>0</v>
      </c>
      <c r="I56" s="83">
        <v>24.631578947368421</v>
      </c>
      <c r="J56" s="83">
        <v>0</v>
      </c>
      <c r="K56" s="83">
        <v>369.47368421052636</v>
      </c>
      <c r="L56" s="83">
        <v>0</v>
      </c>
      <c r="M56" s="31">
        <v>25094.652631578952</v>
      </c>
      <c r="N56" s="83">
        <v>13.578947368421051</v>
      </c>
      <c r="O56" s="83">
        <v>203.68421052631578</v>
      </c>
      <c r="P56" s="49">
        <v>2444.2105263157891</v>
      </c>
      <c r="Q56" s="83">
        <v>13.578947368421051</v>
      </c>
      <c r="R56" s="50">
        <v>934.80332409972289</v>
      </c>
      <c r="S56" s="51">
        <v>28473.666481994464</v>
      </c>
      <c r="T56" s="83">
        <v>0</v>
      </c>
      <c r="U56" s="52">
        <v>0</v>
      </c>
      <c r="V56" s="27">
        <v>0</v>
      </c>
      <c r="X56" s="78">
        <f t="shared" si="0"/>
        <v>22778.933185595572</v>
      </c>
      <c r="Z56" s="27">
        <v>22778.933185595572</v>
      </c>
      <c r="AA56" s="52">
        <f t="shared" si="5"/>
        <v>0</v>
      </c>
    </row>
    <row r="57" spans="1:27" hidden="1" x14ac:dyDescent="0.3">
      <c r="A57" s="26">
        <v>2062</v>
      </c>
      <c r="B57" s="27" t="s">
        <v>31</v>
      </c>
      <c r="C57" s="27" t="s">
        <v>27</v>
      </c>
      <c r="D57" s="27">
        <v>0</v>
      </c>
      <c r="E57" s="27">
        <v>0</v>
      </c>
      <c r="F57" s="83">
        <v>0</v>
      </c>
      <c r="G57" s="83">
        <v>0</v>
      </c>
      <c r="H57" s="29">
        <v>0</v>
      </c>
      <c r="I57" s="83">
        <v>40.10526315789474</v>
      </c>
      <c r="J57" s="83">
        <v>0</v>
      </c>
      <c r="K57" s="83">
        <v>601.57894736842104</v>
      </c>
      <c r="L57" s="83">
        <v>0</v>
      </c>
      <c r="M57" s="31">
        <v>40859.242105263162</v>
      </c>
      <c r="N57" s="83">
        <v>14.210526315789473</v>
      </c>
      <c r="O57" s="83">
        <v>213.15789473684208</v>
      </c>
      <c r="P57" s="49">
        <v>2557.894736842105</v>
      </c>
      <c r="Q57" s="83">
        <v>0</v>
      </c>
      <c r="R57" s="50">
        <v>0</v>
      </c>
      <c r="S57" s="51">
        <v>43417.136842105268</v>
      </c>
      <c r="T57" s="83">
        <v>0</v>
      </c>
      <c r="U57" s="52">
        <v>0</v>
      </c>
      <c r="V57" s="27">
        <v>0</v>
      </c>
      <c r="X57" s="78">
        <f t="shared" si="0"/>
        <v>34733.709473684219</v>
      </c>
      <c r="Z57" s="27">
        <v>34733.709473684219</v>
      </c>
      <c r="AA57" s="52">
        <f t="shared" si="5"/>
        <v>0</v>
      </c>
    </row>
    <row r="58" spans="1:27" hidden="1" x14ac:dyDescent="0.3">
      <c r="A58" s="26">
        <v>2063</v>
      </c>
      <c r="B58" s="27" t="s">
        <v>127</v>
      </c>
      <c r="C58" s="27" t="s">
        <v>27</v>
      </c>
      <c r="D58" s="27">
        <v>0</v>
      </c>
      <c r="E58" s="27">
        <v>0</v>
      </c>
      <c r="F58" s="83">
        <v>0</v>
      </c>
      <c r="G58" s="83">
        <v>0</v>
      </c>
      <c r="H58" s="29">
        <v>0</v>
      </c>
      <c r="I58" s="83">
        <v>28.421052631578945</v>
      </c>
      <c r="J58" s="83">
        <v>0</v>
      </c>
      <c r="K58" s="83">
        <v>426.31578947368416</v>
      </c>
      <c r="L58" s="83">
        <v>0</v>
      </c>
      <c r="M58" s="31">
        <v>28955.36842105263</v>
      </c>
      <c r="N58" s="83">
        <v>15.473684210526315</v>
      </c>
      <c r="O58" s="83">
        <v>232.10526315789474</v>
      </c>
      <c r="P58" s="49">
        <v>2785.2631578947367</v>
      </c>
      <c r="Q58" s="83">
        <v>0</v>
      </c>
      <c r="R58" s="50">
        <v>0</v>
      </c>
      <c r="S58" s="51">
        <v>31740.631578947367</v>
      </c>
      <c r="T58" s="83">
        <v>0</v>
      </c>
      <c r="U58" s="52">
        <v>0</v>
      </c>
      <c r="V58" s="27">
        <v>0</v>
      </c>
      <c r="X58" s="78">
        <f t="shared" si="0"/>
        <v>25392.505263157895</v>
      </c>
      <c r="Z58" s="27">
        <v>25392.505263157895</v>
      </c>
      <c r="AA58" s="52">
        <f t="shared" si="5"/>
        <v>0</v>
      </c>
    </row>
    <row r="59" spans="1:27" hidden="1" x14ac:dyDescent="0.3">
      <c r="A59" s="26">
        <v>2064</v>
      </c>
      <c r="B59" s="27" t="s">
        <v>267</v>
      </c>
      <c r="C59" s="27" t="s">
        <v>49</v>
      </c>
      <c r="D59" s="27">
        <v>0</v>
      </c>
      <c r="E59" s="27">
        <v>0</v>
      </c>
      <c r="F59" s="83">
        <v>0</v>
      </c>
      <c r="G59" s="83">
        <v>0</v>
      </c>
      <c r="H59" s="29">
        <v>0</v>
      </c>
      <c r="I59" s="83">
        <v>27.789473684210527</v>
      </c>
      <c r="J59" s="83">
        <v>0</v>
      </c>
      <c r="K59" s="83">
        <v>416.84210526315786</v>
      </c>
      <c r="L59" s="83">
        <v>0</v>
      </c>
      <c r="M59" s="31">
        <v>28311.915789473682</v>
      </c>
      <c r="N59" s="83">
        <v>11.684210526315789</v>
      </c>
      <c r="O59" s="83">
        <v>175.26315789473685</v>
      </c>
      <c r="P59" s="49">
        <v>2103.1578947368421</v>
      </c>
      <c r="Q59" s="83">
        <v>8.2105263157894743</v>
      </c>
      <c r="R59" s="50">
        <v>565.22991689750688</v>
      </c>
      <c r="S59" s="51">
        <v>30980.303601108033</v>
      </c>
      <c r="T59" s="83">
        <v>0</v>
      </c>
      <c r="U59" s="52">
        <v>0</v>
      </c>
      <c r="V59" s="27">
        <v>0</v>
      </c>
      <c r="X59" s="78">
        <f t="shared" si="0"/>
        <v>24784.242880886428</v>
      </c>
      <c r="Z59" s="27">
        <v>24784.242880886428</v>
      </c>
      <c r="AA59" s="52">
        <f t="shared" si="5"/>
        <v>0</v>
      </c>
    </row>
    <row r="60" spans="1:27" hidden="1" x14ac:dyDescent="0.3">
      <c r="A60" s="26">
        <v>2065</v>
      </c>
      <c r="B60" s="27" t="s">
        <v>268</v>
      </c>
      <c r="C60" s="27" t="s">
        <v>49</v>
      </c>
      <c r="D60" s="27">
        <v>0</v>
      </c>
      <c r="E60" s="27">
        <v>0</v>
      </c>
      <c r="F60" s="83">
        <v>0</v>
      </c>
      <c r="G60" s="83">
        <v>0</v>
      </c>
      <c r="H60" s="29">
        <v>0</v>
      </c>
      <c r="I60" s="83">
        <v>38.210526315789473</v>
      </c>
      <c r="J60" s="83">
        <v>0</v>
      </c>
      <c r="K60" s="83">
        <v>573.15789473684208</v>
      </c>
      <c r="L60" s="83">
        <v>0</v>
      </c>
      <c r="M60" s="31">
        <v>38928.884210526317</v>
      </c>
      <c r="N60" s="83">
        <v>0.31578947368421051</v>
      </c>
      <c r="O60" s="83">
        <v>4.7368421052631575</v>
      </c>
      <c r="P60" s="49">
        <v>56.84210526315789</v>
      </c>
      <c r="Q60" s="83">
        <v>0.31578947368421051</v>
      </c>
      <c r="R60" s="50">
        <v>21.739612188365648</v>
      </c>
      <c r="S60" s="51">
        <v>39007.465927977843</v>
      </c>
      <c r="T60" s="83">
        <v>0</v>
      </c>
      <c r="U60" s="52">
        <v>0</v>
      </c>
      <c r="V60" s="27">
        <v>0</v>
      </c>
      <c r="X60" s="78">
        <f t="shared" si="0"/>
        <v>31205.972742382277</v>
      </c>
      <c r="Z60" s="27">
        <v>31205.972742382277</v>
      </c>
      <c r="AA60" s="52">
        <f t="shared" si="5"/>
        <v>0</v>
      </c>
    </row>
    <row r="61" spans="1:27" hidden="1" x14ac:dyDescent="0.3">
      <c r="A61" s="26">
        <v>2068</v>
      </c>
      <c r="B61" s="27" t="s">
        <v>270</v>
      </c>
      <c r="C61" s="27" t="s">
        <v>49</v>
      </c>
      <c r="D61" s="27">
        <v>0</v>
      </c>
      <c r="E61" s="27">
        <v>0</v>
      </c>
      <c r="F61" s="83">
        <v>0</v>
      </c>
      <c r="G61" s="83">
        <v>0</v>
      </c>
      <c r="H61" s="29">
        <v>0</v>
      </c>
      <c r="I61" s="83">
        <v>26.210526315789473</v>
      </c>
      <c r="J61" s="83">
        <v>5.052631578947369</v>
      </c>
      <c r="K61" s="83">
        <v>393.15789473684208</v>
      </c>
      <c r="L61" s="83">
        <v>75.78947368421052</v>
      </c>
      <c r="M61" s="31">
        <v>31850.905263157896</v>
      </c>
      <c r="N61" s="83">
        <v>11.368421052631579</v>
      </c>
      <c r="O61" s="83">
        <v>170.52631578947367</v>
      </c>
      <c r="P61" s="49">
        <v>2046.3157894736842</v>
      </c>
      <c r="Q61" s="83">
        <v>11.368421052631579</v>
      </c>
      <c r="R61" s="50">
        <v>782.6260387811634</v>
      </c>
      <c r="S61" s="51">
        <v>34679.847091412747</v>
      </c>
      <c r="T61" s="83">
        <v>0.31578947368421051</v>
      </c>
      <c r="U61" s="52">
        <v>93.54016620498615</v>
      </c>
      <c r="V61" s="27">
        <v>0</v>
      </c>
      <c r="X61" s="78">
        <f t="shared" si="0"/>
        <v>27818.709806094186</v>
      </c>
      <c r="Z61" s="27">
        <v>27818.709806094186</v>
      </c>
      <c r="AA61" s="52">
        <f t="shared" si="5"/>
        <v>0</v>
      </c>
    </row>
    <row r="62" spans="1:27" hidden="1" x14ac:dyDescent="0.3">
      <c r="A62" s="26">
        <v>2070</v>
      </c>
      <c r="B62" s="27" t="s">
        <v>271</v>
      </c>
      <c r="C62" s="27" t="s">
        <v>49</v>
      </c>
      <c r="D62" s="27">
        <v>0</v>
      </c>
      <c r="E62" s="27">
        <v>0</v>
      </c>
      <c r="F62" s="83">
        <v>0</v>
      </c>
      <c r="G62" s="83">
        <v>0</v>
      </c>
      <c r="H62" s="29">
        <v>0</v>
      </c>
      <c r="I62" s="83">
        <v>15.473684210526315</v>
      </c>
      <c r="J62" s="83">
        <v>0</v>
      </c>
      <c r="K62" s="83">
        <v>232.10526315789474</v>
      </c>
      <c r="L62" s="83">
        <v>0</v>
      </c>
      <c r="M62" s="31">
        <v>15764.589473684209</v>
      </c>
      <c r="N62" s="83">
        <v>7.5789473684210522</v>
      </c>
      <c r="O62" s="83">
        <v>113.68421052631578</v>
      </c>
      <c r="P62" s="49">
        <v>1364.2105263157894</v>
      </c>
      <c r="Q62" s="83">
        <v>7.2631578947368425</v>
      </c>
      <c r="R62" s="50">
        <v>500.01108033240996</v>
      </c>
      <c r="S62" s="51">
        <v>17628.811080332409</v>
      </c>
      <c r="T62" s="83">
        <v>0</v>
      </c>
      <c r="U62" s="52">
        <v>0</v>
      </c>
      <c r="V62" s="27">
        <v>0</v>
      </c>
      <c r="X62" s="78">
        <f t="shared" si="0"/>
        <v>14103.048864265927</v>
      </c>
      <c r="Z62" s="27">
        <v>14103.048864265927</v>
      </c>
      <c r="AA62" s="52">
        <f t="shared" si="5"/>
        <v>0</v>
      </c>
    </row>
    <row r="63" spans="1:27" hidden="1" x14ac:dyDescent="0.3">
      <c r="A63" s="26">
        <v>2072</v>
      </c>
      <c r="B63" s="27" t="s">
        <v>272</v>
      </c>
      <c r="C63" s="27" t="s">
        <v>49</v>
      </c>
      <c r="D63" s="27">
        <v>0</v>
      </c>
      <c r="E63" s="27">
        <v>0</v>
      </c>
      <c r="F63" s="83">
        <v>0</v>
      </c>
      <c r="G63" s="83">
        <v>0</v>
      </c>
      <c r="H63" s="29">
        <v>0</v>
      </c>
      <c r="I63" s="83">
        <v>50.210526315789473</v>
      </c>
      <c r="J63" s="83">
        <v>10.736842105263158</v>
      </c>
      <c r="K63" s="83">
        <v>753.15789473684208</v>
      </c>
      <c r="L63" s="83">
        <v>161.05263157894737</v>
      </c>
      <c r="M63" s="31">
        <v>62093.178947368418</v>
      </c>
      <c r="N63" s="83">
        <v>18</v>
      </c>
      <c r="O63" s="83">
        <v>270</v>
      </c>
      <c r="P63" s="49">
        <v>3240</v>
      </c>
      <c r="Q63" s="83">
        <v>13.263157894736842</v>
      </c>
      <c r="R63" s="50">
        <v>913.06371191135736</v>
      </c>
      <c r="S63" s="51">
        <v>66246.242659279771</v>
      </c>
      <c r="T63" s="83">
        <v>0</v>
      </c>
      <c r="U63" s="52">
        <v>0</v>
      </c>
      <c r="V63" s="27">
        <v>0</v>
      </c>
      <c r="X63" s="78">
        <f t="shared" si="0"/>
        <v>52996.994127423823</v>
      </c>
      <c r="Z63" s="27">
        <v>52996.994127423823</v>
      </c>
      <c r="AA63" s="52">
        <f t="shared" si="5"/>
        <v>0</v>
      </c>
    </row>
    <row r="64" spans="1:27" hidden="1" x14ac:dyDescent="0.3">
      <c r="A64" s="26">
        <v>2073</v>
      </c>
      <c r="B64" s="27" t="s">
        <v>273</v>
      </c>
      <c r="C64" s="27" t="s">
        <v>49</v>
      </c>
      <c r="D64" s="27">
        <v>0</v>
      </c>
      <c r="E64" s="27">
        <v>0</v>
      </c>
      <c r="F64" s="83">
        <v>0</v>
      </c>
      <c r="G64" s="83">
        <v>0</v>
      </c>
      <c r="H64" s="29">
        <v>0</v>
      </c>
      <c r="I64" s="83">
        <v>39.789473684210527</v>
      </c>
      <c r="J64" s="83">
        <v>8.526315789473685</v>
      </c>
      <c r="K64" s="83">
        <v>596.84210526315792</v>
      </c>
      <c r="L64" s="83">
        <v>127.89473684210526</v>
      </c>
      <c r="M64" s="31">
        <v>49224.126315789472</v>
      </c>
      <c r="N64" s="83">
        <v>19.578947368421051</v>
      </c>
      <c r="O64" s="83">
        <v>293.68421052631578</v>
      </c>
      <c r="P64" s="49">
        <v>3524.2105263157891</v>
      </c>
      <c r="Q64" s="83">
        <v>14.526315789473685</v>
      </c>
      <c r="R64" s="50">
        <v>1000.0221606648199</v>
      </c>
      <c r="S64" s="51">
        <v>53748.359002770077</v>
      </c>
      <c r="T64" s="83">
        <v>0</v>
      </c>
      <c r="U64" s="52">
        <v>0</v>
      </c>
      <c r="V64" s="27">
        <v>0</v>
      </c>
      <c r="X64" s="78">
        <f t="shared" si="0"/>
        <v>42998.687202216068</v>
      </c>
      <c r="Z64" s="27">
        <v>42998.687202216068</v>
      </c>
      <c r="AA64" s="52">
        <f t="shared" si="5"/>
        <v>0</v>
      </c>
    </row>
    <row r="65" spans="1:27" hidden="1" x14ac:dyDescent="0.3">
      <c r="A65" s="26">
        <v>2075</v>
      </c>
      <c r="B65" s="27" t="s">
        <v>274</v>
      </c>
      <c r="C65" s="27" t="s">
        <v>49</v>
      </c>
      <c r="D65" s="27">
        <v>0</v>
      </c>
      <c r="E65" s="27">
        <v>0</v>
      </c>
      <c r="F65" s="83">
        <v>0</v>
      </c>
      <c r="G65" s="83">
        <v>0</v>
      </c>
      <c r="H65" s="29">
        <v>0</v>
      </c>
      <c r="I65" s="83">
        <v>25.578947368421051</v>
      </c>
      <c r="J65" s="83">
        <v>0</v>
      </c>
      <c r="K65" s="83">
        <v>383.68421052631578</v>
      </c>
      <c r="L65" s="83">
        <v>0</v>
      </c>
      <c r="M65" s="31">
        <v>26059.831578947367</v>
      </c>
      <c r="N65" s="83">
        <v>4.7368421052631575</v>
      </c>
      <c r="O65" s="83">
        <v>71.05263157894737</v>
      </c>
      <c r="P65" s="49">
        <v>852.63157894736844</v>
      </c>
      <c r="Q65" s="83">
        <v>0</v>
      </c>
      <c r="R65" s="50">
        <v>0</v>
      </c>
      <c r="S65" s="51">
        <v>26912.463157894737</v>
      </c>
      <c r="T65" s="83">
        <v>0</v>
      </c>
      <c r="U65" s="52">
        <v>0</v>
      </c>
      <c r="V65" s="27">
        <v>0</v>
      </c>
      <c r="X65" s="78">
        <f t="shared" si="0"/>
        <v>21529.970526315792</v>
      </c>
      <c r="Z65" s="27">
        <v>21529.970526315792</v>
      </c>
      <c r="AA65" s="52">
        <f t="shared" si="5"/>
        <v>0</v>
      </c>
    </row>
    <row r="66" spans="1:27" hidden="1" x14ac:dyDescent="0.3">
      <c r="A66" s="26">
        <v>2078</v>
      </c>
      <c r="B66" s="27" t="s">
        <v>275</v>
      </c>
      <c r="C66" s="27" t="s">
        <v>49</v>
      </c>
      <c r="D66" s="27">
        <v>0</v>
      </c>
      <c r="E66" s="27">
        <v>0</v>
      </c>
      <c r="F66" s="83">
        <v>0</v>
      </c>
      <c r="G66" s="83">
        <v>0</v>
      </c>
      <c r="H66" s="29">
        <v>0</v>
      </c>
      <c r="I66" s="83">
        <v>26.210526315789476</v>
      </c>
      <c r="J66" s="83">
        <v>9.1578947368421062</v>
      </c>
      <c r="K66" s="83">
        <v>382.98947368421057</v>
      </c>
      <c r="L66" s="83">
        <v>122.8421052631579</v>
      </c>
      <c r="M66" s="31">
        <v>34356.080842105264</v>
      </c>
      <c r="N66" s="83">
        <v>3.4736842105263159</v>
      </c>
      <c r="O66" s="83">
        <v>52.10526315789474</v>
      </c>
      <c r="P66" s="49">
        <v>625.26315789473688</v>
      </c>
      <c r="Q66" s="83">
        <v>3.4736842105263159</v>
      </c>
      <c r="R66" s="50">
        <v>239.13573407202216</v>
      </c>
      <c r="S66" s="51">
        <v>35220.479734072025</v>
      </c>
      <c r="T66" s="83">
        <v>0</v>
      </c>
      <c r="U66" s="52">
        <v>0</v>
      </c>
      <c r="V66" s="27">
        <v>0</v>
      </c>
      <c r="X66" s="78">
        <f t="shared" si="0"/>
        <v>28176.383787257622</v>
      </c>
      <c r="Z66" s="27">
        <v>28176.383787257622</v>
      </c>
      <c r="AA66" s="52">
        <f t="shared" si="5"/>
        <v>0</v>
      </c>
    </row>
    <row r="67" spans="1:27" hidden="1" x14ac:dyDescent="0.3">
      <c r="A67" s="26">
        <v>2082</v>
      </c>
      <c r="B67" s="27" t="s">
        <v>276</v>
      </c>
      <c r="C67" s="27" t="s">
        <v>49</v>
      </c>
      <c r="D67" s="27">
        <v>0</v>
      </c>
      <c r="E67" s="27">
        <v>0</v>
      </c>
      <c r="F67" s="83">
        <v>0</v>
      </c>
      <c r="G67" s="83">
        <v>0</v>
      </c>
      <c r="H67" s="29">
        <v>0</v>
      </c>
      <c r="I67" s="83">
        <v>23.052631578947366</v>
      </c>
      <c r="J67" s="83">
        <v>0</v>
      </c>
      <c r="K67" s="83">
        <v>345.78947368421052</v>
      </c>
      <c r="L67" s="83">
        <v>0</v>
      </c>
      <c r="M67" s="31">
        <v>23486.021052631582</v>
      </c>
      <c r="N67" s="83">
        <v>3.7894736842105261</v>
      </c>
      <c r="O67" s="83">
        <v>56.84210526315789</v>
      </c>
      <c r="P67" s="49">
        <v>682.10526315789468</v>
      </c>
      <c r="Q67" s="83">
        <v>0</v>
      </c>
      <c r="R67" s="50">
        <v>0</v>
      </c>
      <c r="S67" s="51">
        <v>24168.126315789475</v>
      </c>
      <c r="T67" s="83">
        <v>0</v>
      </c>
      <c r="U67" s="52">
        <v>0</v>
      </c>
      <c r="V67" s="27">
        <v>0</v>
      </c>
      <c r="X67" s="78">
        <f t="shared" si="0"/>
        <v>19334.501052631582</v>
      </c>
      <c r="Z67" s="27">
        <v>19334.501052631582</v>
      </c>
      <c r="AA67" s="52">
        <f t="shared" si="5"/>
        <v>0</v>
      </c>
    </row>
    <row r="68" spans="1:27" hidden="1" x14ac:dyDescent="0.3">
      <c r="A68" s="26">
        <v>2086</v>
      </c>
      <c r="B68" s="27" t="s">
        <v>277</v>
      </c>
      <c r="C68" s="27" t="s">
        <v>49</v>
      </c>
      <c r="D68" s="27">
        <v>0</v>
      </c>
      <c r="E68" s="27">
        <v>0</v>
      </c>
      <c r="F68" s="83">
        <v>0</v>
      </c>
      <c r="G68" s="83">
        <v>0</v>
      </c>
      <c r="H68" s="29">
        <v>0</v>
      </c>
      <c r="I68" s="83">
        <v>32.526315789473685</v>
      </c>
      <c r="J68" s="83">
        <v>0</v>
      </c>
      <c r="K68" s="83">
        <v>487.8947368421052</v>
      </c>
      <c r="L68" s="83">
        <v>0</v>
      </c>
      <c r="M68" s="31">
        <v>33137.810526315785</v>
      </c>
      <c r="N68" s="83">
        <v>4.4210526315789469</v>
      </c>
      <c r="O68" s="83">
        <v>66.315789473684205</v>
      </c>
      <c r="P68" s="49">
        <v>795.78947368421041</v>
      </c>
      <c r="Q68" s="83">
        <v>2.5263157894736841</v>
      </c>
      <c r="R68" s="50">
        <v>173.91689750692518</v>
      </c>
      <c r="S68" s="51">
        <v>34107.516897506925</v>
      </c>
      <c r="T68" s="83">
        <v>0</v>
      </c>
      <c r="U68" s="52">
        <v>0</v>
      </c>
      <c r="V68" s="27">
        <v>0</v>
      </c>
      <c r="X68" s="78">
        <f t="shared" si="0"/>
        <v>27286.01351800554</v>
      </c>
      <c r="Z68" s="27">
        <v>27286.01351800554</v>
      </c>
      <c r="AA68" s="52">
        <f t="shared" si="5"/>
        <v>0</v>
      </c>
    </row>
    <row r="69" spans="1:27" hidden="1" x14ac:dyDescent="0.3">
      <c r="A69" s="26">
        <v>2093</v>
      </c>
      <c r="B69" s="27" t="s">
        <v>278</v>
      </c>
      <c r="C69" s="27" t="s">
        <v>27</v>
      </c>
      <c r="D69" s="27">
        <v>0</v>
      </c>
      <c r="E69" s="27">
        <v>0</v>
      </c>
      <c r="F69" s="83">
        <v>0</v>
      </c>
      <c r="G69" s="83">
        <v>0</v>
      </c>
      <c r="H69" s="29">
        <v>0</v>
      </c>
      <c r="I69" s="83">
        <v>48.315789473684212</v>
      </c>
      <c r="J69" s="83">
        <v>0</v>
      </c>
      <c r="K69" s="83">
        <v>724.73684210526312</v>
      </c>
      <c r="L69" s="83">
        <v>0</v>
      </c>
      <c r="M69" s="31">
        <v>49224.126315789465</v>
      </c>
      <c r="N69" s="83">
        <v>6.3157894736842106</v>
      </c>
      <c r="O69" s="83">
        <v>94.736842105263165</v>
      </c>
      <c r="P69" s="49">
        <v>1136.8421052631579</v>
      </c>
      <c r="Q69" s="83">
        <v>1.8947368421052631</v>
      </c>
      <c r="R69" s="50">
        <v>130.4376731301939</v>
      </c>
      <c r="S69" s="51">
        <v>50491.406094182821</v>
      </c>
      <c r="T69" s="83">
        <v>0</v>
      </c>
      <c r="U69" s="52">
        <v>0</v>
      </c>
      <c r="V69" s="27">
        <v>0</v>
      </c>
      <c r="X69" s="78">
        <f t="shared" si="0"/>
        <v>40393.124875346257</v>
      </c>
      <c r="Z69" s="27">
        <v>40393.124875346257</v>
      </c>
      <c r="AA69" s="52">
        <f>Z69-X69</f>
        <v>0</v>
      </c>
    </row>
    <row r="70" spans="1:27" hidden="1" x14ac:dyDescent="0.3">
      <c r="A70" s="26">
        <v>2096</v>
      </c>
      <c r="B70" s="27" t="s">
        <v>279</v>
      </c>
      <c r="C70" s="27" t="s">
        <v>49</v>
      </c>
      <c r="D70" s="27">
        <v>0</v>
      </c>
      <c r="E70" s="27">
        <v>0</v>
      </c>
      <c r="F70" s="83">
        <v>0</v>
      </c>
      <c r="G70" s="83">
        <v>0</v>
      </c>
      <c r="H70" s="29">
        <v>0</v>
      </c>
      <c r="I70" s="83">
        <v>24</v>
      </c>
      <c r="J70" s="83">
        <v>0</v>
      </c>
      <c r="K70" s="83">
        <v>360</v>
      </c>
      <c r="L70" s="83">
        <v>0</v>
      </c>
      <c r="M70" s="31">
        <v>24451.200000000001</v>
      </c>
      <c r="N70" s="83">
        <v>9.473684210526315</v>
      </c>
      <c r="O70" s="83">
        <v>142.10526315789474</v>
      </c>
      <c r="P70" s="49">
        <v>1705.2631578947369</v>
      </c>
      <c r="Q70" s="83">
        <v>6.9473684210526319</v>
      </c>
      <c r="R70" s="50">
        <v>478.27146814404432</v>
      </c>
      <c r="S70" s="51">
        <v>26634.734626038782</v>
      </c>
      <c r="T70" s="83">
        <v>0</v>
      </c>
      <c r="U70" s="52">
        <v>0</v>
      </c>
      <c r="V70" s="27">
        <v>0</v>
      </c>
      <c r="X70" s="78">
        <f t="shared" si="0"/>
        <v>21307.787700831028</v>
      </c>
      <c r="Z70" s="27">
        <v>21307.787700831028</v>
      </c>
      <c r="AA70" s="52">
        <f t="shared" ref="AA70:AA72" si="6">Z70-X70</f>
        <v>0</v>
      </c>
    </row>
    <row r="71" spans="1:27" hidden="1" x14ac:dyDescent="0.3">
      <c r="A71" s="26">
        <v>2097</v>
      </c>
      <c r="B71" s="27" t="s">
        <v>280</v>
      </c>
      <c r="C71" s="27" t="s">
        <v>49</v>
      </c>
      <c r="D71" s="27">
        <v>0</v>
      </c>
      <c r="E71" s="27">
        <v>0</v>
      </c>
      <c r="F71" s="83">
        <v>0</v>
      </c>
      <c r="G71" s="83">
        <v>0</v>
      </c>
      <c r="H71" s="29">
        <v>0</v>
      </c>
      <c r="I71" s="83">
        <v>20.210526315789476</v>
      </c>
      <c r="J71" s="83">
        <v>5.6842105263157894</v>
      </c>
      <c r="K71" s="83">
        <v>303.15789473684208</v>
      </c>
      <c r="L71" s="83">
        <v>85.263157894736835</v>
      </c>
      <c r="M71" s="31">
        <v>26381.557894736841</v>
      </c>
      <c r="N71" s="83">
        <v>5.0526315789473681</v>
      </c>
      <c r="O71" s="83">
        <v>75.78947368421052</v>
      </c>
      <c r="P71" s="49">
        <v>909.47368421052624</v>
      </c>
      <c r="Q71" s="83">
        <v>1.263157894736842</v>
      </c>
      <c r="R71" s="50">
        <v>86.958448753462591</v>
      </c>
      <c r="S71" s="51">
        <v>27377.990027700831</v>
      </c>
      <c r="T71" s="83">
        <v>0</v>
      </c>
      <c r="U71" s="52">
        <v>0</v>
      </c>
      <c r="V71" s="27">
        <v>0</v>
      </c>
      <c r="X71" s="78">
        <f t="shared" ref="X71:X134" si="7">(S71+U71)*0.8</f>
        <v>21902.392022160668</v>
      </c>
      <c r="Z71" s="27">
        <v>21902.392022160668</v>
      </c>
      <c r="AA71" s="52">
        <f t="shared" si="6"/>
        <v>0</v>
      </c>
    </row>
    <row r="72" spans="1:27" hidden="1" x14ac:dyDescent="0.3">
      <c r="A72" s="26">
        <v>2098</v>
      </c>
      <c r="B72" s="27" t="s">
        <v>281</v>
      </c>
      <c r="C72" s="27" t="s">
        <v>49</v>
      </c>
      <c r="D72" s="27">
        <v>0</v>
      </c>
      <c r="E72" s="27">
        <v>0</v>
      </c>
      <c r="F72" s="83">
        <v>0</v>
      </c>
      <c r="G72" s="83">
        <v>0</v>
      </c>
      <c r="H72" s="29">
        <v>0</v>
      </c>
      <c r="I72" s="83">
        <v>23.052631578947366</v>
      </c>
      <c r="J72" s="83">
        <v>0</v>
      </c>
      <c r="K72" s="83">
        <v>345.78947368421052</v>
      </c>
      <c r="L72" s="83">
        <v>0</v>
      </c>
      <c r="M72" s="31">
        <v>23486.021052631582</v>
      </c>
      <c r="N72" s="83">
        <v>12.631578947368421</v>
      </c>
      <c r="O72" s="83">
        <v>189.47368421052633</v>
      </c>
      <c r="P72" s="49">
        <v>2273.6842105263158</v>
      </c>
      <c r="Q72" s="83">
        <v>7.8947368421052637</v>
      </c>
      <c r="R72" s="50">
        <v>543.49030470914124</v>
      </c>
      <c r="S72" s="51">
        <v>26303.195567867042</v>
      </c>
      <c r="T72" s="83">
        <v>0</v>
      </c>
      <c r="U72" s="52">
        <v>0</v>
      </c>
      <c r="V72" s="27">
        <v>0</v>
      </c>
      <c r="X72" s="78">
        <f t="shared" si="7"/>
        <v>21042.556454293634</v>
      </c>
      <c r="Z72" s="27">
        <v>21042.556454293634</v>
      </c>
      <c r="AA72" s="52">
        <f t="shared" si="6"/>
        <v>0</v>
      </c>
    </row>
    <row r="73" spans="1:27" hidden="1" x14ac:dyDescent="0.3">
      <c r="A73" s="26">
        <v>2099</v>
      </c>
      <c r="B73" s="27" t="s">
        <v>87</v>
      </c>
      <c r="C73" s="27" t="s">
        <v>27</v>
      </c>
      <c r="D73" s="27">
        <v>0</v>
      </c>
      <c r="E73" s="27">
        <v>0</v>
      </c>
      <c r="F73" s="83">
        <v>0</v>
      </c>
      <c r="G73" s="83">
        <v>0</v>
      </c>
      <c r="H73" s="29">
        <v>0</v>
      </c>
      <c r="I73" s="83">
        <v>23.368421052631582</v>
      </c>
      <c r="J73" s="83">
        <v>0</v>
      </c>
      <c r="K73" s="83">
        <v>350.52631578947364</v>
      </c>
      <c r="L73" s="83">
        <v>0</v>
      </c>
      <c r="M73" s="31">
        <v>23807.747368421049</v>
      </c>
      <c r="N73" s="83">
        <v>8.8421052631578938</v>
      </c>
      <c r="O73" s="83">
        <v>132.63157894736841</v>
      </c>
      <c r="P73" s="49">
        <v>1591.5789473684208</v>
      </c>
      <c r="Q73" s="83">
        <v>0.31578947368421051</v>
      </c>
      <c r="R73" s="50">
        <v>21.739612188365648</v>
      </c>
      <c r="S73" s="51">
        <v>25421.065927977834</v>
      </c>
      <c r="T73" s="83">
        <v>0</v>
      </c>
      <c r="U73" s="52">
        <v>0</v>
      </c>
      <c r="V73" s="27">
        <v>0</v>
      </c>
      <c r="X73" s="78">
        <f t="shared" si="7"/>
        <v>20336.852742382267</v>
      </c>
      <c r="Z73" s="27">
        <v>20336.852742382267</v>
      </c>
      <c r="AA73" s="52">
        <f>Z73-X73</f>
        <v>0</v>
      </c>
    </row>
    <row r="74" spans="1:27" hidden="1" x14ac:dyDescent="0.3">
      <c r="A74" s="26">
        <v>2100</v>
      </c>
      <c r="B74" s="27" t="s">
        <v>282</v>
      </c>
      <c r="C74" s="27" t="s">
        <v>49</v>
      </c>
      <c r="D74" s="27">
        <v>0</v>
      </c>
      <c r="E74" s="27">
        <v>0</v>
      </c>
      <c r="F74" s="83">
        <v>0</v>
      </c>
      <c r="G74" s="83">
        <v>0</v>
      </c>
      <c r="H74" s="29">
        <v>0</v>
      </c>
      <c r="I74" s="83">
        <v>21.789473684210527</v>
      </c>
      <c r="J74" s="83">
        <v>0</v>
      </c>
      <c r="K74" s="83">
        <v>326.84210526315786</v>
      </c>
      <c r="L74" s="83">
        <v>0</v>
      </c>
      <c r="M74" s="31">
        <v>22199.115789473683</v>
      </c>
      <c r="N74" s="83">
        <v>15.473684210526315</v>
      </c>
      <c r="O74" s="83">
        <v>232.10526315789474</v>
      </c>
      <c r="P74" s="49">
        <v>2785.2631578947367</v>
      </c>
      <c r="Q74" s="83">
        <v>9.473684210526315</v>
      </c>
      <c r="R74" s="50">
        <v>652.18836565096944</v>
      </c>
      <c r="S74" s="51">
        <v>25636.56731301939</v>
      </c>
      <c r="T74" s="83">
        <v>0</v>
      </c>
      <c r="U74" s="52">
        <v>0</v>
      </c>
      <c r="V74" s="27">
        <v>0</v>
      </c>
      <c r="X74" s="78">
        <f t="shared" si="7"/>
        <v>20509.253850415513</v>
      </c>
      <c r="Z74" s="27">
        <v>20509.253850415513</v>
      </c>
      <c r="AA74" s="52">
        <f t="shared" ref="AA74:AA76" si="8">Z74-X74</f>
        <v>0</v>
      </c>
    </row>
    <row r="75" spans="1:27" hidden="1" x14ac:dyDescent="0.3">
      <c r="A75" s="26">
        <v>2102</v>
      </c>
      <c r="B75" s="27" t="s">
        <v>283</v>
      </c>
      <c r="C75" s="27" t="s">
        <v>49</v>
      </c>
      <c r="D75" s="27">
        <v>0</v>
      </c>
      <c r="E75" s="27">
        <v>0</v>
      </c>
      <c r="F75" s="83">
        <v>0</v>
      </c>
      <c r="G75" s="83">
        <v>0</v>
      </c>
      <c r="H75" s="29">
        <v>0</v>
      </c>
      <c r="I75" s="83">
        <v>30.947368421052637</v>
      </c>
      <c r="J75" s="83">
        <v>4.1052631578947372</v>
      </c>
      <c r="K75" s="83">
        <v>464.21052631578948</v>
      </c>
      <c r="L75" s="83">
        <v>61.578947368421055</v>
      </c>
      <c r="M75" s="31">
        <v>35711.621052631577</v>
      </c>
      <c r="N75" s="83">
        <v>14.842105263157896</v>
      </c>
      <c r="O75" s="83">
        <v>222.63157894736844</v>
      </c>
      <c r="P75" s="49">
        <v>2671.5789473684213</v>
      </c>
      <c r="Q75" s="83">
        <v>10.421052631578949</v>
      </c>
      <c r="R75" s="50">
        <v>717.40720221606648</v>
      </c>
      <c r="S75" s="51">
        <v>39100.607202216066</v>
      </c>
      <c r="T75" s="83">
        <v>0</v>
      </c>
      <c r="U75" s="52">
        <v>0</v>
      </c>
      <c r="V75" s="27">
        <v>0</v>
      </c>
      <c r="X75" s="78">
        <f t="shared" si="7"/>
        <v>31280.485761772856</v>
      </c>
      <c r="Z75" s="27">
        <v>31280.485761772856</v>
      </c>
      <c r="AA75" s="52">
        <f t="shared" si="8"/>
        <v>0</v>
      </c>
    </row>
    <row r="76" spans="1:27" hidden="1" x14ac:dyDescent="0.3">
      <c r="A76" s="26">
        <v>2103</v>
      </c>
      <c r="B76" s="27" t="s">
        <v>284</v>
      </c>
      <c r="C76" s="27" t="s">
        <v>49</v>
      </c>
      <c r="D76" s="27">
        <v>0</v>
      </c>
      <c r="E76" s="27">
        <v>0</v>
      </c>
      <c r="F76" s="83">
        <v>0</v>
      </c>
      <c r="G76" s="83">
        <v>0</v>
      </c>
      <c r="H76" s="29">
        <v>0</v>
      </c>
      <c r="I76" s="83">
        <v>37.578947368421055</v>
      </c>
      <c r="J76" s="83">
        <v>16.105263157894736</v>
      </c>
      <c r="K76" s="83">
        <v>563.68421052631584</v>
      </c>
      <c r="L76" s="83">
        <v>236.84210526315789</v>
      </c>
      <c r="M76" s="31">
        <v>54371.747368421056</v>
      </c>
      <c r="N76" s="83">
        <v>11.368421052631579</v>
      </c>
      <c r="O76" s="83">
        <v>170.52631578947367</v>
      </c>
      <c r="P76" s="49">
        <v>2046.3157894736842</v>
      </c>
      <c r="Q76" s="83">
        <v>2.8421052631578947</v>
      </c>
      <c r="R76" s="50">
        <v>195.65650969529085</v>
      </c>
      <c r="S76" s="51">
        <v>56613.719667590034</v>
      </c>
      <c r="T76" s="83">
        <v>0</v>
      </c>
      <c r="U76" s="52">
        <v>0</v>
      </c>
      <c r="V76" s="27">
        <v>0</v>
      </c>
      <c r="X76" s="78">
        <f t="shared" si="7"/>
        <v>45290.975734072032</v>
      </c>
      <c r="Z76" s="27">
        <v>45290.975734072032</v>
      </c>
      <c r="AA76" s="52">
        <f t="shared" si="8"/>
        <v>0</v>
      </c>
    </row>
    <row r="77" spans="1:27" hidden="1" x14ac:dyDescent="0.3">
      <c r="A77" s="26">
        <v>2108</v>
      </c>
      <c r="B77" s="27" t="s">
        <v>161</v>
      </c>
      <c r="C77" s="27" t="s">
        <v>27</v>
      </c>
      <c r="D77" s="27">
        <v>0</v>
      </c>
      <c r="E77" s="27">
        <v>0</v>
      </c>
      <c r="F77" s="83">
        <v>0</v>
      </c>
      <c r="G77" s="83">
        <v>0</v>
      </c>
      <c r="H77" s="29">
        <v>0</v>
      </c>
      <c r="I77" s="83">
        <v>46.421052631578945</v>
      </c>
      <c r="J77" s="83">
        <v>0</v>
      </c>
      <c r="K77" s="83">
        <v>696.31578947368416</v>
      </c>
      <c r="L77" s="83">
        <v>0</v>
      </c>
      <c r="M77" s="31">
        <v>47293.768421052628</v>
      </c>
      <c r="N77" s="83">
        <v>4.1052631578947372</v>
      </c>
      <c r="O77" s="83">
        <v>61.578947368421055</v>
      </c>
      <c r="P77" s="49">
        <v>738.94736842105272</v>
      </c>
      <c r="Q77" s="83">
        <v>0.31578947368421051</v>
      </c>
      <c r="R77" s="50">
        <v>21.739612188365648</v>
      </c>
      <c r="S77" s="51">
        <v>48054.455401662046</v>
      </c>
      <c r="T77" s="83">
        <v>0</v>
      </c>
      <c r="U77" s="52">
        <v>0</v>
      </c>
      <c r="V77" s="27">
        <v>0</v>
      </c>
      <c r="X77" s="78">
        <f t="shared" si="7"/>
        <v>38443.564321329635</v>
      </c>
      <c r="Z77" s="27">
        <v>38443.564321329635</v>
      </c>
      <c r="AA77" s="52">
        <f>Z77-X77</f>
        <v>0</v>
      </c>
    </row>
    <row r="78" spans="1:27" hidden="1" x14ac:dyDescent="0.3">
      <c r="A78" s="26">
        <v>2109</v>
      </c>
      <c r="B78" s="27" t="s">
        <v>285</v>
      </c>
      <c r="C78" s="27" t="s">
        <v>49</v>
      </c>
      <c r="D78" s="27">
        <v>0</v>
      </c>
      <c r="E78" s="27">
        <v>0</v>
      </c>
      <c r="F78" s="83">
        <v>0</v>
      </c>
      <c r="G78" s="83">
        <v>0</v>
      </c>
      <c r="H78" s="29">
        <v>0</v>
      </c>
      <c r="I78" s="83">
        <v>20.526315789473685</v>
      </c>
      <c r="J78" s="83">
        <v>0</v>
      </c>
      <c r="K78" s="83">
        <v>307.89473684210526</v>
      </c>
      <c r="L78" s="83">
        <v>0</v>
      </c>
      <c r="M78" s="31">
        <v>20912.21052631579</v>
      </c>
      <c r="N78" s="83">
        <v>5.3684210526315788</v>
      </c>
      <c r="O78" s="83">
        <v>80.526315789473685</v>
      </c>
      <c r="P78" s="49">
        <v>966.31578947368416</v>
      </c>
      <c r="Q78" s="83">
        <v>5.3684210526315788</v>
      </c>
      <c r="R78" s="50">
        <v>369.573407202216</v>
      </c>
      <c r="S78" s="51">
        <v>22248.09972299169</v>
      </c>
      <c r="T78" s="83">
        <v>0</v>
      </c>
      <c r="U78" s="52">
        <v>0</v>
      </c>
      <c r="V78" s="27">
        <v>0</v>
      </c>
      <c r="X78" s="78">
        <f t="shared" si="7"/>
        <v>17798.479778393354</v>
      </c>
      <c r="Z78" s="27">
        <v>17798.479778393354</v>
      </c>
      <c r="AA78" s="52">
        <f t="shared" ref="AA78:AA79" si="9">Z78-X78</f>
        <v>0</v>
      </c>
    </row>
    <row r="79" spans="1:27" hidden="1" x14ac:dyDescent="0.3">
      <c r="A79" s="26">
        <v>2110</v>
      </c>
      <c r="B79" s="27" t="s">
        <v>286</v>
      </c>
      <c r="C79" s="27" t="s">
        <v>49</v>
      </c>
      <c r="D79" s="27">
        <v>0</v>
      </c>
      <c r="E79" s="27">
        <v>0</v>
      </c>
      <c r="F79" s="83">
        <v>0</v>
      </c>
      <c r="G79" s="83">
        <v>0</v>
      </c>
      <c r="H79" s="29">
        <v>0</v>
      </c>
      <c r="I79" s="83">
        <v>53.05263157894737</v>
      </c>
      <c r="J79" s="83">
        <v>0</v>
      </c>
      <c r="K79" s="83">
        <v>795.78947368421063</v>
      </c>
      <c r="L79" s="83">
        <v>0</v>
      </c>
      <c r="M79" s="31">
        <v>54050.021052631586</v>
      </c>
      <c r="N79" s="83">
        <v>9.473684210526315</v>
      </c>
      <c r="O79" s="83">
        <v>142.10526315789474</v>
      </c>
      <c r="P79" s="49">
        <v>1705.2631578947369</v>
      </c>
      <c r="Q79" s="83">
        <v>2.8421052631578947</v>
      </c>
      <c r="R79" s="50">
        <v>195.65650969529085</v>
      </c>
      <c r="S79" s="51">
        <v>55950.940720221617</v>
      </c>
      <c r="T79" s="83">
        <v>0</v>
      </c>
      <c r="U79" s="52">
        <v>0</v>
      </c>
      <c r="V79" s="27">
        <v>0</v>
      </c>
      <c r="X79" s="78">
        <f t="shared" si="7"/>
        <v>44760.752576177299</v>
      </c>
      <c r="Z79" s="27">
        <v>44760.752576177299</v>
      </c>
      <c r="AA79" s="52">
        <f t="shared" si="9"/>
        <v>0</v>
      </c>
    </row>
    <row r="80" spans="1:27" hidden="1" x14ac:dyDescent="0.3">
      <c r="A80" s="26">
        <v>2115</v>
      </c>
      <c r="B80" s="27" t="s">
        <v>287</v>
      </c>
      <c r="C80" s="27" t="s">
        <v>27</v>
      </c>
      <c r="D80" s="27">
        <v>0</v>
      </c>
      <c r="E80" s="27">
        <v>0</v>
      </c>
      <c r="F80" s="83">
        <v>0</v>
      </c>
      <c r="G80" s="83">
        <v>0</v>
      </c>
      <c r="H80" s="29">
        <v>0</v>
      </c>
      <c r="I80" s="83">
        <v>27.473684210526315</v>
      </c>
      <c r="J80" s="83">
        <v>12</v>
      </c>
      <c r="K80" s="83">
        <v>412.10526315789468</v>
      </c>
      <c r="L80" s="83">
        <v>180</v>
      </c>
      <c r="M80" s="31">
        <v>40215.789473684214</v>
      </c>
      <c r="N80" s="83">
        <v>7.5789473684210522</v>
      </c>
      <c r="O80" s="83">
        <v>113.68421052631578</v>
      </c>
      <c r="P80" s="49">
        <v>1364.2105263157894</v>
      </c>
      <c r="Q80" s="83">
        <v>0</v>
      </c>
      <c r="R80" s="50">
        <v>0</v>
      </c>
      <c r="S80" s="51">
        <v>41580</v>
      </c>
      <c r="T80" s="83">
        <v>0</v>
      </c>
      <c r="U80" s="52">
        <v>0</v>
      </c>
      <c r="V80" s="27">
        <v>0</v>
      </c>
      <c r="X80" s="78">
        <f t="shared" si="7"/>
        <v>33264</v>
      </c>
      <c r="Z80" s="27">
        <v>33264</v>
      </c>
      <c r="AA80" s="52">
        <f>Z80-X80</f>
        <v>0</v>
      </c>
    </row>
    <row r="81" spans="1:27" hidden="1" x14ac:dyDescent="0.3">
      <c r="A81" s="26">
        <v>2117</v>
      </c>
      <c r="B81" s="27" t="s">
        <v>288</v>
      </c>
      <c r="C81" s="27" t="s">
        <v>49</v>
      </c>
      <c r="D81" s="27">
        <v>0</v>
      </c>
      <c r="E81" s="27">
        <v>0</v>
      </c>
      <c r="F81" s="83">
        <v>0</v>
      </c>
      <c r="G81" s="83">
        <v>0</v>
      </c>
      <c r="H81" s="29">
        <v>0</v>
      </c>
      <c r="I81" s="83">
        <v>29.684210526315791</v>
      </c>
      <c r="J81" s="83">
        <v>0</v>
      </c>
      <c r="K81" s="83">
        <v>445.26315789473688</v>
      </c>
      <c r="L81" s="83">
        <v>0</v>
      </c>
      <c r="M81" s="31">
        <v>30242.27368421053</v>
      </c>
      <c r="N81" s="83">
        <v>6.3157894736842106</v>
      </c>
      <c r="O81" s="83">
        <v>94.736842105263165</v>
      </c>
      <c r="P81" s="49">
        <v>1136.8421052631579</v>
      </c>
      <c r="Q81" s="83">
        <v>3.7894736842105261</v>
      </c>
      <c r="R81" s="50">
        <v>260.8753462603878</v>
      </c>
      <c r="S81" s="51">
        <v>31639.991135734075</v>
      </c>
      <c r="T81" s="83">
        <v>0</v>
      </c>
      <c r="U81" s="52">
        <v>0</v>
      </c>
      <c r="V81" s="27">
        <v>0</v>
      </c>
      <c r="X81" s="78">
        <f t="shared" si="7"/>
        <v>25311.992908587261</v>
      </c>
      <c r="Z81" s="27">
        <v>25311.992908587261</v>
      </c>
      <c r="AA81" s="52">
        <f t="shared" ref="AA81:AA84" si="10">Z81-X81</f>
        <v>0</v>
      </c>
    </row>
    <row r="82" spans="1:27" hidden="1" x14ac:dyDescent="0.3">
      <c r="A82" s="26">
        <v>2119</v>
      </c>
      <c r="B82" s="27" t="s">
        <v>289</v>
      </c>
      <c r="C82" s="27" t="s">
        <v>49</v>
      </c>
      <c r="D82" s="27">
        <v>0</v>
      </c>
      <c r="E82" s="27">
        <v>0</v>
      </c>
      <c r="F82" s="83">
        <v>0</v>
      </c>
      <c r="G82" s="83">
        <v>0</v>
      </c>
      <c r="H82" s="29">
        <v>0</v>
      </c>
      <c r="I82" s="83">
        <v>23.052631578947366</v>
      </c>
      <c r="J82" s="83">
        <v>0</v>
      </c>
      <c r="K82" s="83">
        <v>345.78947368421052</v>
      </c>
      <c r="L82" s="83">
        <v>0</v>
      </c>
      <c r="M82" s="31">
        <v>23486.021052631582</v>
      </c>
      <c r="N82" s="83">
        <v>10.736842105263158</v>
      </c>
      <c r="O82" s="83">
        <v>161.05263157894737</v>
      </c>
      <c r="P82" s="49">
        <v>1932.6315789473683</v>
      </c>
      <c r="Q82" s="83">
        <v>0</v>
      </c>
      <c r="R82" s="50">
        <v>0</v>
      </c>
      <c r="S82" s="51">
        <v>25418.652631578952</v>
      </c>
      <c r="T82" s="83">
        <v>0</v>
      </c>
      <c r="U82" s="52">
        <v>0</v>
      </c>
      <c r="V82" s="27">
        <v>0</v>
      </c>
      <c r="X82" s="78">
        <f t="shared" si="7"/>
        <v>20334.922105263162</v>
      </c>
      <c r="Z82" s="27">
        <v>20334.922105263162</v>
      </c>
      <c r="AA82" s="52">
        <f t="shared" si="10"/>
        <v>0</v>
      </c>
    </row>
    <row r="83" spans="1:27" hidden="1" x14ac:dyDescent="0.3">
      <c r="A83" s="26">
        <v>2121</v>
      </c>
      <c r="B83" s="27" t="s">
        <v>290</v>
      </c>
      <c r="C83" s="27" t="s">
        <v>49</v>
      </c>
      <c r="D83" s="27">
        <v>0</v>
      </c>
      <c r="E83" s="27">
        <v>0</v>
      </c>
      <c r="F83" s="83">
        <v>0</v>
      </c>
      <c r="G83" s="83">
        <v>0</v>
      </c>
      <c r="H83" s="29">
        <v>0</v>
      </c>
      <c r="I83" s="83">
        <v>22.736842105263158</v>
      </c>
      <c r="J83" s="83">
        <v>0</v>
      </c>
      <c r="K83" s="83">
        <v>341.05263157894734</v>
      </c>
      <c r="L83" s="83">
        <v>0</v>
      </c>
      <c r="M83" s="31">
        <v>23164.294736842105</v>
      </c>
      <c r="N83" s="83">
        <v>14.842105263157896</v>
      </c>
      <c r="O83" s="83">
        <v>222.63157894736844</v>
      </c>
      <c r="P83" s="49">
        <v>2671.5789473684213</v>
      </c>
      <c r="Q83" s="83">
        <v>13.578947368421051</v>
      </c>
      <c r="R83" s="50">
        <v>934.80332409972289</v>
      </c>
      <c r="S83" s="51">
        <v>26770.677008310246</v>
      </c>
      <c r="T83" s="83">
        <v>0</v>
      </c>
      <c r="U83" s="52">
        <v>0</v>
      </c>
      <c r="V83" s="27">
        <v>0</v>
      </c>
      <c r="X83" s="78">
        <f t="shared" si="7"/>
        <v>21416.541606648199</v>
      </c>
      <c r="Z83" s="27">
        <v>21416.541606648199</v>
      </c>
      <c r="AA83" s="52">
        <f t="shared" si="10"/>
        <v>0</v>
      </c>
    </row>
    <row r="84" spans="1:27" hidden="1" x14ac:dyDescent="0.3">
      <c r="A84" s="26">
        <v>2122</v>
      </c>
      <c r="B84" s="27" t="s">
        <v>291</v>
      </c>
      <c r="C84" s="27" t="s">
        <v>49</v>
      </c>
      <c r="D84" s="27">
        <v>0</v>
      </c>
      <c r="E84" s="27">
        <v>0</v>
      </c>
      <c r="F84" s="83">
        <v>0</v>
      </c>
      <c r="G84" s="83">
        <v>0</v>
      </c>
      <c r="H84" s="29">
        <v>0</v>
      </c>
      <c r="I84" s="83">
        <v>54.315789473684205</v>
      </c>
      <c r="J84" s="83">
        <v>1.8947368421052631</v>
      </c>
      <c r="K84" s="83">
        <v>814.73684210526312</v>
      </c>
      <c r="L84" s="83">
        <v>28.421052631578945</v>
      </c>
      <c r="M84" s="31">
        <v>57267.284210526312</v>
      </c>
      <c r="N84" s="83">
        <v>19.263157894736842</v>
      </c>
      <c r="O84" s="83">
        <v>288.94736842105266</v>
      </c>
      <c r="P84" s="49">
        <v>3467.3684210526317</v>
      </c>
      <c r="Q84" s="83">
        <v>11.052631578947368</v>
      </c>
      <c r="R84" s="50">
        <v>760.88642659279776</v>
      </c>
      <c r="S84" s="51">
        <v>61495.539058171744</v>
      </c>
      <c r="T84" s="83">
        <v>0</v>
      </c>
      <c r="U84" s="52">
        <v>0</v>
      </c>
      <c r="V84" s="27">
        <v>0</v>
      </c>
      <c r="X84" s="78">
        <f t="shared" si="7"/>
        <v>49196.431246537395</v>
      </c>
      <c r="Z84" s="27">
        <v>49196.431246537395</v>
      </c>
      <c r="AA84" s="52">
        <f t="shared" si="10"/>
        <v>0</v>
      </c>
    </row>
    <row r="85" spans="1:27" hidden="1" x14ac:dyDescent="0.3">
      <c r="A85" s="26">
        <v>2127</v>
      </c>
      <c r="B85" s="27" t="s">
        <v>292</v>
      </c>
      <c r="C85" s="27" t="s">
        <v>27</v>
      </c>
      <c r="D85" s="27">
        <v>0</v>
      </c>
      <c r="E85" s="27">
        <v>0</v>
      </c>
      <c r="F85" s="83">
        <v>0</v>
      </c>
      <c r="G85" s="83">
        <v>0</v>
      </c>
      <c r="H85" s="29">
        <v>0</v>
      </c>
      <c r="I85" s="83">
        <v>38.526315789473685</v>
      </c>
      <c r="J85" s="83">
        <v>8.2105263157894726</v>
      </c>
      <c r="K85" s="83">
        <v>577.8947368421052</v>
      </c>
      <c r="L85" s="83">
        <v>123.15789473684211</v>
      </c>
      <c r="M85" s="31">
        <v>47615.494736842105</v>
      </c>
      <c r="N85" s="83">
        <v>11.684210526315789</v>
      </c>
      <c r="O85" s="83">
        <v>175.26315789473685</v>
      </c>
      <c r="P85" s="49">
        <v>2103.1578947368421</v>
      </c>
      <c r="Q85" s="83">
        <v>6.6315789473684212</v>
      </c>
      <c r="R85" s="50">
        <v>456.53185595567868</v>
      </c>
      <c r="S85" s="51">
        <v>50175.184487534621</v>
      </c>
      <c r="T85" s="83">
        <v>0.31578947368421051</v>
      </c>
      <c r="U85" s="52">
        <v>93.54016620498615</v>
      </c>
      <c r="V85" s="27">
        <v>0</v>
      </c>
      <c r="X85" s="78">
        <f t="shared" si="7"/>
        <v>40214.979722991688</v>
      </c>
      <c r="Z85" s="27">
        <v>40214.979722991688</v>
      </c>
      <c r="AA85" s="52">
        <f>Z85-X85</f>
        <v>0</v>
      </c>
    </row>
    <row r="86" spans="1:27" hidden="1" x14ac:dyDescent="0.3">
      <c r="A86" s="26">
        <v>2132</v>
      </c>
      <c r="B86" s="27" t="s">
        <v>293</v>
      </c>
      <c r="C86" s="27" t="s">
        <v>49</v>
      </c>
      <c r="D86" s="27">
        <v>0</v>
      </c>
      <c r="E86" s="27">
        <v>0</v>
      </c>
      <c r="F86" s="83">
        <v>0</v>
      </c>
      <c r="G86" s="83">
        <v>0</v>
      </c>
      <c r="H86" s="29">
        <v>0</v>
      </c>
      <c r="I86" s="83">
        <v>46.10526315789474</v>
      </c>
      <c r="J86" s="83">
        <v>0</v>
      </c>
      <c r="K86" s="83">
        <v>691.57894736842104</v>
      </c>
      <c r="L86" s="83">
        <v>0</v>
      </c>
      <c r="M86" s="31">
        <v>46972.042105263165</v>
      </c>
      <c r="N86" s="83">
        <v>12.315789473684212</v>
      </c>
      <c r="O86" s="83">
        <v>184.73684210526318</v>
      </c>
      <c r="P86" s="49">
        <v>2216.8421052631584</v>
      </c>
      <c r="Q86" s="83">
        <v>0</v>
      </c>
      <c r="R86" s="50">
        <v>0</v>
      </c>
      <c r="S86" s="51">
        <v>49188.884210526325</v>
      </c>
      <c r="T86" s="83">
        <v>0</v>
      </c>
      <c r="U86" s="52">
        <v>0</v>
      </c>
      <c r="V86" s="27">
        <v>0</v>
      </c>
      <c r="X86" s="78">
        <f t="shared" si="7"/>
        <v>39351.107368421064</v>
      </c>
      <c r="Z86" s="27">
        <v>39351.107368421064</v>
      </c>
      <c r="AA86" s="52">
        <f t="shared" ref="AA86:AA89" si="11">Z86-X86</f>
        <v>0</v>
      </c>
    </row>
    <row r="87" spans="1:27" hidden="1" x14ac:dyDescent="0.3">
      <c r="A87" s="26">
        <v>2136</v>
      </c>
      <c r="B87" s="27" t="s">
        <v>294</v>
      </c>
      <c r="C87" s="27" t="s">
        <v>49</v>
      </c>
      <c r="D87" s="27">
        <v>0</v>
      </c>
      <c r="E87" s="27">
        <v>0</v>
      </c>
      <c r="F87" s="83">
        <v>0</v>
      </c>
      <c r="G87" s="83">
        <v>0</v>
      </c>
      <c r="H87" s="29">
        <v>0</v>
      </c>
      <c r="I87" s="83">
        <v>35.368421052631575</v>
      </c>
      <c r="J87" s="83">
        <v>12.315789473684212</v>
      </c>
      <c r="K87" s="83">
        <v>530.52631578947364</v>
      </c>
      <c r="L87" s="83">
        <v>180</v>
      </c>
      <c r="M87" s="31">
        <v>48258.947368421046</v>
      </c>
      <c r="N87" s="83">
        <v>14.842105263157896</v>
      </c>
      <c r="O87" s="83">
        <v>222.63157894736844</v>
      </c>
      <c r="P87" s="49">
        <v>2671.5789473684213</v>
      </c>
      <c r="Q87" s="83">
        <v>14.842105263157896</v>
      </c>
      <c r="R87" s="50">
        <v>1021.7617728531856</v>
      </c>
      <c r="S87" s="51">
        <v>51952.28808864265</v>
      </c>
      <c r="T87" s="83">
        <v>0</v>
      </c>
      <c r="U87" s="52">
        <v>0</v>
      </c>
      <c r="V87" s="27">
        <v>0</v>
      </c>
      <c r="X87" s="78">
        <f t="shared" si="7"/>
        <v>41561.830470914123</v>
      </c>
      <c r="Z87" s="27">
        <v>41561.830470914123</v>
      </c>
      <c r="AA87" s="52">
        <f t="shared" si="11"/>
        <v>0</v>
      </c>
    </row>
    <row r="88" spans="1:27" hidden="1" x14ac:dyDescent="0.3">
      <c r="A88" s="26">
        <v>2138</v>
      </c>
      <c r="B88" s="27" t="s">
        <v>295</v>
      </c>
      <c r="C88" s="27" t="s">
        <v>49</v>
      </c>
      <c r="D88" s="27">
        <v>0</v>
      </c>
      <c r="E88" s="27">
        <v>0</v>
      </c>
      <c r="F88" s="83">
        <v>0</v>
      </c>
      <c r="G88" s="83">
        <v>0</v>
      </c>
      <c r="H88" s="29">
        <v>0</v>
      </c>
      <c r="I88" s="83">
        <v>31.89473684210526</v>
      </c>
      <c r="J88" s="83">
        <v>7.5789473684210531</v>
      </c>
      <c r="K88" s="83">
        <v>473.68421052631572</v>
      </c>
      <c r="L88" s="83">
        <v>108.94736842105263</v>
      </c>
      <c r="M88" s="31">
        <v>39572.336842105258</v>
      </c>
      <c r="N88" s="83">
        <v>6.6315789473684212</v>
      </c>
      <c r="O88" s="83">
        <v>99.473684210526315</v>
      </c>
      <c r="P88" s="49">
        <v>1193.6842105263158</v>
      </c>
      <c r="Q88" s="83">
        <v>4.7368421052631575</v>
      </c>
      <c r="R88" s="50">
        <v>326.09418282548472</v>
      </c>
      <c r="S88" s="51">
        <v>41092.115235457059</v>
      </c>
      <c r="T88" s="83">
        <v>0</v>
      </c>
      <c r="U88" s="52">
        <v>0</v>
      </c>
      <c r="V88" s="27">
        <v>0</v>
      </c>
      <c r="X88" s="78">
        <f t="shared" si="7"/>
        <v>32873.692188365647</v>
      </c>
      <c r="Z88" s="27">
        <v>32873.692188365647</v>
      </c>
      <c r="AA88" s="52">
        <f t="shared" si="11"/>
        <v>0</v>
      </c>
    </row>
    <row r="89" spans="1:27" hidden="1" x14ac:dyDescent="0.3">
      <c r="A89" s="26">
        <v>2141</v>
      </c>
      <c r="B89" s="27" t="s">
        <v>296</v>
      </c>
      <c r="C89" s="27" t="s">
        <v>49</v>
      </c>
      <c r="D89" s="27">
        <v>0</v>
      </c>
      <c r="E89" s="27">
        <v>0</v>
      </c>
      <c r="F89" s="83">
        <v>0</v>
      </c>
      <c r="G89" s="83">
        <v>0</v>
      </c>
      <c r="H89" s="29">
        <v>0</v>
      </c>
      <c r="I89" s="83">
        <v>16.421052631578945</v>
      </c>
      <c r="J89" s="83">
        <v>0</v>
      </c>
      <c r="K89" s="83">
        <v>246.31578947368422</v>
      </c>
      <c r="L89" s="83">
        <v>0</v>
      </c>
      <c r="M89" s="31">
        <v>16729.768421052635</v>
      </c>
      <c r="N89" s="83">
        <v>9.473684210526315</v>
      </c>
      <c r="O89" s="83">
        <v>142.10526315789474</v>
      </c>
      <c r="P89" s="49">
        <v>1705.2631578947369</v>
      </c>
      <c r="Q89" s="83">
        <v>8.2105263157894743</v>
      </c>
      <c r="R89" s="50">
        <v>565.22991689750688</v>
      </c>
      <c r="S89" s="51">
        <v>19000.261495844879</v>
      </c>
      <c r="T89" s="83">
        <v>0</v>
      </c>
      <c r="U89" s="52">
        <v>0</v>
      </c>
      <c r="V89" s="27">
        <v>0</v>
      </c>
      <c r="X89" s="78">
        <f t="shared" si="7"/>
        <v>15200.209196675904</v>
      </c>
      <c r="Z89" s="27">
        <v>15200.209196675904</v>
      </c>
      <c r="AA89" s="52">
        <f t="shared" si="11"/>
        <v>0</v>
      </c>
    </row>
    <row r="90" spans="1:27" hidden="1" x14ac:dyDescent="0.3">
      <c r="A90" s="26">
        <v>2142</v>
      </c>
      <c r="B90" s="27" t="s">
        <v>115</v>
      </c>
      <c r="C90" s="27" t="s">
        <v>27</v>
      </c>
      <c r="D90" s="27">
        <v>0</v>
      </c>
      <c r="E90" s="27">
        <v>0</v>
      </c>
      <c r="F90" s="83">
        <v>0</v>
      </c>
      <c r="G90" s="83">
        <v>0</v>
      </c>
      <c r="H90" s="29">
        <v>0</v>
      </c>
      <c r="I90" s="83">
        <v>24.315789473684212</v>
      </c>
      <c r="J90" s="83">
        <v>0</v>
      </c>
      <c r="K90" s="83">
        <v>364.73684210526312</v>
      </c>
      <c r="L90" s="83">
        <v>0</v>
      </c>
      <c r="M90" s="31">
        <v>24772.926315789471</v>
      </c>
      <c r="N90" s="83">
        <v>9.1578947368421062</v>
      </c>
      <c r="O90" s="83">
        <v>137.36842105263159</v>
      </c>
      <c r="P90" s="49">
        <v>1648.4210526315792</v>
      </c>
      <c r="Q90" s="83">
        <v>8.8421052631578938</v>
      </c>
      <c r="R90" s="50">
        <v>608.70914127423816</v>
      </c>
      <c r="S90" s="51">
        <v>27030.056509695289</v>
      </c>
      <c r="T90" s="83">
        <v>0</v>
      </c>
      <c r="U90" s="52">
        <v>0</v>
      </c>
      <c r="V90" s="27">
        <v>0</v>
      </c>
      <c r="X90" s="78">
        <f t="shared" si="7"/>
        <v>21624.045207756233</v>
      </c>
      <c r="Z90" s="27">
        <v>21624.045207756233</v>
      </c>
      <c r="AA90" s="52">
        <f>Z90-X90</f>
        <v>0</v>
      </c>
    </row>
    <row r="91" spans="1:27" hidden="1" x14ac:dyDescent="0.3">
      <c r="A91" s="26">
        <v>2144</v>
      </c>
      <c r="B91" s="27" t="s">
        <v>298</v>
      </c>
      <c r="C91" s="27" t="s">
        <v>49</v>
      </c>
      <c r="D91" s="27">
        <v>0</v>
      </c>
      <c r="E91" s="27">
        <v>0</v>
      </c>
      <c r="F91" s="83">
        <v>0</v>
      </c>
      <c r="G91" s="83">
        <v>0</v>
      </c>
      <c r="H91" s="29">
        <v>0</v>
      </c>
      <c r="I91" s="83">
        <v>38.84210526315789</v>
      </c>
      <c r="J91" s="83">
        <v>0.63157894736842102</v>
      </c>
      <c r="K91" s="83">
        <v>582.63157894736833</v>
      </c>
      <c r="L91" s="83">
        <v>9.473684210526315</v>
      </c>
      <c r="M91" s="31">
        <v>40215.789473684206</v>
      </c>
      <c r="N91" s="83">
        <v>11.052631578947368</v>
      </c>
      <c r="O91" s="83">
        <v>165.78947368421052</v>
      </c>
      <c r="P91" s="49">
        <v>1989.4736842105262</v>
      </c>
      <c r="Q91" s="83">
        <v>9.7894736842105257</v>
      </c>
      <c r="R91" s="50">
        <v>673.92797783933509</v>
      </c>
      <c r="S91" s="51">
        <v>42879.191135734065</v>
      </c>
      <c r="T91" s="83">
        <v>0</v>
      </c>
      <c r="U91" s="52">
        <v>0</v>
      </c>
      <c r="V91" s="27">
        <v>0</v>
      </c>
      <c r="X91" s="78">
        <f t="shared" si="7"/>
        <v>34303.352908587251</v>
      </c>
      <c r="Z91" s="27">
        <v>34303.352908587251</v>
      </c>
      <c r="AA91" s="52">
        <f t="shared" ref="AA91:AA93" si="12">Z91-X91</f>
        <v>0</v>
      </c>
    </row>
    <row r="92" spans="1:27" hidden="1" x14ac:dyDescent="0.3">
      <c r="A92" s="26">
        <v>2146</v>
      </c>
      <c r="B92" s="27" t="s">
        <v>299</v>
      </c>
      <c r="C92" s="27" t="s">
        <v>49</v>
      </c>
      <c r="D92" s="27">
        <v>0</v>
      </c>
      <c r="E92" s="27">
        <v>0</v>
      </c>
      <c r="F92" s="83">
        <v>0</v>
      </c>
      <c r="G92" s="83">
        <v>0</v>
      </c>
      <c r="H92" s="29">
        <v>0</v>
      </c>
      <c r="I92" s="83">
        <v>37.89473684210526</v>
      </c>
      <c r="J92" s="83">
        <v>0</v>
      </c>
      <c r="K92" s="83">
        <v>568.42105263157896</v>
      </c>
      <c r="L92" s="83">
        <v>0</v>
      </c>
      <c r="M92" s="31">
        <v>38607.157894736847</v>
      </c>
      <c r="N92" s="83">
        <v>17.368421052631579</v>
      </c>
      <c r="O92" s="83">
        <v>260.5263157894737</v>
      </c>
      <c r="P92" s="49">
        <v>3126.3157894736842</v>
      </c>
      <c r="Q92" s="83">
        <v>17.368421052631579</v>
      </c>
      <c r="R92" s="50">
        <v>1195.6786703601108</v>
      </c>
      <c r="S92" s="51">
        <v>42929.152354570644</v>
      </c>
      <c r="T92" s="83">
        <v>0</v>
      </c>
      <c r="U92" s="52">
        <v>0</v>
      </c>
      <c r="V92" s="27">
        <v>0</v>
      </c>
      <c r="X92" s="78">
        <f t="shared" si="7"/>
        <v>34343.321883656514</v>
      </c>
      <c r="Z92" s="27">
        <v>34343.321883656514</v>
      </c>
      <c r="AA92" s="52">
        <f t="shared" si="12"/>
        <v>0</v>
      </c>
    </row>
    <row r="93" spans="1:27" hidden="1" x14ac:dyDescent="0.3">
      <c r="A93" s="26">
        <v>2149</v>
      </c>
      <c r="B93" s="27" t="s">
        <v>300</v>
      </c>
      <c r="C93" s="27" t="s">
        <v>49</v>
      </c>
      <c r="D93" s="27">
        <v>0</v>
      </c>
      <c r="E93" s="27">
        <v>0</v>
      </c>
      <c r="F93" s="83">
        <v>0</v>
      </c>
      <c r="G93" s="83">
        <v>0</v>
      </c>
      <c r="H93" s="29">
        <v>0</v>
      </c>
      <c r="I93" s="83">
        <v>23.368421052631579</v>
      </c>
      <c r="J93" s="83">
        <v>0</v>
      </c>
      <c r="K93" s="83">
        <v>350.5263157894737</v>
      </c>
      <c r="L93" s="83">
        <v>0</v>
      </c>
      <c r="M93" s="31">
        <v>23807.747368421053</v>
      </c>
      <c r="N93" s="83">
        <v>13.263157894736842</v>
      </c>
      <c r="O93" s="83">
        <v>198.94736842105263</v>
      </c>
      <c r="P93" s="49">
        <v>2387.3684210526317</v>
      </c>
      <c r="Q93" s="83">
        <v>13.263157894736842</v>
      </c>
      <c r="R93" s="50">
        <v>913.06371191135736</v>
      </c>
      <c r="S93" s="51">
        <v>27108.179501385039</v>
      </c>
      <c r="T93" s="83">
        <v>0</v>
      </c>
      <c r="U93" s="52">
        <v>0</v>
      </c>
      <c r="V93" s="27">
        <v>0</v>
      </c>
      <c r="X93" s="78">
        <f t="shared" si="7"/>
        <v>21686.543601108031</v>
      </c>
      <c r="Z93" s="27">
        <v>21686.543601108031</v>
      </c>
      <c r="AA93" s="52">
        <f t="shared" si="12"/>
        <v>0</v>
      </c>
    </row>
    <row r="94" spans="1:27" hidden="1" x14ac:dyDescent="0.3">
      <c r="A94" s="26">
        <v>2150</v>
      </c>
      <c r="B94" s="27" t="s">
        <v>203</v>
      </c>
      <c r="C94" s="27" t="s">
        <v>245</v>
      </c>
      <c r="D94" s="27">
        <v>0</v>
      </c>
      <c r="E94" s="27">
        <v>0</v>
      </c>
      <c r="F94" s="83">
        <v>0</v>
      </c>
      <c r="G94" s="83">
        <v>0</v>
      </c>
      <c r="H94" s="29">
        <v>0</v>
      </c>
      <c r="I94" s="83">
        <v>19.578947368421055</v>
      </c>
      <c r="J94" s="83">
        <v>0</v>
      </c>
      <c r="K94" s="83">
        <v>293.68421052631578</v>
      </c>
      <c r="L94" s="83">
        <v>0</v>
      </c>
      <c r="M94" s="31">
        <v>19947.031578947368</v>
      </c>
      <c r="N94" s="83">
        <v>3.4736842105263159</v>
      </c>
      <c r="O94" s="83">
        <v>52.10526315789474</v>
      </c>
      <c r="P94" s="49">
        <v>625.26315789473688</v>
      </c>
      <c r="Q94" s="83">
        <v>3.4736842105263159</v>
      </c>
      <c r="R94" s="50">
        <v>239.13573407202216</v>
      </c>
      <c r="S94" s="51">
        <v>20811.430470914125</v>
      </c>
      <c r="T94" s="83">
        <v>0</v>
      </c>
      <c r="U94" s="52">
        <v>0</v>
      </c>
      <c r="V94" s="27">
        <v>0</v>
      </c>
      <c r="X94" s="78">
        <f t="shared" si="7"/>
        <v>16649.144376731299</v>
      </c>
      <c r="Z94" s="27">
        <v>16649.144376731299</v>
      </c>
      <c r="AA94" s="52">
        <f>Z94-X94</f>
        <v>0</v>
      </c>
    </row>
    <row r="95" spans="1:27" hidden="1" x14ac:dyDescent="0.3">
      <c r="A95" s="26">
        <v>2156</v>
      </c>
      <c r="B95" s="27" t="s">
        <v>301</v>
      </c>
      <c r="C95" s="27" t="s">
        <v>49</v>
      </c>
      <c r="D95" s="27">
        <v>0</v>
      </c>
      <c r="E95" s="27">
        <v>0</v>
      </c>
      <c r="F95" s="83">
        <v>0</v>
      </c>
      <c r="G95" s="83">
        <v>0</v>
      </c>
      <c r="H95" s="29">
        <v>0</v>
      </c>
      <c r="I95" s="83">
        <v>23.684210526315788</v>
      </c>
      <c r="J95" s="83">
        <v>0</v>
      </c>
      <c r="K95" s="83">
        <v>355.26315789473682</v>
      </c>
      <c r="L95" s="83">
        <v>0</v>
      </c>
      <c r="M95" s="31">
        <v>24129.473684210523</v>
      </c>
      <c r="N95" s="83">
        <v>13.578947368421051</v>
      </c>
      <c r="O95" s="83">
        <v>203.68421052631578</v>
      </c>
      <c r="P95" s="49">
        <v>2444.2105263157891</v>
      </c>
      <c r="Q95" s="83">
        <v>13.263157894736842</v>
      </c>
      <c r="R95" s="50">
        <v>913.06371191135736</v>
      </c>
      <c r="S95" s="51">
        <v>27486.747922437669</v>
      </c>
      <c r="T95" s="83">
        <v>0</v>
      </c>
      <c r="U95" s="52">
        <v>0</v>
      </c>
      <c r="V95" s="27">
        <v>0</v>
      </c>
      <c r="X95" s="78">
        <f t="shared" si="7"/>
        <v>21989.398337950137</v>
      </c>
      <c r="Z95" s="27">
        <v>21989.398337950137</v>
      </c>
      <c r="AA95" s="52">
        <f>Z95-X95</f>
        <v>0</v>
      </c>
    </row>
    <row r="96" spans="1:27" hidden="1" x14ac:dyDescent="0.3">
      <c r="A96" s="26">
        <v>2157</v>
      </c>
      <c r="B96" s="27" t="s">
        <v>205</v>
      </c>
      <c r="C96" s="27" t="s">
        <v>245</v>
      </c>
      <c r="D96" s="27">
        <v>0</v>
      </c>
      <c r="E96" s="27">
        <v>0</v>
      </c>
      <c r="F96" s="83">
        <v>0</v>
      </c>
      <c r="G96" s="83">
        <v>0</v>
      </c>
      <c r="H96" s="29">
        <v>0</v>
      </c>
      <c r="I96" s="83">
        <v>23.368421052631579</v>
      </c>
      <c r="J96" s="83">
        <v>9.7894736842105257</v>
      </c>
      <c r="K96" s="83">
        <v>350.52631578947364</v>
      </c>
      <c r="L96" s="83">
        <v>146.84210526315789</v>
      </c>
      <c r="M96" s="31">
        <v>33781.263157894733</v>
      </c>
      <c r="N96" s="83">
        <v>1.5789473684210527</v>
      </c>
      <c r="O96" s="83">
        <v>23.684210526315791</v>
      </c>
      <c r="P96" s="49">
        <v>284.21052631578948</v>
      </c>
      <c r="Q96" s="83">
        <v>1.5789473684210527</v>
      </c>
      <c r="R96" s="50">
        <v>108.69806094182825</v>
      </c>
      <c r="S96" s="51">
        <v>34174.171745152351</v>
      </c>
      <c r="T96" s="83">
        <v>0</v>
      </c>
      <c r="U96" s="52">
        <v>0</v>
      </c>
      <c r="V96" s="27">
        <v>0</v>
      </c>
      <c r="X96" s="78">
        <f t="shared" si="7"/>
        <v>27339.337396121882</v>
      </c>
      <c r="Z96" s="27">
        <v>27339.337396121882</v>
      </c>
      <c r="AA96" s="52">
        <f t="shared" ref="AA96:AA97" si="13">Z96-X96</f>
        <v>0</v>
      </c>
    </row>
    <row r="97" spans="1:27" hidden="1" x14ac:dyDescent="0.3">
      <c r="A97" s="26">
        <v>2161</v>
      </c>
      <c r="B97" s="27" t="s">
        <v>302</v>
      </c>
      <c r="C97" s="27" t="s">
        <v>27</v>
      </c>
      <c r="D97" s="27">
        <v>0</v>
      </c>
      <c r="E97" s="27">
        <v>0</v>
      </c>
      <c r="F97" s="83">
        <v>0</v>
      </c>
      <c r="G97" s="83">
        <v>0</v>
      </c>
      <c r="H97" s="29">
        <v>0</v>
      </c>
      <c r="I97" s="83">
        <v>36.315789473684212</v>
      </c>
      <c r="J97" s="83">
        <v>10.736842105263158</v>
      </c>
      <c r="K97" s="83">
        <v>544.73684210526312</v>
      </c>
      <c r="L97" s="83">
        <v>161.05263157894737</v>
      </c>
      <c r="M97" s="31">
        <v>47937.221052631576</v>
      </c>
      <c r="N97" s="83">
        <v>14.842105263157896</v>
      </c>
      <c r="O97" s="83">
        <v>222.63157894736844</v>
      </c>
      <c r="P97" s="49">
        <v>2671.5789473684213</v>
      </c>
      <c r="Q97" s="83">
        <v>0</v>
      </c>
      <c r="R97" s="50">
        <v>0</v>
      </c>
      <c r="S97" s="51">
        <v>50608.799999999996</v>
      </c>
      <c r="T97" s="83">
        <v>0</v>
      </c>
      <c r="U97" s="52">
        <v>0</v>
      </c>
      <c r="V97" s="27">
        <v>0</v>
      </c>
      <c r="X97" s="78">
        <f t="shared" si="7"/>
        <v>40487.040000000001</v>
      </c>
      <c r="Z97" s="27">
        <v>40487.040000000001</v>
      </c>
      <c r="AA97" s="52">
        <f t="shared" si="13"/>
        <v>0</v>
      </c>
    </row>
    <row r="98" spans="1:27" hidden="1" x14ac:dyDescent="0.3">
      <c r="A98" s="26">
        <v>2162</v>
      </c>
      <c r="B98" s="27" t="s">
        <v>303</v>
      </c>
      <c r="C98" s="27" t="s">
        <v>49</v>
      </c>
      <c r="D98" s="27">
        <v>0</v>
      </c>
      <c r="E98" s="27">
        <v>0</v>
      </c>
      <c r="F98" s="83">
        <v>0</v>
      </c>
      <c r="G98" s="83">
        <v>0</v>
      </c>
      <c r="H98" s="29">
        <v>0</v>
      </c>
      <c r="I98" s="83">
        <v>16.736842105263158</v>
      </c>
      <c r="J98" s="83">
        <v>0</v>
      </c>
      <c r="K98" s="83">
        <v>251.05263157894737</v>
      </c>
      <c r="L98" s="83">
        <v>0</v>
      </c>
      <c r="M98" s="31">
        <v>17051.494736842105</v>
      </c>
      <c r="N98" s="83">
        <v>1.5789473684210527</v>
      </c>
      <c r="O98" s="83">
        <v>23.684210526315791</v>
      </c>
      <c r="P98" s="49">
        <v>284.21052631578948</v>
      </c>
      <c r="Q98" s="83">
        <v>0.31578947368421051</v>
      </c>
      <c r="R98" s="50">
        <v>21.739612188365648</v>
      </c>
      <c r="S98" s="51">
        <v>17357.44487534626</v>
      </c>
      <c r="T98" s="83">
        <v>0</v>
      </c>
      <c r="U98" s="52">
        <v>0</v>
      </c>
      <c r="V98" s="27">
        <v>0</v>
      </c>
      <c r="X98" s="78">
        <f t="shared" si="7"/>
        <v>13885.955900277009</v>
      </c>
      <c r="Z98" s="27">
        <v>13885.955900277009</v>
      </c>
      <c r="AA98" s="52">
        <f>Z98-X98</f>
        <v>0</v>
      </c>
    </row>
    <row r="99" spans="1:27" hidden="1" x14ac:dyDescent="0.3">
      <c r="A99" s="26">
        <v>2169</v>
      </c>
      <c r="B99" s="27" t="s">
        <v>304</v>
      </c>
      <c r="C99" s="27" t="s">
        <v>27</v>
      </c>
      <c r="D99" s="27">
        <v>0</v>
      </c>
      <c r="E99" s="27">
        <v>0</v>
      </c>
      <c r="F99" s="83">
        <v>0</v>
      </c>
      <c r="G99" s="83">
        <v>0</v>
      </c>
      <c r="H99" s="29">
        <v>0</v>
      </c>
      <c r="I99" s="83">
        <v>27.473684210526315</v>
      </c>
      <c r="J99" s="83">
        <v>4.1052631578947372</v>
      </c>
      <c r="K99" s="83">
        <v>412.1052631578948</v>
      </c>
      <c r="L99" s="83">
        <v>61.578947368421048</v>
      </c>
      <c r="M99" s="31">
        <v>32172.631578947374</v>
      </c>
      <c r="N99" s="83">
        <v>15.789473684210527</v>
      </c>
      <c r="O99" s="83">
        <v>236.84210526315792</v>
      </c>
      <c r="P99" s="49">
        <v>2842.105263157895</v>
      </c>
      <c r="Q99" s="83">
        <v>4.4210526315789469</v>
      </c>
      <c r="R99" s="50">
        <v>304.35457063711908</v>
      </c>
      <c r="S99" s="51">
        <v>35319.091412742389</v>
      </c>
      <c r="T99" s="83">
        <v>0</v>
      </c>
      <c r="U99" s="52">
        <v>0</v>
      </c>
      <c r="V99" s="27">
        <v>0</v>
      </c>
      <c r="X99" s="78">
        <f t="shared" si="7"/>
        <v>28255.273130193913</v>
      </c>
      <c r="Z99" s="27">
        <v>28255.273130193913</v>
      </c>
      <c r="AA99" s="52">
        <f>Z99-X99</f>
        <v>0</v>
      </c>
    </row>
    <row r="100" spans="1:27" hidden="1" x14ac:dyDescent="0.3">
      <c r="A100" s="26">
        <v>2170</v>
      </c>
      <c r="B100" s="27" t="s">
        <v>305</v>
      </c>
      <c r="C100" s="27" t="s">
        <v>49</v>
      </c>
      <c r="D100" s="27">
        <v>0</v>
      </c>
      <c r="E100" s="27">
        <v>0</v>
      </c>
      <c r="F100" s="83">
        <v>12.631578947368421</v>
      </c>
      <c r="G100" s="83">
        <v>189.4736842105263</v>
      </c>
      <c r="H100" s="29">
        <v>19349.052631578947</v>
      </c>
      <c r="I100" s="83">
        <v>39.789473684210527</v>
      </c>
      <c r="J100" s="83">
        <v>1.5789473684210527</v>
      </c>
      <c r="K100" s="83">
        <v>596.84210526315792</v>
      </c>
      <c r="L100" s="83">
        <v>23.684210526315788</v>
      </c>
      <c r="M100" s="31">
        <v>42146.14736842105</v>
      </c>
      <c r="N100" s="83">
        <v>11.684210526315789</v>
      </c>
      <c r="O100" s="83">
        <v>175.26315789473685</v>
      </c>
      <c r="P100" s="49">
        <v>2103.1578947368421</v>
      </c>
      <c r="Q100" s="83">
        <v>9.7894736842105257</v>
      </c>
      <c r="R100" s="50">
        <v>673.92797783933509</v>
      </c>
      <c r="S100" s="51">
        <v>64272.285872576169</v>
      </c>
      <c r="T100" s="83">
        <v>0</v>
      </c>
      <c r="U100" s="52">
        <v>0</v>
      </c>
      <c r="V100" s="27">
        <v>0</v>
      </c>
      <c r="X100" s="78">
        <f t="shared" si="7"/>
        <v>51417.828698060941</v>
      </c>
      <c r="Z100" s="27">
        <v>51417.828698060941</v>
      </c>
      <c r="AA100" s="52">
        <f t="shared" ref="AA100:AA105" si="14">Z100-X100</f>
        <v>0</v>
      </c>
    </row>
    <row r="101" spans="1:27" hidden="1" x14ac:dyDescent="0.3">
      <c r="A101" s="26">
        <v>2171</v>
      </c>
      <c r="B101" s="27" t="s">
        <v>306</v>
      </c>
      <c r="C101" s="27" t="s">
        <v>49</v>
      </c>
      <c r="D101" s="27">
        <v>0</v>
      </c>
      <c r="E101" s="27">
        <v>0</v>
      </c>
      <c r="F101" s="83">
        <v>0</v>
      </c>
      <c r="G101" s="83">
        <v>0</v>
      </c>
      <c r="H101" s="29">
        <v>0</v>
      </c>
      <c r="I101" s="83">
        <v>26.842105263157897</v>
      </c>
      <c r="J101" s="83">
        <v>0</v>
      </c>
      <c r="K101" s="83">
        <v>402.63157894736844</v>
      </c>
      <c r="L101" s="83">
        <v>0</v>
      </c>
      <c r="M101" s="31">
        <v>27346.736842105267</v>
      </c>
      <c r="N101" s="83">
        <v>6.9473684210526319</v>
      </c>
      <c r="O101" s="83">
        <v>104.21052631578948</v>
      </c>
      <c r="P101" s="49">
        <v>1250.5263157894738</v>
      </c>
      <c r="Q101" s="83">
        <v>6.9473684210526319</v>
      </c>
      <c r="R101" s="50">
        <v>478.27146814404432</v>
      </c>
      <c r="S101" s="51">
        <v>29075.534626038785</v>
      </c>
      <c r="T101" s="83">
        <v>0</v>
      </c>
      <c r="U101" s="52">
        <v>0</v>
      </c>
      <c r="V101" s="27">
        <v>0</v>
      </c>
      <c r="X101" s="78">
        <f t="shared" si="7"/>
        <v>23260.427700831031</v>
      </c>
      <c r="Z101" s="27">
        <v>23260.427700831031</v>
      </c>
      <c r="AA101" s="52">
        <f t="shared" si="14"/>
        <v>0</v>
      </c>
    </row>
    <row r="102" spans="1:27" hidden="1" x14ac:dyDescent="0.3">
      <c r="A102" s="26">
        <v>2176</v>
      </c>
      <c r="B102" s="27" t="s">
        <v>307</v>
      </c>
      <c r="C102" s="27" t="s">
        <v>27</v>
      </c>
      <c r="D102" s="27">
        <v>0</v>
      </c>
      <c r="E102" s="27">
        <v>0</v>
      </c>
      <c r="F102" s="83">
        <v>0</v>
      </c>
      <c r="G102" s="83">
        <v>0</v>
      </c>
      <c r="H102" s="29">
        <v>0</v>
      </c>
      <c r="I102" s="83">
        <v>59.684210526315788</v>
      </c>
      <c r="J102" s="83">
        <v>6.6315789473684212</v>
      </c>
      <c r="K102" s="83">
        <v>895.26315789473688</v>
      </c>
      <c r="L102" s="83">
        <v>99.473684210526301</v>
      </c>
      <c r="M102" s="31">
        <v>67562.526315789481</v>
      </c>
      <c r="N102" s="83">
        <v>19.894736842105264</v>
      </c>
      <c r="O102" s="83">
        <v>298.42105263157896</v>
      </c>
      <c r="P102" s="49">
        <v>3581.0526315789475</v>
      </c>
      <c r="Q102" s="83">
        <v>0.94736842105263153</v>
      </c>
      <c r="R102" s="50">
        <v>65.21883656509695</v>
      </c>
      <c r="S102" s="51">
        <v>71208.797783933522</v>
      </c>
      <c r="T102" s="83">
        <v>0</v>
      </c>
      <c r="U102" s="52">
        <v>0</v>
      </c>
      <c r="V102" s="27">
        <v>0</v>
      </c>
      <c r="X102" s="78">
        <f t="shared" si="7"/>
        <v>56967.038227146819</v>
      </c>
      <c r="Z102" s="27">
        <v>56967.038227146819</v>
      </c>
      <c r="AA102" s="52">
        <f t="shared" si="14"/>
        <v>0</v>
      </c>
    </row>
    <row r="103" spans="1:27" hidden="1" x14ac:dyDescent="0.3">
      <c r="A103" s="26">
        <v>2178</v>
      </c>
      <c r="B103" s="27" t="s">
        <v>155</v>
      </c>
      <c r="C103" s="27" t="s">
        <v>27</v>
      </c>
      <c r="D103" s="27">
        <v>0</v>
      </c>
      <c r="E103" s="27">
        <v>0</v>
      </c>
      <c r="F103" s="83">
        <v>0</v>
      </c>
      <c r="G103" s="83">
        <v>0</v>
      </c>
      <c r="H103" s="29">
        <v>0</v>
      </c>
      <c r="I103" s="83">
        <v>19.263157894736842</v>
      </c>
      <c r="J103" s="83">
        <v>6.3157894736842106</v>
      </c>
      <c r="K103" s="83">
        <v>280.73684210526312</v>
      </c>
      <c r="L103" s="83">
        <v>90.94736842105263</v>
      </c>
      <c r="M103" s="31">
        <v>25244.791578947366</v>
      </c>
      <c r="N103" s="83">
        <v>6.3157894736842106</v>
      </c>
      <c r="O103" s="83">
        <v>94.736842105263165</v>
      </c>
      <c r="P103" s="49">
        <v>1136.8421052631579</v>
      </c>
      <c r="Q103" s="83">
        <v>1.8947368421052631</v>
      </c>
      <c r="R103" s="50">
        <v>130.4376731301939</v>
      </c>
      <c r="S103" s="51">
        <v>26512.071357340716</v>
      </c>
      <c r="T103" s="83">
        <v>0</v>
      </c>
      <c r="U103" s="52">
        <v>0</v>
      </c>
      <c r="V103" s="27">
        <v>0</v>
      </c>
      <c r="X103" s="78">
        <f t="shared" si="7"/>
        <v>21209.657085872575</v>
      </c>
      <c r="Z103" s="27">
        <v>21209.657085872575</v>
      </c>
      <c r="AA103" s="52">
        <f t="shared" si="14"/>
        <v>0</v>
      </c>
    </row>
    <row r="104" spans="1:27" hidden="1" x14ac:dyDescent="0.3">
      <c r="A104" s="26">
        <v>2180</v>
      </c>
      <c r="B104" s="27" t="s">
        <v>308</v>
      </c>
      <c r="C104" s="27" t="s">
        <v>49</v>
      </c>
      <c r="D104" s="27">
        <v>0</v>
      </c>
      <c r="E104" s="27">
        <v>0</v>
      </c>
      <c r="F104" s="83">
        <v>0</v>
      </c>
      <c r="G104" s="83">
        <v>0</v>
      </c>
      <c r="H104" s="29">
        <v>0</v>
      </c>
      <c r="I104" s="83">
        <v>53.368421052631575</v>
      </c>
      <c r="J104" s="83">
        <v>5.0526315789473681</v>
      </c>
      <c r="K104" s="83">
        <v>800.52631578947364</v>
      </c>
      <c r="L104" s="83">
        <v>75.78947368421052</v>
      </c>
      <c r="M104" s="31">
        <v>59519.368421052626</v>
      </c>
      <c r="N104" s="83">
        <v>13.894736842105264</v>
      </c>
      <c r="O104" s="83">
        <v>208.42105263157896</v>
      </c>
      <c r="P104" s="49">
        <v>2501.0526315789475</v>
      </c>
      <c r="Q104" s="83">
        <v>9.7894736842105257</v>
      </c>
      <c r="R104" s="50">
        <v>673.92797783933509</v>
      </c>
      <c r="S104" s="51">
        <v>62694.349030470905</v>
      </c>
      <c r="T104" s="83">
        <v>0</v>
      </c>
      <c r="U104" s="52">
        <v>0</v>
      </c>
      <c r="V104" s="27">
        <v>0</v>
      </c>
      <c r="X104" s="78">
        <f t="shared" si="7"/>
        <v>50155.47922437673</v>
      </c>
      <c r="Z104" s="27">
        <v>50155.47922437673</v>
      </c>
      <c r="AA104" s="52">
        <f t="shared" si="14"/>
        <v>0</v>
      </c>
    </row>
    <row r="105" spans="1:27" hidden="1" x14ac:dyDescent="0.3">
      <c r="A105" s="26">
        <v>2181</v>
      </c>
      <c r="B105" s="27" t="s">
        <v>309</v>
      </c>
      <c r="C105" s="27" t="s">
        <v>49</v>
      </c>
      <c r="D105" s="27">
        <v>0</v>
      </c>
      <c r="E105" s="27">
        <v>0</v>
      </c>
      <c r="F105" s="83">
        <v>0</v>
      </c>
      <c r="G105" s="83">
        <v>0</v>
      </c>
      <c r="H105" s="29">
        <v>0</v>
      </c>
      <c r="I105" s="83">
        <v>22.736842105263158</v>
      </c>
      <c r="J105" s="83">
        <v>0</v>
      </c>
      <c r="K105" s="83">
        <v>341.0526315789474</v>
      </c>
      <c r="L105" s="83">
        <v>0</v>
      </c>
      <c r="M105" s="31">
        <v>23164.294736842108</v>
      </c>
      <c r="N105" s="83">
        <v>0</v>
      </c>
      <c r="O105" s="83">
        <v>0</v>
      </c>
      <c r="P105" s="49">
        <v>0</v>
      </c>
      <c r="Q105" s="83">
        <v>0</v>
      </c>
      <c r="R105" s="50">
        <v>0</v>
      </c>
      <c r="S105" s="51">
        <v>23164.294736842108</v>
      </c>
      <c r="T105" s="83">
        <v>0</v>
      </c>
      <c r="U105" s="52">
        <v>0</v>
      </c>
      <c r="V105" s="27">
        <v>0</v>
      </c>
      <c r="X105" s="78">
        <f t="shared" si="7"/>
        <v>18531.435789473686</v>
      </c>
      <c r="Z105" s="27">
        <v>18531.435789473686</v>
      </c>
      <c r="AA105" s="52">
        <f t="shared" si="14"/>
        <v>0</v>
      </c>
    </row>
    <row r="106" spans="1:27" hidden="1" x14ac:dyDescent="0.3">
      <c r="A106" s="26">
        <v>2185</v>
      </c>
      <c r="B106" s="27" t="s">
        <v>65</v>
      </c>
      <c r="C106" s="27" t="s">
        <v>27</v>
      </c>
      <c r="D106" s="27">
        <v>0</v>
      </c>
      <c r="E106" s="27">
        <v>0</v>
      </c>
      <c r="F106" s="83">
        <v>0</v>
      </c>
      <c r="G106" s="83">
        <v>0</v>
      </c>
      <c r="H106" s="29">
        <v>0</v>
      </c>
      <c r="I106" s="83">
        <v>35.05263157894737</v>
      </c>
      <c r="J106" s="83">
        <v>9.473684210526315</v>
      </c>
      <c r="K106" s="83">
        <v>525.78947368421052</v>
      </c>
      <c r="L106" s="83">
        <v>142.10526315789474</v>
      </c>
      <c r="M106" s="31">
        <v>45363.410526315798</v>
      </c>
      <c r="N106" s="83">
        <v>5.6842105263157894</v>
      </c>
      <c r="O106" s="83">
        <v>85.263157894736835</v>
      </c>
      <c r="P106" s="49">
        <v>1023.1578947368421</v>
      </c>
      <c r="Q106" s="83">
        <v>0</v>
      </c>
      <c r="R106" s="50">
        <v>0</v>
      </c>
      <c r="S106" s="51">
        <v>46386.568421052638</v>
      </c>
      <c r="T106" s="83">
        <v>0</v>
      </c>
      <c r="U106" s="52">
        <v>0</v>
      </c>
      <c r="V106" s="27">
        <v>0</v>
      </c>
      <c r="X106" s="78">
        <f t="shared" si="7"/>
        <v>37109.254736842115</v>
      </c>
      <c r="Z106" s="27">
        <v>37109.254736842115</v>
      </c>
      <c r="AA106" s="52">
        <f>Z106-X106</f>
        <v>0</v>
      </c>
    </row>
    <row r="107" spans="1:27" hidden="1" x14ac:dyDescent="0.3">
      <c r="A107" s="26">
        <v>2186</v>
      </c>
      <c r="B107" s="27" t="s">
        <v>310</v>
      </c>
      <c r="C107" s="27" t="s">
        <v>49</v>
      </c>
      <c r="D107" s="27">
        <v>0</v>
      </c>
      <c r="E107" s="27">
        <v>0</v>
      </c>
      <c r="F107" s="83">
        <v>0</v>
      </c>
      <c r="G107" s="83">
        <v>0</v>
      </c>
      <c r="H107" s="29">
        <v>0</v>
      </c>
      <c r="I107" s="83">
        <v>42.631578947368425</v>
      </c>
      <c r="J107" s="83">
        <v>6</v>
      </c>
      <c r="K107" s="83">
        <v>639.47368421052624</v>
      </c>
      <c r="L107" s="83">
        <v>90</v>
      </c>
      <c r="M107" s="31">
        <v>49545.85263157895</v>
      </c>
      <c r="N107" s="83">
        <v>4.7368421052631575</v>
      </c>
      <c r="O107" s="83">
        <v>71.05263157894737</v>
      </c>
      <c r="P107" s="49">
        <v>852.63157894736844</v>
      </c>
      <c r="Q107" s="83">
        <v>2.8421052631578947</v>
      </c>
      <c r="R107" s="50">
        <v>195.65650969529085</v>
      </c>
      <c r="S107" s="51">
        <v>50594.140720221607</v>
      </c>
      <c r="T107" s="83">
        <v>0</v>
      </c>
      <c r="U107" s="52">
        <v>0</v>
      </c>
      <c r="V107" s="27">
        <v>0</v>
      </c>
      <c r="X107" s="78">
        <f t="shared" si="7"/>
        <v>40475.31257617729</v>
      </c>
      <c r="Z107" s="27">
        <v>40475.31257617729</v>
      </c>
      <c r="AA107" s="52">
        <f t="shared" ref="AA107:AA109" si="15">Z107-X107</f>
        <v>0</v>
      </c>
    </row>
    <row r="108" spans="1:27" hidden="1" x14ac:dyDescent="0.3">
      <c r="A108" s="26">
        <v>2187</v>
      </c>
      <c r="B108" s="27" t="s">
        <v>311</v>
      </c>
      <c r="C108" s="27" t="s">
        <v>49</v>
      </c>
      <c r="D108" s="27">
        <v>0</v>
      </c>
      <c r="E108" s="27">
        <v>0</v>
      </c>
      <c r="F108" s="83">
        <v>0</v>
      </c>
      <c r="G108" s="83">
        <v>0</v>
      </c>
      <c r="H108" s="29">
        <v>0</v>
      </c>
      <c r="I108" s="83">
        <v>33.157894736842103</v>
      </c>
      <c r="J108" s="83">
        <v>6</v>
      </c>
      <c r="K108" s="83">
        <v>497.36842105263156</v>
      </c>
      <c r="L108" s="83">
        <v>90</v>
      </c>
      <c r="M108" s="31">
        <v>39894.063157894736</v>
      </c>
      <c r="N108" s="83">
        <v>8.2105263157894743</v>
      </c>
      <c r="O108" s="83">
        <v>123.15789473684211</v>
      </c>
      <c r="P108" s="49">
        <v>1477.8947368421054</v>
      </c>
      <c r="Q108" s="83">
        <v>1.8947368421052631</v>
      </c>
      <c r="R108" s="50">
        <v>130.4376731301939</v>
      </c>
      <c r="S108" s="51">
        <v>41502.395567867039</v>
      </c>
      <c r="T108" s="83">
        <v>0</v>
      </c>
      <c r="U108" s="52">
        <v>0</v>
      </c>
      <c r="V108" s="27">
        <v>0</v>
      </c>
      <c r="X108" s="78">
        <f t="shared" si="7"/>
        <v>33201.916454293634</v>
      </c>
      <c r="Z108" s="27">
        <v>33201.916454293634</v>
      </c>
      <c r="AA108" s="52">
        <f t="shared" si="15"/>
        <v>0</v>
      </c>
    </row>
    <row r="109" spans="1:27" hidden="1" x14ac:dyDescent="0.3">
      <c r="A109" s="26">
        <v>2188</v>
      </c>
      <c r="B109" s="27" t="s">
        <v>312</v>
      </c>
      <c r="C109" s="27" t="s">
        <v>49</v>
      </c>
      <c r="D109" s="27">
        <v>0</v>
      </c>
      <c r="E109" s="27">
        <v>0</v>
      </c>
      <c r="F109" s="83">
        <v>0</v>
      </c>
      <c r="G109" s="83">
        <v>0</v>
      </c>
      <c r="H109" s="29">
        <v>0</v>
      </c>
      <c r="I109" s="83">
        <v>14.210526315789473</v>
      </c>
      <c r="J109" s="83">
        <v>0</v>
      </c>
      <c r="K109" s="83">
        <v>213.15789473684211</v>
      </c>
      <c r="L109" s="83">
        <v>0</v>
      </c>
      <c r="M109" s="31">
        <v>14477.684210526317</v>
      </c>
      <c r="N109" s="83">
        <v>3.1578947368421053</v>
      </c>
      <c r="O109" s="83">
        <v>47.368421052631582</v>
      </c>
      <c r="P109" s="49">
        <v>568.42105263157896</v>
      </c>
      <c r="Q109" s="83">
        <v>3.1578947368421053</v>
      </c>
      <c r="R109" s="50">
        <v>217.39612188365649</v>
      </c>
      <c r="S109" s="51">
        <v>15263.501385041551</v>
      </c>
      <c r="T109" s="83">
        <v>0</v>
      </c>
      <c r="U109" s="52">
        <v>0</v>
      </c>
      <c r="V109" s="27">
        <v>0</v>
      </c>
      <c r="X109" s="78">
        <f t="shared" si="7"/>
        <v>12210.801108033242</v>
      </c>
      <c r="Z109" s="27">
        <v>12210.801108033242</v>
      </c>
      <c r="AA109" s="52">
        <f t="shared" si="15"/>
        <v>0</v>
      </c>
    </row>
    <row r="110" spans="1:27" hidden="1" x14ac:dyDescent="0.3">
      <c r="A110" s="26">
        <v>2189</v>
      </c>
      <c r="B110" s="27" t="s">
        <v>183</v>
      </c>
      <c r="C110" s="27" t="s">
        <v>246</v>
      </c>
      <c r="D110" s="27">
        <v>0</v>
      </c>
      <c r="E110" s="27">
        <v>0</v>
      </c>
      <c r="F110" s="83">
        <v>0</v>
      </c>
      <c r="G110" s="83">
        <v>0</v>
      </c>
      <c r="H110" s="29">
        <v>0</v>
      </c>
      <c r="I110" s="83">
        <v>17.368421052631579</v>
      </c>
      <c r="J110" s="83">
        <v>0</v>
      </c>
      <c r="K110" s="83">
        <v>260.5263157894737</v>
      </c>
      <c r="L110" s="83">
        <v>0</v>
      </c>
      <c r="M110" s="31">
        <v>17694.947368421053</v>
      </c>
      <c r="N110" s="83">
        <v>11.052631578947368</v>
      </c>
      <c r="O110" s="83">
        <v>165.78947368421052</v>
      </c>
      <c r="P110" s="49">
        <v>1989.4736842105262</v>
      </c>
      <c r="Q110" s="83">
        <v>0</v>
      </c>
      <c r="R110" s="50">
        <v>0</v>
      </c>
      <c r="S110" s="51">
        <v>19684.42105263158</v>
      </c>
      <c r="T110" s="83">
        <v>0</v>
      </c>
      <c r="U110" s="52">
        <v>0</v>
      </c>
      <c r="V110" s="27">
        <v>0</v>
      </c>
      <c r="X110" s="78">
        <f t="shared" si="7"/>
        <v>15747.536842105264</v>
      </c>
      <c r="Z110" s="27">
        <v>15747.536842105264</v>
      </c>
      <c r="AA110" s="52">
        <f>Z110-X110</f>
        <v>0</v>
      </c>
    </row>
    <row r="111" spans="1:27" hidden="1" x14ac:dyDescent="0.3">
      <c r="A111" s="26">
        <v>2191</v>
      </c>
      <c r="B111" s="27" t="s">
        <v>313</v>
      </c>
      <c r="C111" s="27" t="s">
        <v>49</v>
      </c>
      <c r="D111" s="27">
        <v>0</v>
      </c>
      <c r="E111" s="27">
        <v>0</v>
      </c>
      <c r="F111" s="83">
        <v>0</v>
      </c>
      <c r="G111" s="83">
        <v>0</v>
      </c>
      <c r="H111" s="29">
        <v>0</v>
      </c>
      <c r="I111" s="83">
        <v>22.105263157894736</v>
      </c>
      <c r="J111" s="83">
        <v>2.5263157894736841</v>
      </c>
      <c r="K111" s="83">
        <v>331.57894736842104</v>
      </c>
      <c r="L111" s="83">
        <v>37.89473684210526</v>
      </c>
      <c r="M111" s="31">
        <v>25094.652631578945</v>
      </c>
      <c r="N111" s="83">
        <v>7.5789473684210522</v>
      </c>
      <c r="O111" s="83">
        <v>113.68421052631578</v>
      </c>
      <c r="P111" s="49">
        <v>1364.2105263157894</v>
      </c>
      <c r="Q111" s="83">
        <v>0</v>
      </c>
      <c r="R111" s="50">
        <v>0</v>
      </c>
      <c r="S111" s="51">
        <v>26458.863157894735</v>
      </c>
      <c r="T111" s="83">
        <v>0.63157894736842102</v>
      </c>
      <c r="U111" s="52">
        <v>187.0803324099723</v>
      </c>
      <c r="V111" s="27">
        <v>0</v>
      </c>
      <c r="X111" s="78">
        <f t="shared" si="7"/>
        <v>21316.754792243766</v>
      </c>
      <c r="Z111" s="27">
        <v>21316.754792243766</v>
      </c>
      <c r="AA111" s="52">
        <f t="shared" ref="AA111:AA124" si="16">Z111-X111</f>
        <v>0</v>
      </c>
    </row>
    <row r="112" spans="1:27" hidden="1" x14ac:dyDescent="0.3">
      <c r="A112" s="26">
        <v>2194</v>
      </c>
      <c r="B112" s="27" t="s">
        <v>314</v>
      </c>
      <c r="C112" s="27" t="s">
        <v>49</v>
      </c>
      <c r="D112" s="27">
        <v>0</v>
      </c>
      <c r="E112" s="27">
        <v>0</v>
      </c>
      <c r="F112" s="83">
        <v>0</v>
      </c>
      <c r="G112" s="83">
        <v>0</v>
      </c>
      <c r="H112" s="29">
        <v>0</v>
      </c>
      <c r="I112" s="83">
        <v>47.368421052631582</v>
      </c>
      <c r="J112" s="83">
        <v>1.263157894736842</v>
      </c>
      <c r="K112" s="83">
        <v>710.52631578947376</v>
      </c>
      <c r="L112" s="83">
        <v>18.94736842105263</v>
      </c>
      <c r="M112" s="31">
        <v>49545.852631578957</v>
      </c>
      <c r="N112" s="83">
        <v>4.4210526315789469</v>
      </c>
      <c r="O112" s="83">
        <v>66.315789473684205</v>
      </c>
      <c r="P112" s="49">
        <v>795.78947368421041</v>
      </c>
      <c r="Q112" s="83">
        <v>3.4736842105263159</v>
      </c>
      <c r="R112" s="50">
        <v>239.13573407202216</v>
      </c>
      <c r="S112" s="51">
        <v>50580.777839335191</v>
      </c>
      <c r="T112" s="83">
        <v>0</v>
      </c>
      <c r="U112" s="52">
        <v>0</v>
      </c>
      <c r="V112" s="27">
        <v>0</v>
      </c>
      <c r="X112" s="78">
        <f t="shared" si="7"/>
        <v>40464.622271468157</v>
      </c>
      <c r="Z112" s="27">
        <v>40464.622271468157</v>
      </c>
      <c r="AA112" s="52">
        <f t="shared" si="16"/>
        <v>0</v>
      </c>
    </row>
    <row r="113" spans="1:27" hidden="1" x14ac:dyDescent="0.3">
      <c r="A113" s="26">
        <v>2195</v>
      </c>
      <c r="B113" s="27" t="s">
        <v>315</v>
      </c>
      <c r="C113" s="27" t="s">
        <v>49</v>
      </c>
      <c r="D113" s="27">
        <v>0</v>
      </c>
      <c r="E113" s="27">
        <v>0</v>
      </c>
      <c r="F113" s="83">
        <v>12.315789473684212</v>
      </c>
      <c r="G113" s="83">
        <v>166.73684210526318</v>
      </c>
      <c r="H113" s="29">
        <v>17027.166315789476</v>
      </c>
      <c r="I113" s="83">
        <v>43.89473684210526</v>
      </c>
      <c r="J113" s="83">
        <v>0</v>
      </c>
      <c r="K113" s="83">
        <v>652.73684210526312</v>
      </c>
      <c r="L113" s="83">
        <v>0</v>
      </c>
      <c r="M113" s="31">
        <v>44333.886315789474</v>
      </c>
      <c r="N113" s="83">
        <v>27.157894736842103</v>
      </c>
      <c r="O113" s="83">
        <v>407.36842105263156</v>
      </c>
      <c r="P113" s="49">
        <v>4888.4210526315783</v>
      </c>
      <c r="Q113" s="83">
        <v>13.578947368421051</v>
      </c>
      <c r="R113" s="50">
        <v>934.80332409972289</v>
      </c>
      <c r="S113" s="51">
        <v>67184.277008310237</v>
      </c>
      <c r="T113" s="83">
        <v>0</v>
      </c>
      <c r="U113" s="52">
        <v>0</v>
      </c>
      <c r="V113" s="27">
        <v>0</v>
      </c>
      <c r="X113" s="78">
        <f t="shared" si="7"/>
        <v>53747.421606648189</v>
      </c>
      <c r="Z113" s="27">
        <v>53747.421606648189</v>
      </c>
      <c r="AA113" s="52">
        <f t="shared" si="16"/>
        <v>0</v>
      </c>
    </row>
    <row r="114" spans="1:27" hidden="1" x14ac:dyDescent="0.3">
      <c r="A114" s="26">
        <v>2196</v>
      </c>
      <c r="B114" s="27" t="s">
        <v>316</v>
      </c>
      <c r="C114" s="27" t="s">
        <v>49</v>
      </c>
      <c r="D114" s="27">
        <v>0</v>
      </c>
      <c r="E114" s="27">
        <v>0</v>
      </c>
      <c r="F114" s="83">
        <v>0</v>
      </c>
      <c r="G114" s="83">
        <v>0</v>
      </c>
      <c r="H114" s="29">
        <v>0</v>
      </c>
      <c r="I114" s="83">
        <v>18.631578947368418</v>
      </c>
      <c r="J114" s="83">
        <v>0</v>
      </c>
      <c r="K114" s="83">
        <v>279.4736842105263</v>
      </c>
      <c r="L114" s="83">
        <v>0</v>
      </c>
      <c r="M114" s="31">
        <v>18981.85263157895</v>
      </c>
      <c r="N114" s="83">
        <v>1.263157894736842</v>
      </c>
      <c r="O114" s="83">
        <v>18.94736842105263</v>
      </c>
      <c r="P114" s="49">
        <v>227.36842105263156</v>
      </c>
      <c r="Q114" s="83">
        <v>1.263157894736842</v>
      </c>
      <c r="R114" s="50">
        <v>86.958448753462591</v>
      </c>
      <c r="S114" s="51">
        <v>19296.179501385042</v>
      </c>
      <c r="T114" s="83">
        <v>0</v>
      </c>
      <c r="U114" s="52">
        <v>0</v>
      </c>
      <c r="V114" s="27">
        <v>0</v>
      </c>
      <c r="X114" s="78">
        <f t="shared" si="7"/>
        <v>15436.943601108034</v>
      </c>
      <c r="Z114" s="27">
        <v>15436.943601108034</v>
      </c>
      <c r="AA114" s="52">
        <f t="shared" si="16"/>
        <v>0</v>
      </c>
    </row>
    <row r="115" spans="1:27" hidden="1" x14ac:dyDescent="0.3">
      <c r="A115" s="26">
        <v>2204</v>
      </c>
      <c r="B115" s="27" t="s">
        <v>317</v>
      </c>
      <c r="C115" s="27" t="s">
        <v>49</v>
      </c>
      <c r="D115" s="27">
        <v>0</v>
      </c>
      <c r="E115" s="27">
        <v>0</v>
      </c>
      <c r="F115" s="83">
        <v>0</v>
      </c>
      <c r="G115" s="83">
        <v>0</v>
      </c>
      <c r="H115" s="29">
        <v>0</v>
      </c>
      <c r="I115" s="83">
        <v>18.315789473684212</v>
      </c>
      <c r="J115" s="83">
        <v>2.8421052631578947</v>
      </c>
      <c r="K115" s="83">
        <v>274.73684210526318</v>
      </c>
      <c r="L115" s="83">
        <v>42.631578947368418</v>
      </c>
      <c r="M115" s="31">
        <v>21555.663157894738</v>
      </c>
      <c r="N115" s="83">
        <v>6.9473684210526319</v>
      </c>
      <c r="O115" s="83">
        <v>104.21052631578948</v>
      </c>
      <c r="P115" s="49">
        <v>1250.5263157894738</v>
      </c>
      <c r="Q115" s="83">
        <v>6.6315789473684212</v>
      </c>
      <c r="R115" s="50">
        <v>456.53185595567868</v>
      </c>
      <c r="S115" s="51">
        <v>23262.721329639891</v>
      </c>
      <c r="T115" s="83">
        <v>0</v>
      </c>
      <c r="U115" s="52">
        <v>0</v>
      </c>
      <c r="V115" s="27">
        <v>0</v>
      </c>
      <c r="X115" s="78">
        <f t="shared" si="7"/>
        <v>18610.177063711915</v>
      </c>
      <c r="Z115" s="27">
        <v>18610.177063711915</v>
      </c>
      <c r="AA115" s="52">
        <f t="shared" si="16"/>
        <v>0</v>
      </c>
    </row>
    <row r="116" spans="1:27" hidden="1" x14ac:dyDescent="0.3">
      <c r="A116" s="26">
        <v>2211</v>
      </c>
      <c r="B116" s="27" t="s">
        <v>318</v>
      </c>
      <c r="C116" s="27" t="s">
        <v>49</v>
      </c>
      <c r="D116" s="27">
        <v>0</v>
      </c>
      <c r="E116" s="27">
        <v>0</v>
      </c>
      <c r="F116" s="83">
        <v>0</v>
      </c>
      <c r="G116" s="83">
        <v>0</v>
      </c>
      <c r="H116" s="29">
        <v>0</v>
      </c>
      <c r="I116" s="83">
        <v>33.789473684210527</v>
      </c>
      <c r="J116" s="83">
        <v>5.6842105263157894</v>
      </c>
      <c r="K116" s="83">
        <v>506.84210526315792</v>
      </c>
      <c r="L116" s="83">
        <v>85.26315789473685</v>
      </c>
      <c r="M116" s="31">
        <v>40215.789473684214</v>
      </c>
      <c r="N116" s="83">
        <v>16.105263157894736</v>
      </c>
      <c r="O116" s="83">
        <v>241.57894736842104</v>
      </c>
      <c r="P116" s="49">
        <v>2898.9473684210525</v>
      </c>
      <c r="Q116" s="83">
        <v>10.421052631578949</v>
      </c>
      <c r="R116" s="50">
        <v>717.40720221606648</v>
      </c>
      <c r="S116" s="51">
        <v>43832.144044321336</v>
      </c>
      <c r="T116" s="83">
        <v>0</v>
      </c>
      <c r="U116" s="52">
        <v>0</v>
      </c>
      <c r="V116" s="27">
        <v>0</v>
      </c>
      <c r="X116" s="78">
        <f t="shared" si="7"/>
        <v>35065.715235457072</v>
      </c>
      <c r="Z116" s="27">
        <v>35065.715235457072</v>
      </c>
      <c r="AA116" s="52">
        <f t="shared" si="16"/>
        <v>0</v>
      </c>
    </row>
    <row r="117" spans="1:27" hidden="1" x14ac:dyDescent="0.3">
      <c r="A117" s="26">
        <v>2214</v>
      </c>
      <c r="B117" s="27" t="s">
        <v>269</v>
      </c>
      <c r="C117" s="27" t="s">
        <v>49</v>
      </c>
      <c r="D117" s="27">
        <v>0</v>
      </c>
      <c r="E117" s="27">
        <v>0</v>
      </c>
      <c r="F117" s="83">
        <v>0</v>
      </c>
      <c r="G117" s="83">
        <v>0</v>
      </c>
      <c r="H117" s="29">
        <v>0</v>
      </c>
      <c r="I117" s="83">
        <v>33.78947368421052</v>
      </c>
      <c r="J117" s="83">
        <v>0</v>
      </c>
      <c r="K117" s="83">
        <v>506.84210526315786</v>
      </c>
      <c r="L117" s="83">
        <v>0</v>
      </c>
      <c r="M117" s="31">
        <v>34424.715789473681</v>
      </c>
      <c r="N117" s="83">
        <v>11.052631578947368</v>
      </c>
      <c r="O117" s="83">
        <v>165.78947368421052</v>
      </c>
      <c r="P117" s="49">
        <v>1989.4736842105262</v>
      </c>
      <c r="Q117" s="83">
        <v>0</v>
      </c>
      <c r="R117" s="50">
        <v>0</v>
      </c>
      <c r="S117" s="51">
        <v>36414.189473684208</v>
      </c>
      <c r="T117" s="83">
        <v>0</v>
      </c>
      <c r="U117" s="52">
        <v>0</v>
      </c>
      <c r="V117" s="27">
        <v>0</v>
      </c>
      <c r="X117" s="78">
        <f t="shared" si="7"/>
        <v>29131.351578947368</v>
      </c>
      <c r="Z117" s="27">
        <v>29131.351578947368</v>
      </c>
      <c r="AA117" s="52">
        <f t="shared" si="16"/>
        <v>0</v>
      </c>
    </row>
    <row r="118" spans="1:27" hidden="1" x14ac:dyDescent="0.3">
      <c r="A118" s="26">
        <v>2227</v>
      </c>
      <c r="B118" s="27" t="s">
        <v>319</v>
      </c>
      <c r="C118" s="27" t="s">
        <v>27</v>
      </c>
      <c r="D118" s="27">
        <v>0</v>
      </c>
      <c r="E118" s="27">
        <v>0</v>
      </c>
      <c r="F118" s="83">
        <v>0</v>
      </c>
      <c r="G118" s="83">
        <v>0</v>
      </c>
      <c r="H118" s="29">
        <v>0</v>
      </c>
      <c r="I118" s="83">
        <v>39.789473684210527</v>
      </c>
      <c r="J118" s="83">
        <v>7.5789473684210522</v>
      </c>
      <c r="K118" s="83">
        <v>596.84210526315792</v>
      </c>
      <c r="L118" s="83">
        <v>113.68421052631578</v>
      </c>
      <c r="M118" s="31">
        <v>48258.947368421053</v>
      </c>
      <c r="N118" s="83">
        <v>17.684210526315788</v>
      </c>
      <c r="O118" s="83">
        <v>265.26315789473682</v>
      </c>
      <c r="P118" s="49">
        <v>3183.1578947368416</v>
      </c>
      <c r="Q118" s="83">
        <v>16.421052631578949</v>
      </c>
      <c r="R118" s="50">
        <v>1130.4598337950138</v>
      </c>
      <c r="S118" s="51">
        <v>52572.565096952909</v>
      </c>
      <c r="T118" s="83">
        <v>0</v>
      </c>
      <c r="U118" s="52">
        <v>0</v>
      </c>
      <c r="V118" s="27">
        <v>0</v>
      </c>
      <c r="X118" s="78">
        <f t="shared" si="7"/>
        <v>42058.05207756233</v>
      </c>
      <c r="Z118" s="27">
        <v>42058.05207756233</v>
      </c>
      <c r="AA118" s="52">
        <f t="shared" si="16"/>
        <v>0</v>
      </c>
    </row>
    <row r="119" spans="1:27" hidden="1" x14ac:dyDescent="0.3">
      <c r="A119" s="26">
        <v>2231</v>
      </c>
      <c r="B119" s="27" t="s">
        <v>320</v>
      </c>
      <c r="C119" s="27" t="s">
        <v>27</v>
      </c>
      <c r="D119" s="27">
        <v>0</v>
      </c>
      <c r="E119" s="27">
        <v>0</v>
      </c>
      <c r="F119" s="83">
        <v>0</v>
      </c>
      <c r="G119" s="83">
        <v>0</v>
      </c>
      <c r="H119" s="29">
        <v>0</v>
      </c>
      <c r="I119" s="83">
        <v>33.473684210526315</v>
      </c>
      <c r="J119" s="83">
        <v>5.3684210526315788</v>
      </c>
      <c r="K119" s="83">
        <v>500.21052631578948</v>
      </c>
      <c r="L119" s="83">
        <v>80.526315789473671</v>
      </c>
      <c r="M119" s="31">
        <v>39443.646315789476</v>
      </c>
      <c r="N119" s="83">
        <v>4.4210526315789469</v>
      </c>
      <c r="O119" s="83">
        <v>66.315789473684205</v>
      </c>
      <c r="P119" s="49">
        <v>795.78947368421041</v>
      </c>
      <c r="Q119" s="83">
        <v>0</v>
      </c>
      <c r="R119" s="50">
        <v>0</v>
      </c>
      <c r="S119" s="51">
        <v>40239.43578947369</v>
      </c>
      <c r="T119" s="83">
        <v>0</v>
      </c>
      <c r="U119" s="52">
        <v>0</v>
      </c>
      <c r="V119" s="27">
        <v>0</v>
      </c>
      <c r="X119" s="78">
        <f t="shared" si="7"/>
        <v>32191.548631578953</v>
      </c>
      <c r="Z119" s="27">
        <v>32191.548631578953</v>
      </c>
      <c r="AA119" s="52">
        <f t="shared" si="16"/>
        <v>0</v>
      </c>
    </row>
    <row r="120" spans="1:27" hidden="1" x14ac:dyDescent="0.3">
      <c r="A120" s="26">
        <v>2238</v>
      </c>
      <c r="B120" s="27" t="s">
        <v>321</v>
      </c>
      <c r="C120" s="27" t="s">
        <v>27</v>
      </c>
      <c r="D120" s="27">
        <v>0</v>
      </c>
      <c r="E120" s="27">
        <v>0</v>
      </c>
      <c r="F120" s="83">
        <v>0</v>
      </c>
      <c r="G120" s="83">
        <v>0</v>
      </c>
      <c r="H120" s="29">
        <v>0</v>
      </c>
      <c r="I120" s="83">
        <v>28.105263157894736</v>
      </c>
      <c r="J120" s="83">
        <v>10.421052631578949</v>
      </c>
      <c r="K120" s="83">
        <v>421.57894736842104</v>
      </c>
      <c r="L120" s="83">
        <v>156.31578947368422</v>
      </c>
      <c r="M120" s="31">
        <v>39250.610526315795</v>
      </c>
      <c r="N120" s="83">
        <v>8.2105263157894743</v>
      </c>
      <c r="O120" s="83">
        <v>123.15789473684211</v>
      </c>
      <c r="P120" s="49">
        <v>1477.8947368421054</v>
      </c>
      <c r="Q120" s="83">
        <v>0</v>
      </c>
      <c r="R120" s="50">
        <v>0</v>
      </c>
      <c r="S120" s="51">
        <v>40728.505263157902</v>
      </c>
      <c r="T120" s="83">
        <v>0</v>
      </c>
      <c r="U120" s="52">
        <v>0</v>
      </c>
      <c r="V120" s="27">
        <v>0</v>
      </c>
      <c r="X120" s="78">
        <f t="shared" si="7"/>
        <v>32582.804210526323</v>
      </c>
      <c r="Z120" s="27">
        <v>32582.804210526323</v>
      </c>
      <c r="AA120" s="52">
        <f t="shared" si="16"/>
        <v>0</v>
      </c>
    </row>
    <row r="121" spans="1:27" hidden="1" x14ac:dyDescent="0.3">
      <c r="A121" s="26">
        <v>2239</v>
      </c>
      <c r="B121" s="27" t="s">
        <v>322</v>
      </c>
      <c r="C121" s="27" t="s">
        <v>27</v>
      </c>
      <c r="D121" s="27">
        <v>0</v>
      </c>
      <c r="E121" s="27">
        <v>0</v>
      </c>
      <c r="F121" s="83">
        <v>0</v>
      </c>
      <c r="G121" s="83">
        <v>0</v>
      </c>
      <c r="H121" s="29">
        <v>0</v>
      </c>
      <c r="I121" s="83">
        <v>33.473684210526315</v>
      </c>
      <c r="J121" s="83">
        <v>10.736842105263158</v>
      </c>
      <c r="K121" s="83">
        <v>502.10526315789468</v>
      </c>
      <c r="L121" s="83">
        <v>161.05263157894737</v>
      </c>
      <c r="M121" s="31">
        <v>45041.684210526313</v>
      </c>
      <c r="N121" s="83">
        <v>7.5789473684210522</v>
      </c>
      <c r="O121" s="83">
        <v>113.68421052631578</v>
      </c>
      <c r="P121" s="49">
        <v>1364.2105263157894</v>
      </c>
      <c r="Q121" s="83">
        <v>7.5789473684210522</v>
      </c>
      <c r="R121" s="50">
        <v>521.7506925207756</v>
      </c>
      <c r="S121" s="51">
        <v>46927.645429362878</v>
      </c>
      <c r="T121" s="83">
        <v>0.94736842105263153</v>
      </c>
      <c r="U121" s="52">
        <v>280.62049861495842</v>
      </c>
      <c r="V121" s="27">
        <v>0</v>
      </c>
      <c r="X121" s="78">
        <f t="shared" si="7"/>
        <v>37766.612742382269</v>
      </c>
      <c r="Z121" s="27">
        <v>37766.612742382269</v>
      </c>
      <c r="AA121" s="52">
        <f t="shared" si="16"/>
        <v>0</v>
      </c>
    </row>
    <row r="122" spans="1:27" hidden="1" x14ac:dyDescent="0.3">
      <c r="A122" s="26">
        <v>2245</v>
      </c>
      <c r="B122" s="27" t="s">
        <v>323</v>
      </c>
      <c r="C122" s="27" t="s">
        <v>27</v>
      </c>
      <c r="D122" s="27">
        <v>0</v>
      </c>
      <c r="E122" s="27">
        <v>0</v>
      </c>
      <c r="F122" s="83">
        <v>0</v>
      </c>
      <c r="G122" s="83">
        <v>0</v>
      </c>
      <c r="H122" s="29">
        <v>0</v>
      </c>
      <c r="I122" s="83">
        <v>20.526315789473685</v>
      </c>
      <c r="J122" s="83">
        <v>0</v>
      </c>
      <c r="K122" s="83">
        <v>307.89473684210526</v>
      </c>
      <c r="L122" s="83">
        <v>0</v>
      </c>
      <c r="M122" s="31">
        <v>20912.21052631579</v>
      </c>
      <c r="N122" s="83">
        <v>11.684210526315789</v>
      </c>
      <c r="O122" s="83">
        <v>175.26315789473685</v>
      </c>
      <c r="P122" s="49">
        <v>2103.1578947368421</v>
      </c>
      <c r="Q122" s="83">
        <v>11.368421052631579</v>
      </c>
      <c r="R122" s="50">
        <v>782.6260387811634</v>
      </c>
      <c r="S122" s="51">
        <v>23797.994459833797</v>
      </c>
      <c r="T122" s="83">
        <v>0</v>
      </c>
      <c r="U122" s="52">
        <v>0</v>
      </c>
      <c r="V122" s="27">
        <v>0</v>
      </c>
      <c r="X122" s="78">
        <f t="shared" si="7"/>
        <v>19038.395567867039</v>
      </c>
      <c r="Z122" s="27">
        <v>19038.395567867039</v>
      </c>
      <c r="AA122" s="52">
        <f t="shared" si="16"/>
        <v>0</v>
      </c>
    </row>
    <row r="123" spans="1:27" hidden="1" x14ac:dyDescent="0.3">
      <c r="A123" s="26">
        <v>2251</v>
      </c>
      <c r="B123" s="27" t="s">
        <v>324</v>
      </c>
      <c r="C123" s="27" t="s">
        <v>27</v>
      </c>
      <c r="D123" s="27">
        <v>0</v>
      </c>
      <c r="E123" s="27">
        <v>0</v>
      </c>
      <c r="F123" s="83">
        <v>0</v>
      </c>
      <c r="G123" s="83">
        <v>0</v>
      </c>
      <c r="H123" s="29">
        <v>0</v>
      </c>
      <c r="I123" s="83">
        <v>22.736842105263158</v>
      </c>
      <c r="J123" s="83">
        <v>20.210526315789473</v>
      </c>
      <c r="K123" s="83">
        <v>341.0526315789474</v>
      </c>
      <c r="L123" s="83">
        <v>303.15789473684208</v>
      </c>
      <c r="M123" s="31">
        <v>43754.778947368424</v>
      </c>
      <c r="N123" s="83">
        <v>1.5789473684210527</v>
      </c>
      <c r="O123" s="83">
        <v>23.684210526315791</v>
      </c>
      <c r="P123" s="49">
        <v>284.21052631578948</v>
      </c>
      <c r="Q123" s="83">
        <v>1.5789473684210527</v>
      </c>
      <c r="R123" s="50">
        <v>108.69806094182825</v>
      </c>
      <c r="S123" s="51">
        <v>44147.687534626042</v>
      </c>
      <c r="T123" s="83">
        <v>0.31578947368421051</v>
      </c>
      <c r="U123" s="52">
        <v>93.54016620498615</v>
      </c>
      <c r="V123" s="27">
        <v>0</v>
      </c>
      <c r="X123" s="78">
        <f t="shared" si="7"/>
        <v>35392.982160664826</v>
      </c>
      <c r="Z123" s="27">
        <v>35392.982160664826</v>
      </c>
      <c r="AA123" s="52">
        <f t="shared" si="16"/>
        <v>0</v>
      </c>
    </row>
    <row r="124" spans="1:27" hidden="1" x14ac:dyDescent="0.3">
      <c r="A124" s="26">
        <v>2293</v>
      </c>
      <c r="B124" s="27" t="s">
        <v>173</v>
      </c>
      <c r="C124" s="27" t="s">
        <v>27</v>
      </c>
      <c r="D124" s="27">
        <v>0</v>
      </c>
      <c r="E124" s="27">
        <v>0</v>
      </c>
      <c r="F124" s="83">
        <v>0</v>
      </c>
      <c r="G124" s="83">
        <v>0</v>
      </c>
      <c r="H124" s="29">
        <v>0</v>
      </c>
      <c r="I124" s="83">
        <v>54.315789473684205</v>
      </c>
      <c r="J124" s="83">
        <v>0</v>
      </c>
      <c r="K124" s="83">
        <v>814.73684210526312</v>
      </c>
      <c r="L124" s="83">
        <v>0</v>
      </c>
      <c r="M124" s="31">
        <v>55336.926315789467</v>
      </c>
      <c r="N124" s="83">
        <v>11.684210526315789</v>
      </c>
      <c r="O124" s="83">
        <v>175.26315789473685</v>
      </c>
      <c r="P124" s="49">
        <v>2103.1578947368421</v>
      </c>
      <c r="Q124" s="83">
        <v>0</v>
      </c>
      <c r="R124" s="50">
        <v>0</v>
      </c>
      <c r="S124" s="51">
        <v>57440.084210526307</v>
      </c>
      <c r="T124" s="83">
        <v>0</v>
      </c>
      <c r="U124" s="52">
        <v>0</v>
      </c>
      <c r="V124" s="27">
        <v>0</v>
      </c>
      <c r="X124" s="78">
        <f t="shared" si="7"/>
        <v>45952.067368421049</v>
      </c>
      <c r="Z124" s="27">
        <v>45952.067368421049</v>
      </c>
      <c r="AA124" s="52">
        <f t="shared" si="16"/>
        <v>0</v>
      </c>
    </row>
    <row r="125" spans="1:27" hidden="1" x14ac:dyDescent="0.3">
      <c r="A125" s="26">
        <v>2299</v>
      </c>
      <c r="B125" s="27" t="s">
        <v>325</v>
      </c>
      <c r="C125" s="27" t="s">
        <v>49</v>
      </c>
      <c r="D125" s="27">
        <v>0</v>
      </c>
      <c r="E125" s="27">
        <v>0</v>
      </c>
      <c r="F125" s="83">
        <v>0</v>
      </c>
      <c r="G125" s="83">
        <v>0</v>
      </c>
      <c r="H125" s="29">
        <v>0</v>
      </c>
      <c r="I125" s="83">
        <v>55.26315789473685</v>
      </c>
      <c r="J125" s="83">
        <v>10.105263157894736</v>
      </c>
      <c r="K125" s="83">
        <v>828.94736842105272</v>
      </c>
      <c r="L125" s="83">
        <v>151.57894736842104</v>
      </c>
      <c r="M125" s="31">
        <v>66597.347368421062</v>
      </c>
      <c r="N125" s="83">
        <v>12.947368421052632</v>
      </c>
      <c r="O125" s="83">
        <v>194.21052631578948</v>
      </c>
      <c r="P125" s="49">
        <v>2330.5263157894738</v>
      </c>
      <c r="Q125" s="83">
        <v>0.31578947368421051</v>
      </c>
      <c r="R125" s="50">
        <v>21.739612188365648</v>
      </c>
      <c r="S125" s="51">
        <v>68949.613296398908</v>
      </c>
      <c r="T125" s="83">
        <v>0</v>
      </c>
      <c r="U125" s="52">
        <v>0</v>
      </c>
      <c r="V125" s="27">
        <v>0</v>
      </c>
      <c r="X125" s="78">
        <f t="shared" si="7"/>
        <v>55159.690637119129</v>
      </c>
      <c r="Z125" s="27">
        <v>55159.690637119129</v>
      </c>
      <c r="AA125" s="52">
        <f>Z125-X125</f>
        <v>0</v>
      </c>
    </row>
    <row r="126" spans="1:27" hidden="1" x14ac:dyDescent="0.3">
      <c r="A126" s="26">
        <v>2300</v>
      </c>
      <c r="B126" s="27" t="s">
        <v>326</v>
      </c>
      <c r="C126" s="27" t="s">
        <v>27</v>
      </c>
      <c r="D126" s="27">
        <v>0</v>
      </c>
      <c r="E126" s="27">
        <v>0</v>
      </c>
      <c r="F126" s="83">
        <v>0</v>
      </c>
      <c r="G126" s="83">
        <v>0</v>
      </c>
      <c r="H126" s="29">
        <v>0</v>
      </c>
      <c r="I126" s="83">
        <v>65.05263157894737</v>
      </c>
      <c r="J126" s="83">
        <v>4.7368421052631575</v>
      </c>
      <c r="K126" s="83">
        <v>975.78947368421063</v>
      </c>
      <c r="L126" s="83">
        <v>71.05263157894737</v>
      </c>
      <c r="M126" s="31">
        <v>71101.515789473691</v>
      </c>
      <c r="N126" s="83">
        <v>15.789473684210527</v>
      </c>
      <c r="O126" s="83">
        <v>236.84210526315792</v>
      </c>
      <c r="P126" s="49">
        <v>2842.105263157895</v>
      </c>
      <c r="Q126" s="83">
        <v>8.8421052631578938</v>
      </c>
      <c r="R126" s="50">
        <v>608.70914127423816</v>
      </c>
      <c r="S126" s="51">
        <v>74552.330193905829</v>
      </c>
      <c r="T126" s="83">
        <v>0</v>
      </c>
      <c r="U126" s="52">
        <v>0</v>
      </c>
      <c r="V126" s="27">
        <v>0</v>
      </c>
      <c r="X126" s="78">
        <f t="shared" si="7"/>
        <v>59641.864155124669</v>
      </c>
      <c r="Z126" s="27">
        <v>59641.864155124669</v>
      </c>
      <c r="AA126" s="52">
        <f t="shared" ref="AA126:AA127" si="17">Z126-X126</f>
        <v>0</v>
      </c>
    </row>
    <row r="127" spans="1:27" hidden="1" x14ac:dyDescent="0.3">
      <c r="A127" s="26">
        <v>2308</v>
      </c>
      <c r="B127" s="27" t="s">
        <v>163</v>
      </c>
      <c r="C127" s="27" t="s">
        <v>27</v>
      </c>
      <c r="D127" s="27">
        <v>0</v>
      </c>
      <c r="E127" s="27">
        <v>0</v>
      </c>
      <c r="F127" s="83">
        <v>0</v>
      </c>
      <c r="G127" s="83">
        <v>0</v>
      </c>
      <c r="H127" s="29">
        <v>0</v>
      </c>
      <c r="I127" s="83">
        <v>33.473684210526315</v>
      </c>
      <c r="J127" s="83">
        <v>6</v>
      </c>
      <c r="K127" s="83">
        <v>502.10526315789474</v>
      </c>
      <c r="L127" s="83">
        <v>90</v>
      </c>
      <c r="M127" s="31">
        <v>40215.789473684214</v>
      </c>
      <c r="N127" s="83">
        <v>11.368421052631579</v>
      </c>
      <c r="O127" s="83">
        <v>170.52631578947367</v>
      </c>
      <c r="P127" s="49">
        <v>2046.3157894736842</v>
      </c>
      <c r="Q127" s="83">
        <v>1.263157894736842</v>
      </c>
      <c r="R127" s="50">
        <v>86.958448753462591</v>
      </c>
      <c r="S127" s="51">
        <v>42349.06371191136</v>
      </c>
      <c r="T127" s="83">
        <v>0</v>
      </c>
      <c r="U127" s="52">
        <v>0</v>
      </c>
      <c r="V127" s="27">
        <v>0</v>
      </c>
      <c r="X127" s="78">
        <f t="shared" si="7"/>
        <v>33879.250969529086</v>
      </c>
      <c r="Z127" s="27">
        <v>33879.250969529086</v>
      </c>
      <c r="AA127" s="52">
        <f t="shared" si="17"/>
        <v>0</v>
      </c>
    </row>
    <row r="128" spans="1:27" hidden="1" x14ac:dyDescent="0.3">
      <c r="A128" s="26">
        <v>2309</v>
      </c>
      <c r="B128" s="27" t="s">
        <v>327</v>
      </c>
      <c r="C128" s="27" t="s">
        <v>49</v>
      </c>
      <c r="D128" s="27">
        <v>0</v>
      </c>
      <c r="E128" s="27">
        <v>0</v>
      </c>
      <c r="F128" s="83">
        <v>0</v>
      </c>
      <c r="G128" s="83">
        <v>0</v>
      </c>
      <c r="H128" s="29">
        <v>0</v>
      </c>
      <c r="I128" s="83">
        <v>34.736842105263158</v>
      </c>
      <c r="J128" s="83">
        <v>7.5789473684210522</v>
      </c>
      <c r="K128" s="83">
        <v>521.05263157894728</v>
      </c>
      <c r="L128" s="83">
        <v>113.68421052631578</v>
      </c>
      <c r="M128" s="31">
        <v>43111.326315789469</v>
      </c>
      <c r="N128" s="83">
        <v>6.6315789473684212</v>
      </c>
      <c r="O128" s="83">
        <v>99.473684210526315</v>
      </c>
      <c r="P128" s="49">
        <v>1193.6842105263158</v>
      </c>
      <c r="Q128" s="83">
        <v>4.4210526315789469</v>
      </c>
      <c r="R128" s="50">
        <v>304.35457063711908</v>
      </c>
      <c r="S128" s="51">
        <v>44609.365096952904</v>
      </c>
      <c r="T128" s="83">
        <v>0</v>
      </c>
      <c r="U128" s="52">
        <v>0</v>
      </c>
      <c r="V128" s="27">
        <v>0</v>
      </c>
      <c r="X128" s="78">
        <f t="shared" si="7"/>
        <v>35687.492077562325</v>
      </c>
      <c r="Z128" s="27">
        <v>35687.492077562325</v>
      </c>
      <c r="AA128" s="52">
        <f>Z128-X128</f>
        <v>0</v>
      </c>
    </row>
    <row r="129" spans="1:27" hidden="1" x14ac:dyDescent="0.3">
      <c r="A129" s="26">
        <v>2317</v>
      </c>
      <c r="B129" s="27" t="s">
        <v>328</v>
      </c>
      <c r="C129" s="27" t="s">
        <v>27</v>
      </c>
      <c r="D129" s="27">
        <v>0</v>
      </c>
      <c r="E129" s="27">
        <v>0</v>
      </c>
      <c r="F129" s="83">
        <v>0</v>
      </c>
      <c r="G129" s="83">
        <v>0</v>
      </c>
      <c r="H129" s="29">
        <v>0</v>
      </c>
      <c r="I129" s="83">
        <v>47.684210526315788</v>
      </c>
      <c r="J129" s="83">
        <v>21.157894736842103</v>
      </c>
      <c r="K129" s="83">
        <v>715.26315789473688</v>
      </c>
      <c r="L129" s="83">
        <v>317.36842105263156</v>
      </c>
      <c r="M129" s="31">
        <v>70136.336842105273</v>
      </c>
      <c r="N129" s="83">
        <v>6.9473684210526319</v>
      </c>
      <c r="O129" s="83">
        <v>104.21052631578948</v>
      </c>
      <c r="P129" s="49">
        <v>1250.5263157894738</v>
      </c>
      <c r="Q129" s="83">
        <v>4.4210526315789469</v>
      </c>
      <c r="R129" s="50">
        <v>304.35457063711908</v>
      </c>
      <c r="S129" s="51">
        <v>71691.217728531876</v>
      </c>
      <c r="T129" s="83">
        <v>0</v>
      </c>
      <c r="U129" s="52">
        <v>0</v>
      </c>
      <c r="V129" s="27">
        <v>0</v>
      </c>
      <c r="X129" s="78">
        <f t="shared" si="7"/>
        <v>57352.974182825506</v>
      </c>
      <c r="Z129" s="27">
        <v>57352.974182825506</v>
      </c>
      <c r="AA129" s="52">
        <f t="shared" ref="AA129:AA133" si="18">Z129-X129</f>
        <v>0</v>
      </c>
    </row>
    <row r="130" spans="1:27" hidden="1" x14ac:dyDescent="0.3">
      <c r="A130" s="26">
        <v>2402</v>
      </c>
      <c r="B130" s="27" t="s">
        <v>42</v>
      </c>
      <c r="C130" s="27" t="s">
        <v>27</v>
      </c>
      <c r="D130" s="27">
        <v>0</v>
      </c>
      <c r="E130" s="27">
        <v>0</v>
      </c>
      <c r="F130" s="83">
        <v>0</v>
      </c>
      <c r="G130" s="83">
        <v>0</v>
      </c>
      <c r="H130" s="29">
        <v>0</v>
      </c>
      <c r="I130" s="83">
        <v>32.526315789473685</v>
      </c>
      <c r="J130" s="83">
        <v>17.05263157894737</v>
      </c>
      <c r="K130" s="83">
        <v>478.42105263157896</v>
      </c>
      <c r="L130" s="83">
        <v>255.78947368421052</v>
      </c>
      <c r="M130" s="31">
        <v>49867.578947368427</v>
      </c>
      <c r="N130" s="83">
        <v>3.1578947368421053</v>
      </c>
      <c r="O130" s="83">
        <v>47.368421052631582</v>
      </c>
      <c r="P130" s="49">
        <v>568.42105263157896</v>
      </c>
      <c r="Q130" s="83">
        <v>0</v>
      </c>
      <c r="R130" s="50">
        <v>0</v>
      </c>
      <c r="S130" s="51">
        <v>50436.000000000007</v>
      </c>
      <c r="T130" s="83">
        <v>0</v>
      </c>
      <c r="U130" s="52">
        <v>0</v>
      </c>
      <c r="V130" s="27">
        <v>0</v>
      </c>
      <c r="X130" s="78">
        <f t="shared" si="7"/>
        <v>40348.80000000001</v>
      </c>
      <c r="Z130" s="27">
        <v>40348.80000000001</v>
      </c>
      <c r="AA130" s="52">
        <f t="shared" si="18"/>
        <v>0</v>
      </c>
    </row>
    <row r="131" spans="1:27" hidden="1" x14ac:dyDescent="0.3">
      <c r="A131" s="26">
        <v>2429</v>
      </c>
      <c r="B131" s="27" t="s">
        <v>329</v>
      </c>
      <c r="C131" s="27" t="s">
        <v>49</v>
      </c>
      <c r="D131" s="27">
        <v>0</v>
      </c>
      <c r="E131" s="27">
        <v>0</v>
      </c>
      <c r="F131" s="83">
        <v>0</v>
      </c>
      <c r="G131" s="83">
        <v>0</v>
      </c>
      <c r="H131" s="29">
        <v>0</v>
      </c>
      <c r="I131" s="83">
        <v>31.578947368421055</v>
      </c>
      <c r="J131" s="83">
        <v>9.1578947368421062</v>
      </c>
      <c r="K131" s="83">
        <v>473.68421052631578</v>
      </c>
      <c r="L131" s="83">
        <v>137.36842105263159</v>
      </c>
      <c r="M131" s="31">
        <v>41502.694736842102</v>
      </c>
      <c r="N131" s="83">
        <v>4.4210526315789469</v>
      </c>
      <c r="O131" s="83">
        <v>66.315789473684205</v>
      </c>
      <c r="P131" s="49">
        <v>795.78947368421041</v>
      </c>
      <c r="Q131" s="83">
        <v>2.5263157894736841</v>
      </c>
      <c r="R131" s="50">
        <v>173.91689750692518</v>
      </c>
      <c r="S131" s="51">
        <v>42472.401108033242</v>
      </c>
      <c r="T131" s="83">
        <v>0</v>
      </c>
      <c r="U131" s="52">
        <v>0</v>
      </c>
      <c r="V131" s="27">
        <v>0</v>
      </c>
      <c r="X131" s="78">
        <f t="shared" si="7"/>
        <v>33977.920886426597</v>
      </c>
      <c r="Z131" s="27">
        <v>33977.920886426597</v>
      </c>
      <c r="AA131" s="52">
        <f t="shared" si="18"/>
        <v>0</v>
      </c>
    </row>
    <row r="132" spans="1:27" hidden="1" x14ac:dyDescent="0.3">
      <c r="A132" s="26">
        <v>2434</v>
      </c>
      <c r="B132" s="27" t="s">
        <v>330</v>
      </c>
      <c r="C132" s="27" t="s">
        <v>49</v>
      </c>
      <c r="D132" s="27">
        <v>0</v>
      </c>
      <c r="E132" s="27">
        <v>0</v>
      </c>
      <c r="F132" s="83">
        <v>0</v>
      </c>
      <c r="G132" s="83">
        <v>0</v>
      </c>
      <c r="H132" s="29">
        <v>0</v>
      </c>
      <c r="I132" s="83">
        <v>40.10526315789474</v>
      </c>
      <c r="J132" s="83">
        <v>19.578947368421055</v>
      </c>
      <c r="K132" s="83">
        <v>601.57894736842104</v>
      </c>
      <c r="L132" s="83">
        <v>246.31578947368419</v>
      </c>
      <c r="M132" s="31">
        <v>57589.010526315789</v>
      </c>
      <c r="N132" s="83">
        <v>12</v>
      </c>
      <c r="O132" s="83">
        <v>180</v>
      </c>
      <c r="P132" s="49">
        <v>2160</v>
      </c>
      <c r="Q132" s="83">
        <v>7.8947368421052637</v>
      </c>
      <c r="R132" s="50">
        <v>543.49030470914124</v>
      </c>
      <c r="S132" s="51">
        <v>60292.500831024932</v>
      </c>
      <c r="T132" s="83">
        <v>0</v>
      </c>
      <c r="U132" s="52">
        <v>0</v>
      </c>
      <c r="V132" s="27">
        <v>0</v>
      </c>
      <c r="X132" s="78">
        <f t="shared" si="7"/>
        <v>48234.000664819949</v>
      </c>
      <c r="Z132" s="27">
        <v>48234.000664819949</v>
      </c>
      <c r="AA132" s="52">
        <f t="shared" si="18"/>
        <v>0</v>
      </c>
    </row>
    <row r="133" spans="1:27" hidden="1" x14ac:dyDescent="0.3">
      <c r="A133" s="26">
        <v>2212</v>
      </c>
      <c r="B133" s="27" t="s">
        <v>331</v>
      </c>
      <c r="C133" s="27" t="s">
        <v>49</v>
      </c>
      <c r="D133" s="27">
        <v>0</v>
      </c>
      <c r="E133" s="27">
        <v>0</v>
      </c>
      <c r="F133" s="83">
        <v>0</v>
      </c>
      <c r="G133" s="83">
        <v>0</v>
      </c>
      <c r="H133" s="29">
        <v>0</v>
      </c>
      <c r="I133" s="83">
        <v>16.736842105263158</v>
      </c>
      <c r="J133" s="83">
        <v>0</v>
      </c>
      <c r="K133" s="83">
        <v>251.05263157894734</v>
      </c>
      <c r="L133" s="83">
        <v>0</v>
      </c>
      <c r="M133" s="31">
        <v>17051.494736842105</v>
      </c>
      <c r="N133" s="83">
        <v>0.63157894736842102</v>
      </c>
      <c r="O133" s="83">
        <v>9.473684210526315</v>
      </c>
      <c r="P133" s="49">
        <v>113.68421052631578</v>
      </c>
      <c r="Q133" s="83">
        <v>0</v>
      </c>
      <c r="R133" s="50">
        <v>0</v>
      </c>
      <c r="S133" s="51">
        <v>17165.178947368422</v>
      </c>
      <c r="T133" s="83">
        <v>0</v>
      </c>
      <c r="U133" s="52">
        <v>0</v>
      </c>
      <c r="V133" s="27">
        <v>0</v>
      </c>
      <c r="X133" s="78">
        <f t="shared" si="7"/>
        <v>13732.143157894738</v>
      </c>
      <c r="Z133" s="27">
        <v>13732.143157894738</v>
      </c>
      <c r="AA133" s="52">
        <f t="shared" si="18"/>
        <v>0</v>
      </c>
    </row>
    <row r="134" spans="1:27" hidden="1" x14ac:dyDescent="0.3">
      <c r="A134" s="26">
        <v>2441</v>
      </c>
      <c r="B134" s="27" t="s">
        <v>105</v>
      </c>
      <c r="C134" s="27" t="s">
        <v>27</v>
      </c>
      <c r="D134" s="27">
        <v>0</v>
      </c>
      <c r="E134" s="27">
        <v>0</v>
      </c>
      <c r="F134" s="83">
        <v>0</v>
      </c>
      <c r="G134" s="83">
        <v>0</v>
      </c>
      <c r="H134" s="29">
        <v>0</v>
      </c>
      <c r="I134" s="83">
        <v>19.263157894736842</v>
      </c>
      <c r="J134" s="83">
        <v>0</v>
      </c>
      <c r="K134" s="83">
        <v>288.94736842105266</v>
      </c>
      <c r="L134" s="83">
        <v>0</v>
      </c>
      <c r="M134" s="31">
        <v>19625.305263157898</v>
      </c>
      <c r="N134" s="83">
        <v>9.473684210526315</v>
      </c>
      <c r="O134" s="83">
        <v>142.10526315789474</v>
      </c>
      <c r="P134" s="49">
        <v>1705.2631578947369</v>
      </c>
      <c r="Q134" s="83">
        <v>0.94736842105263153</v>
      </c>
      <c r="R134" s="50">
        <v>65.21883656509695</v>
      </c>
      <c r="S134" s="51">
        <v>21395.787257617732</v>
      </c>
      <c r="T134" s="83">
        <v>0</v>
      </c>
      <c r="U134" s="52">
        <v>0</v>
      </c>
      <c r="V134" s="27">
        <v>0</v>
      </c>
      <c r="X134" s="78">
        <f t="shared" si="7"/>
        <v>17116.629806094188</v>
      </c>
      <c r="Z134" s="27">
        <v>17116.629806094188</v>
      </c>
      <c r="AA134" s="52">
        <f>Z134-X134</f>
        <v>0</v>
      </c>
    </row>
    <row r="135" spans="1:27" hidden="1" x14ac:dyDescent="0.3">
      <c r="A135" s="26">
        <v>2443</v>
      </c>
      <c r="B135" s="27" t="s">
        <v>332</v>
      </c>
      <c r="C135" s="27" t="s">
        <v>49</v>
      </c>
      <c r="D135" s="27">
        <v>0</v>
      </c>
      <c r="E135" s="27">
        <v>0</v>
      </c>
      <c r="F135" s="83">
        <v>0</v>
      </c>
      <c r="G135" s="83">
        <v>0</v>
      </c>
      <c r="H135" s="29">
        <v>0</v>
      </c>
      <c r="I135" s="83">
        <v>27.789473684210524</v>
      </c>
      <c r="J135" s="83">
        <v>0</v>
      </c>
      <c r="K135" s="83">
        <v>416.84210526315786</v>
      </c>
      <c r="L135" s="83">
        <v>0</v>
      </c>
      <c r="M135" s="31">
        <v>28311.915789473682</v>
      </c>
      <c r="N135" s="83">
        <v>20.210526315789473</v>
      </c>
      <c r="O135" s="83">
        <v>303.15789473684208</v>
      </c>
      <c r="P135" s="49">
        <v>3637.894736842105</v>
      </c>
      <c r="Q135" s="83">
        <v>15.473684210526315</v>
      </c>
      <c r="R135" s="50">
        <v>1065.2409972299167</v>
      </c>
      <c r="S135" s="51">
        <v>33015.051523545699</v>
      </c>
      <c r="T135" s="83">
        <v>0</v>
      </c>
      <c r="U135" s="52">
        <v>0</v>
      </c>
      <c r="V135" s="27">
        <v>0</v>
      </c>
      <c r="X135" s="78">
        <f t="shared" ref="X135:X194" si="19">(S135+U135)*0.8</f>
        <v>26412.041218836559</v>
      </c>
      <c r="Z135" s="27">
        <v>26412.041218836559</v>
      </c>
      <c r="AA135" s="52">
        <f t="shared" ref="AA135:AA139" si="20">Z135-X135</f>
        <v>0</v>
      </c>
    </row>
    <row r="136" spans="1:27" hidden="1" x14ac:dyDescent="0.3">
      <c r="A136" s="26">
        <v>2447</v>
      </c>
      <c r="B136" s="27" t="s">
        <v>333</v>
      </c>
      <c r="C136" s="27" t="s">
        <v>49</v>
      </c>
      <c r="D136" s="27">
        <v>0</v>
      </c>
      <c r="E136" s="27">
        <v>0</v>
      </c>
      <c r="F136" s="83">
        <v>0</v>
      </c>
      <c r="G136" s="83">
        <v>0</v>
      </c>
      <c r="H136" s="29">
        <v>0</v>
      </c>
      <c r="I136" s="83">
        <v>47.05263157894737</v>
      </c>
      <c r="J136" s="83">
        <v>0</v>
      </c>
      <c r="K136" s="83">
        <v>705.78947368421052</v>
      </c>
      <c r="L136" s="83">
        <v>0</v>
      </c>
      <c r="M136" s="31">
        <v>47937.221052631583</v>
      </c>
      <c r="N136" s="83">
        <v>27.157894736842103</v>
      </c>
      <c r="O136" s="83">
        <v>407.36842105263156</v>
      </c>
      <c r="P136" s="49">
        <v>4888.4210526315783</v>
      </c>
      <c r="Q136" s="83">
        <v>27.157894736842103</v>
      </c>
      <c r="R136" s="50">
        <v>1869.6066481994458</v>
      </c>
      <c r="S136" s="51">
        <v>54695.248753462613</v>
      </c>
      <c r="T136" s="83">
        <v>0</v>
      </c>
      <c r="U136" s="52">
        <v>0</v>
      </c>
      <c r="V136" s="27">
        <v>0</v>
      </c>
      <c r="X136" s="78">
        <f t="shared" si="19"/>
        <v>43756.199002770096</v>
      </c>
      <c r="Z136" s="27">
        <v>43756.199002770096</v>
      </c>
      <c r="AA136" s="52">
        <f t="shared" si="20"/>
        <v>0</v>
      </c>
    </row>
    <row r="137" spans="1:27" hidden="1" x14ac:dyDescent="0.3">
      <c r="A137" s="26">
        <v>2449</v>
      </c>
      <c r="B137" s="27" t="s">
        <v>334</v>
      </c>
      <c r="C137" s="27" t="s">
        <v>49</v>
      </c>
      <c r="D137" s="27">
        <v>0</v>
      </c>
      <c r="E137" s="27">
        <v>0</v>
      </c>
      <c r="F137" s="83">
        <v>0</v>
      </c>
      <c r="G137" s="83">
        <v>0</v>
      </c>
      <c r="H137" s="29">
        <v>0</v>
      </c>
      <c r="I137" s="83">
        <v>33.473684210526315</v>
      </c>
      <c r="J137" s="83">
        <v>0.63157894736842102</v>
      </c>
      <c r="K137" s="83">
        <v>502.10526315789468</v>
      </c>
      <c r="L137" s="83">
        <v>9.473684210526315</v>
      </c>
      <c r="M137" s="31">
        <v>34746.442105263159</v>
      </c>
      <c r="N137" s="83">
        <v>11.684210526315789</v>
      </c>
      <c r="O137" s="83">
        <v>175.26315789473685</v>
      </c>
      <c r="P137" s="49">
        <v>2103.1578947368421</v>
      </c>
      <c r="Q137" s="83">
        <v>11.052631578947368</v>
      </c>
      <c r="R137" s="50">
        <v>760.88642659279776</v>
      </c>
      <c r="S137" s="51">
        <v>37610.486426592797</v>
      </c>
      <c r="T137" s="83">
        <v>0</v>
      </c>
      <c r="U137" s="52">
        <v>0</v>
      </c>
      <c r="V137" s="27">
        <v>0</v>
      </c>
      <c r="X137" s="78">
        <f t="shared" si="19"/>
        <v>30088.389141274238</v>
      </c>
      <c r="Z137" s="27">
        <v>30088.389141274238</v>
      </c>
      <c r="AA137" s="52">
        <f t="shared" si="20"/>
        <v>0</v>
      </c>
    </row>
    <row r="138" spans="1:27" hidden="1" x14ac:dyDescent="0.3">
      <c r="A138" s="26">
        <v>2450</v>
      </c>
      <c r="B138" s="27" t="s">
        <v>335</v>
      </c>
      <c r="C138" s="27" t="s">
        <v>49</v>
      </c>
      <c r="D138" s="27">
        <v>0</v>
      </c>
      <c r="E138" s="27">
        <v>0</v>
      </c>
      <c r="F138" s="83">
        <v>0</v>
      </c>
      <c r="G138" s="83">
        <v>0</v>
      </c>
      <c r="H138" s="29">
        <v>0</v>
      </c>
      <c r="I138" s="83">
        <v>28.421052631578949</v>
      </c>
      <c r="J138" s="83">
        <v>14.842105263157896</v>
      </c>
      <c r="K138" s="83">
        <v>426.31578947368422</v>
      </c>
      <c r="L138" s="83">
        <v>222.63157894736841</v>
      </c>
      <c r="M138" s="31">
        <v>44076.505263157895</v>
      </c>
      <c r="N138" s="83">
        <v>6.6315789473684212</v>
      </c>
      <c r="O138" s="83">
        <v>99.473684210526315</v>
      </c>
      <c r="P138" s="49">
        <v>1193.6842105263158</v>
      </c>
      <c r="Q138" s="83">
        <v>6</v>
      </c>
      <c r="R138" s="50">
        <v>413.05263157894734</v>
      </c>
      <c r="S138" s="51">
        <v>45683.242105263154</v>
      </c>
      <c r="T138" s="83">
        <v>0</v>
      </c>
      <c r="U138" s="52">
        <v>0</v>
      </c>
      <c r="V138" s="27">
        <v>0</v>
      </c>
      <c r="X138" s="78">
        <f t="shared" si="19"/>
        <v>36546.593684210522</v>
      </c>
      <c r="Z138" s="27">
        <v>36546.593684210522</v>
      </c>
      <c r="AA138" s="52">
        <f t="shared" si="20"/>
        <v>0</v>
      </c>
    </row>
    <row r="139" spans="1:27" hidden="1" x14ac:dyDescent="0.3">
      <c r="A139" s="26">
        <v>2453</v>
      </c>
      <c r="B139" s="27" t="s">
        <v>336</v>
      </c>
      <c r="C139" s="27" t="s">
        <v>49</v>
      </c>
      <c r="D139" s="27">
        <v>0</v>
      </c>
      <c r="E139" s="27">
        <v>0</v>
      </c>
      <c r="F139" s="83">
        <v>0</v>
      </c>
      <c r="G139" s="83">
        <v>0</v>
      </c>
      <c r="H139" s="29">
        <v>0</v>
      </c>
      <c r="I139" s="83">
        <v>23.684210526315788</v>
      </c>
      <c r="J139" s="83">
        <v>0</v>
      </c>
      <c r="K139" s="83">
        <v>355.26315789473676</v>
      </c>
      <c r="L139" s="83">
        <v>0</v>
      </c>
      <c r="M139" s="31">
        <v>24129.473684210523</v>
      </c>
      <c r="N139" s="83">
        <v>0.31578947368421051</v>
      </c>
      <c r="O139" s="83">
        <v>4.7368421052631575</v>
      </c>
      <c r="P139" s="49">
        <v>56.84210526315789</v>
      </c>
      <c r="Q139" s="83">
        <v>0.31578947368421051</v>
      </c>
      <c r="R139" s="50">
        <v>21.739612188365648</v>
      </c>
      <c r="S139" s="51">
        <v>24208.055401662044</v>
      </c>
      <c r="T139" s="83">
        <v>0</v>
      </c>
      <c r="U139" s="52">
        <v>0</v>
      </c>
      <c r="V139" s="27">
        <v>0</v>
      </c>
      <c r="X139" s="78">
        <f t="shared" si="19"/>
        <v>19366.444321329636</v>
      </c>
      <c r="Z139" s="27">
        <v>19366.444321329636</v>
      </c>
      <c r="AA139" s="52">
        <f t="shared" si="20"/>
        <v>0</v>
      </c>
    </row>
    <row r="140" spans="1:27" hidden="1" x14ac:dyDescent="0.3">
      <c r="A140" s="26">
        <v>2454</v>
      </c>
      <c r="B140" s="27" t="s">
        <v>337</v>
      </c>
      <c r="C140" s="27" t="s">
        <v>27</v>
      </c>
      <c r="D140" s="27">
        <v>0</v>
      </c>
      <c r="E140" s="27">
        <v>0</v>
      </c>
      <c r="F140" s="83">
        <v>0</v>
      </c>
      <c r="G140" s="83">
        <v>0</v>
      </c>
      <c r="H140" s="29">
        <v>0</v>
      </c>
      <c r="I140" s="83">
        <v>41.368421052631582</v>
      </c>
      <c r="J140" s="83">
        <v>7.5789473684210531</v>
      </c>
      <c r="K140" s="83">
        <v>620.52631578947376</v>
      </c>
      <c r="L140" s="83">
        <v>113.68421052631578</v>
      </c>
      <c r="M140" s="31">
        <v>49867.578947368427</v>
      </c>
      <c r="N140" s="83">
        <v>11.684210526315789</v>
      </c>
      <c r="O140" s="83">
        <v>175.26315789473685</v>
      </c>
      <c r="P140" s="49">
        <v>2103.1578947368421</v>
      </c>
      <c r="Q140" s="83">
        <v>6.6315789473684212</v>
      </c>
      <c r="R140" s="50">
        <v>456.53185595567868</v>
      </c>
      <c r="S140" s="51">
        <v>52427.268698060943</v>
      </c>
      <c r="T140" s="83">
        <v>0</v>
      </c>
      <c r="U140" s="52">
        <v>0</v>
      </c>
      <c r="V140" s="27">
        <v>0</v>
      </c>
      <c r="X140" s="78">
        <f t="shared" si="19"/>
        <v>41941.814958448755</v>
      </c>
      <c r="Z140" s="27">
        <v>41941.814958448755</v>
      </c>
      <c r="AA140" s="52">
        <f>Z140-X140</f>
        <v>0</v>
      </c>
    </row>
    <row r="141" spans="1:27" hidden="1" x14ac:dyDescent="0.3">
      <c r="A141" s="26">
        <v>2455</v>
      </c>
      <c r="B141" s="27" t="s">
        <v>338</v>
      </c>
      <c r="C141" s="27" t="s">
        <v>49</v>
      </c>
      <c r="D141" s="27">
        <v>0</v>
      </c>
      <c r="E141" s="27">
        <v>0</v>
      </c>
      <c r="F141" s="83">
        <v>0</v>
      </c>
      <c r="G141" s="83">
        <v>0</v>
      </c>
      <c r="H141" s="29">
        <v>0</v>
      </c>
      <c r="I141" s="83">
        <v>33.789473684210527</v>
      </c>
      <c r="J141" s="83">
        <v>7.5789473684210531</v>
      </c>
      <c r="K141" s="83">
        <v>506.8421052631578</v>
      </c>
      <c r="L141" s="83">
        <v>104.21052631578947</v>
      </c>
      <c r="M141" s="31">
        <v>41502.694736842095</v>
      </c>
      <c r="N141" s="83">
        <v>11.052631578947368</v>
      </c>
      <c r="O141" s="83">
        <v>165.78947368421052</v>
      </c>
      <c r="P141" s="49">
        <v>1989.4736842105262</v>
      </c>
      <c r="Q141" s="83">
        <v>6.9473684210526319</v>
      </c>
      <c r="R141" s="50">
        <v>478.27146814404432</v>
      </c>
      <c r="S141" s="51">
        <v>43970.439889196663</v>
      </c>
      <c r="T141" s="83">
        <v>0</v>
      </c>
      <c r="U141" s="52">
        <v>0</v>
      </c>
      <c r="V141" s="27">
        <v>0</v>
      </c>
      <c r="X141" s="78">
        <f t="shared" si="19"/>
        <v>35176.351911357335</v>
      </c>
      <c r="Z141" s="27">
        <v>35176.351911357335</v>
      </c>
      <c r="AA141" s="52">
        <f>Z141-X141</f>
        <v>0</v>
      </c>
    </row>
    <row r="142" spans="1:27" hidden="1" x14ac:dyDescent="0.3">
      <c r="A142" s="26">
        <v>2457</v>
      </c>
      <c r="B142" s="27" t="s">
        <v>339</v>
      </c>
      <c r="C142" s="27" t="s">
        <v>27</v>
      </c>
      <c r="D142" s="27">
        <v>0</v>
      </c>
      <c r="E142" s="27">
        <v>0</v>
      </c>
      <c r="F142" s="83">
        <v>0</v>
      </c>
      <c r="G142" s="83">
        <v>0</v>
      </c>
      <c r="H142" s="29">
        <v>0</v>
      </c>
      <c r="I142" s="83">
        <v>36</v>
      </c>
      <c r="J142" s="83">
        <v>0</v>
      </c>
      <c r="K142" s="83">
        <v>540</v>
      </c>
      <c r="L142" s="83">
        <v>0</v>
      </c>
      <c r="M142" s="31">
        <v>36676.800000000003</v>
      </c>
      <c r="N142" s="83">
        <v>16.421052631578949</v>
      </c>
      <c r="O142" s="83">
        <v>246.31578947368422</v>
      </c>
      <c r="P142" s="49">
        <v>2955.7894736842109</v>
      </c>
      <c r="Q142" s="83">
        <v>10.421052631578949</v>
      </c>
      <c r="R142" s="50">
        <v>717.40720221606648</v>
      </c>
      <c r="S142" s="51">
        <v>40349.996675900285</v>
      </c>
      <c r="T142" s="83">
        <v>0</v>
      </c>
      <c r="U142" s="52">
        <v>0</v>
      </c>
      <c r="V142" s="27">
        <v>0</v>
      </c>
      <c r="X142" s="78">
        <f t="shared" si="19"/>
        <v>32279.997340720231</v>
      </c>
      <c r="Z142" s="27">
        <v>32279.997340720231</v>
      </c>
      <c r="AA142" s="52">
        <f>Z142-X142</f>
        <v>0</v>
      </c>
    </row>
    <row r="143" spans="1:27" hidden="1" x14ac:dyDescent="0.3">
      <c r="A143" s="26">
        <v>2458</v>
      </c>
      <c r="B143" s="27" t="s">
        <v>340</v>
      </c>
      <c r="C143" s="27" t="s">
        <v>49</v>
      </c>
      <c r="D143" s="27">
        <v>0</v>
      </c>
      <c r="E143" s="27">
        <v>0</v>
      </c>
      <c r="F143" s="83">
        <v>0</v>
      </c>
      <c r="G143" s="83">
        <v>0</v>
      </c>
      <c r="H143" s="29">
        <v>0</v>
      </c>
      <c r="I143" s="83">
        <v>45.473684210526315</v>
      </c>
      <c r="J143" s="83">
        <v>0</v>
      </c>
      <c r="K143" s="83">
        <v>682.10526315789468</v>
      </c>
      <c r="L143" s="83">
        <v>0</v>
      </c>
      <c r="M143" s="31">
        <v>46328.589473684209</v>
      </c>
      <c r="N143" s="83">
        <v>8.8421052631578938</v>
      </c>
      <c r="O143" s="83">
        <v>132.63157894736841</v>
      </c>
      <c r="P143" s="49">
        <v>1591.5789473684208</v>
      </c>
      <c r="Q143" s="83">
        <v>1.263157894736842</v>
      </c>
      <c r="R143" s="50">
        <v>86.958448753462591</v>
      </c>
      <c r="S143" s="51">
        <v>48007.126869806089</v>
      </c>
      <c r="T143" s="83">
        <v>0</v>
      </c>
      <c r="U143" s="52">
        <v>0</v>
      </c>
      <c r="V143" s="27">
        <v>0</v>
      </c>
      <c r="X143" s="78">
        <f t="shared" si="19"/>
        <v>38405.701495844871</v>
      </c>
      <c r="Z143" s="27">
        <v>38405.701495844871</v>
      </c>
      <c r="AA143" s="52">
        <f t="shared" ref="AA143:AA147" si="21">Z143-X143</f>
        <v>0</v>
      </c>
    </row>
    <row r="144" spans="1:27" hidden="1" x14ac:dyDescent="0.3">
      <c r="A144" s="26">
        <v>2460</v>
      </c>
      <c r="B144" s="27" t="s">
        <v>341</v>
      </c>
      <c r="C144" s="27" t="s">
        <v>49</v>
      </c>
      <c r="D144" s="27">
        <v>0</v>
      </c>
      <c r="E144" s="27">
        <v>0</v>
      </c>
      <c r="F144" s="83">
        <v>0</v>
      </c>
      <c r="G144" s="83">
        <v>0</v>
      </c>
      <c r="H144" s="29">
        <v>0</v>
      </c>
      <c r="I144" s="83">
        <v>25.263157894736842</v>
      </c>
      <c r="J144" s="83">
        <v>6.6315789473684212</v>
      </c>
      <c r="K144" s="83">
        <v>322.10526315789474</v>
      </c>
      <c r="L144" s="83">
        <v>99.473684210526315</v>
      </c>
      <c r="M144" s="31">
        <v>28633.642105263156</v>
      </c>
      <c r="N144" s="83">
        <v>8.8421052631578938</v>
      </c>
      <c r="O144" s="83">
        <v>132.63157894736841</v>
      </c>
      <c r="P144" s="49">
        <v>1591.5789473684208</v>
      </c>
      <c r="Q144" s="83">
        <v>8.8421052631578938</v>
      </c>
      <c r="R144" s="50">
        <v>608.70914127423816</v>
      </c>
      <c r="S144" s="51">
        <v>30833.930193905813</v>
      </c>
      <c r="T144" s="83">
        <v>0</v>
      </c>
      <c r="U144" s="52">
        <v>0</v>
      </c>
      <c r="V144" s="27">
        <v>0</v>
      </c>
      <c r="X144" s="78">
        <f t="shared" si="19"/>
        <v>24667.144155124653</v>
      </c>
      <c r="Z144" s="27">
        <v>24667.144155124653</v>
      </c>
      <c r="AA144" s="52">
        <f t="shared" si="21"/>
        <v>0</v>
      </c>
    </row>
    <row r="145" spans="1:27" hidden="1" x14ac:dyDescent="0.3">
      <c r="A145" s="26">
        <v>2463</v>
      </c>
      <c r="B145" s="27" t="s">
        <v>342</v>
      </c>
      <c r="C145" s="27" t="s">
        <v>49</v>
      </c>
      <c r="D145" s="27">
        <v>0</v>
      </c>
      <c r="E145" s="27">
        <v>0</v>
      </c>
      <c r="F145" s="83">
        <v>0</v>
      </c>
      <c r="G145" s="83">
        <v>0</v>
      </c>
      <c r="H145" s="29">
        <v>0</v>
      </c>
      <c r="I145" s="83">
        <v>27.473684210526315</v>
      </c>
      <c r="J145" s="83">
        <v>13.263157894736842</v>
      </c>
      <c r="K145" s="83">
        <v>412.10526315789474</v>
      </c>
      <c r="L145" s="83">
        <v>194.21052631578948</v>
      </c>
      <c r="M145" s="31">
        <v>41180.968421052632</v>
      </c>
      <c r="N145" s="83">
        <v>1.263157894736842</v>
      </c>
      <c r="O145" s="83">
        <v>18.94736842105263</v>
      </c>
      <c r="P145" s="49">
        <v>227.36842105263156</v>
      </c>
      <c r="Q145" s="83">
        <v>0</v>
      </c>
      <c r="R145" s="50">
        <v>0</v>
      </c>
      <c r="S145" s="51">
        <v>41408.336842105266</v>
      </c>
      <c r="T145" s="83">
        <v>0</v>
      </c>
      <c r="U145" s="52">
        <v>0</v>
      </c>
      <c r="V145" s="27">
        <v>0</v>
      </c>
      <c r="X145" s="78">
        <f t="shared" si="19"/>
        <v>33126.669473684211</v>
      </c>
      <c r="Z145" s="27">
        <v>33126.669473684211</v>
      </c>
      <c r="AA145" s="52">
        <f t="shared" si="21"/>
        <v>0</v>
      </c>
    </row>
    <row r="146" spans="1:27" hidden="1" x14ac:dyDescent="0.3">
      <c r="A146" s="26">
        <v>2465</v>
      </c>
      <c r="B146" s="27" t="s">
        <v>51</v>
      </c>
      <c r="C146" s="27" t="s">
        <v>27</v>
      </c>
      <c r="D146" s="27">
        <v>0</v>
      </c>
      <c r="E146" s="27">
        <v>0</v>
      </c>
      <c r="F146" s="83">
        <v>0</v>
      </c>
      <c r="G146" s="83">
        <v>0</v>
      </c>
      <c r="H146" s="29">
        <v>0</v>
      </c>
      <c r="I146" s="83">
        <v>32.84210526315789</v>
      </c>
      <c r="J146" s="83">
        <v>0</v>
      </c>
      <c r="K146" s="83">
        <v>492.63157894736844</v>
      </c>
      <c r="L146" s="83">
        <v>0</v>
      </c>
      <c r="M146" s="31">
        <v>33459.53684210527</v>
      </c>
      <c r="N146" s="83">
        <v>7.5789473684210522</v>
      </c>
      <c r="O146" s="83">
        <v>113.68421052631578</v>
      </c>
      <c r="P146" s="49">
        <v>1364.2105263157894</v>
      </c>
      <c r="Q146" s="83">
        <v>0</v>
      </c>
      <c r="R146" s="50">
        <v>0</v>
      </c>
      <c r="S146" s="51">
        <v>34823.747368421056</v>
      </c>
      <c r="T146" s="83">
        <v>0</v>
      </c>
      <c r="U146" s="52">
        <v>0</v>
      </c>
      <c r="V146" s="27">
        <v>0</v>
      </c>
      <c r="X146" s="78">
        <f t="shared" si="19"/>
        <v>27858.997894736847</v>
      </c>
      <c r="Z146" s="27">
        <v>27858.997894736847</v>
      </c>
      <c r="AA146" s="52">
        <f t="shared" si="21"/>
        <v>0</v>
      </c>
    </row>
    <row r="147" spans="1:27" hidden="1" x14ac:dyDescent="0.3">
      <c r="A147" s="26">
        <v>2466</v>
      </c>
      <c r="B147" s="27" t="s">
        <v>343</v>
      </c>
      <c r="C147" s="27" t="s">
        <v>27</v>
      </c>
      <c r="D147" s="27">
        <v>0</v>
      </c>
      <c r="E147" s="27">
        <v>0</v>
      </c>
      <c r="F147" s="83">
        <v>0</v>
      </c>
      <c r="G147" s="83">
        <v>0</v>
      </c>
      <c r="H147" s="29">
        <v>0</v>
      </c>
      <c r="I147" s="83">
        <v>47.684210526315795</v>
      </c>
      <c r="J147" s="83">
        <v>6.6315789473684204</v>
      </c>
      <c r="K147" s="83">
        <v>715.26315789473688</v>
      </c>
      <c r="L147" s="83">
        <v>99.473684210526315</v>
      </c>
      <c r="M147" s="31">
        <v>55336.926315789489</v>
      </c>
      <c r="N147" s="83">
        <v>11.368421052631579</v>
      </c>
      <c r="O147" s="83">
        <v>170.52631578947367</v>
      </c>
      <c r="P147" s="49">
        <v>2046.3157894736842</v>
      </c>
      <c r="Q147" s="83">
        <v>5.6842105263157894</v>
      </c>
      <c r="R147" s="50">
        <v>391.3130193905817</v>
      </c>
      <c r="S147" s="51">
        <v>57774.555124653758</v>
      </c>
      <c r="T147" s="83">
        <v>0</v>
      </c>
      <c r="U147" s="52">
        <v>0</v>
      </c>
      <c r="V147" s="27">
        <v>0</v>
      </c>
      <c r="X147" s="78">
        <f t="shared" si="19"/>
        <v>46219.644099723009</v>
      </c>
      <c r="Z147" s="27">
        <v>46219.644099723009</v>
      </c>
      <c r="AA147" s="52">
        <f t="shared" si="21"/>
        <v>0</v>
      </c>
    </row>
    <row r="148" spans="1:27" hidden="1" x14ac:dyDescent="0.3">
      <c r="A148" s="26">
        <v>2471</v>
      </c>
      <c r="B148" s="27" t="s">
        <v>344</v>
      </c>
      <c r="C148" s="27" t="s">
        <v>49</v>
      </c>
      <c r="D148" s="27">
        <v>0</v>
      </c>
      <c r="E148" s="27">
        <v>0</v>
      </c>
      <c r="F148" s="83">
        <v>0</v>
      </c>
      <c r="G148" s="83">
        <v>0</v>
      </c>
      <c r="H148" s="29">
        <v>0</v>
      </c>
      <c r="I148" s="83">
        <v>36.631578947368425</v>
      </c>
      <c r="J148" s="83">
        <v>0</v>
      </c>
      <c r="K148" s="83">
        <v>549.47368421052636</v>
      </c>
      <c r="L148" s="83">
        <v>0</v>
      </c>
      <c r="M148" s="31">
        <v>37320.252631578951</v>
      </c>
      <c r="N148" s="83">
        <v>6.9473684210526319</v>
      </c>
      <c r="O148" s="83">
        <v>104.21052631578948</v>
      </c>
      <c r="P148" s="49">
        <v>1250.5263157894738</v>
      </c>
      <c r="Q148" s="83">
        <v>0</v>
      </c>
      <c r="R148" s="50">
        <v>0</v>
      </c>
      <c r="S148" s="51">
        <v>38570.778947368424</v>
      </c>
      <c r="T148" s="83">
        <v>0</v>
      </c>
      <c r="U148" s="52">
        <v>0</v>
      </c>
      <c r="V148" s="27">
        <v>0</v>
      </c>
      <c r="X148" s="78">
        <f t="shared" si="19"/>
        <v>30856.623157894741</v>
      </c>
      <c r="Z148" s="27">
        <v>30856.623157894741</v>
      </c>
      <c r="AA148" s="52">
        <f>Z148-X148</f>
        <v>0</v>
      </c>
    </row>
    <row r="149" spans="1:27" hidden="1" x14ac:dyDescent="0.3">
      <c r="A149" s="26">
        <v>2478</v>
      </c>
      <c r="B149" s="27" t="s">
        <v>171</v>
      </c>
      <c r="C149" s="27" t="s">
        <v>27</v>
      </c>
      <c r="D149" s="27">
        <v>0</v>
      </c>
      <c r="E149" s="27">
        <v>0</v>
      </c>
      <c r="F149" s="83">
        <v>0</v>
      </c>
      <c r="G149" s="83">
        <v>0</v>
      </c>
      <c r="H149" s="29">
        <v>0</v>
      </c>
      <c r="I149" s="83">
        <v>25.263157894736842</v>
      </c>
      <c r="J149" s="83">
        <v>18.94736842105263</v>
      </c>
      <c r="K149" s="83">
        <v>378.94736842105266</v>
      </c>
      <c r="L149" s="83">
        <v>284.21052631578948</v>
      </c>
      <c r="M149" s="31">
        <v>45041.68421052632</v>
      </c>
      <c r="N149" s="83">
        <v>0</v>
      </c>
      <c r="O149" s="83">
        <v>0</v>
      </c>
      <c r="P149" s="49">
        <v>0</v>
      </c>
      <c r="Q149" s="83">
        <v>0</v>
      </c>
      <c r="R149" s="50">
        <v>0</v>
      </c>
      <c r="S149" s="51">
        <v>45041.68421052632</v>
      </c>
      <c r="T149" s="83">
        <v>0</v>
      </c>
      <c r="U149" s="52">
        <v>0</v>
      </c>
      <c r="V149" s="27">
        <v>0</v>
      </c>
      <c r="X149" s="78">
        <f t="shared" si="19"/>
        <v>36033.347368421055</v>
      </c>
      <c r="Z149" s="27">
        <v>36033.347368421055</v>
      </c>
      <c r="AA149" s="52">
        <f t="shared" ref="AA149:AA158" si="22">Z149-X149</f>
        <v>0</v>
      </c>
    </row>
    <row r="150" spans="1:27" hidden="1" x14ac:dyDescent="0.3">
      <c r="A150" s="26">
        <v>2479</v>
      </c>
      <c r="B150" s="27" t="s">
        <v>34</v>
      </c>
      <c r="C150" s="27" t="s">
        <v>27</v>
      </c>
      <c r="D150" s="27">
        <v>0</v>
      </c>
      <c r="E150" s="27">
        <v>0</v>
      </c>
      <c r="F150" s="83">
        <v>0</v>
      </c>
      <c r="G150" s="83">
        <v>0</v>
      </c>
      <c r="H150" s="29">
        <v>0</v>
      </c>
      <c r="I150" s="83">
        <v>70.421052631578945</v>
      </c>
      <c r="J150" s="83">
        <v>6.6315789473684204</v>
      </c>
      <c r="K150" s="83">
        <v>1056.3157894736842</v>
      </c>
      <c r="L150" s="83">
        <v>94.73684210526315</v>
      </c>
      <c r="M150" s="31">
        <v>78179.494736842113</v>
      </c>
      <c r="N150" s="83">
        <v>14.842105263157896</v>
      </c>
      <c r="O150" s="83">
        <v>222.63157894736844</v>
      </c>
      <c r="P150" s="49">
        <v>2671.5789473684213</v>
      </c>
      <c r="Q150" s="83">
        <v>18</v>
      </c>
      <c r="R150" s="50">
        <v>1239.1578947368421</v>
      </c>
      <c r="S150" s="51">
        <v>82090.23157894738</v>
      </c>
      <c r="T150" s="83">
        <v>0</v>
      </c>
      <c r="U150" s="52">
        <v>0</v>
      </c>
      <c r="V150" s="27">
        <v>0</v>
      </c>
      <c r="X150" s="78">
        <f t="shared" si="19"/>
        <v>65672.18526315791</v>
      </c>
      <c r="Z150" s="27">
        <v>65672.18526315791</v>
      </c>
      <c r="AA150" s="52">
        <f t="shared" si="22"/>
        <v>0</v>
      </c>
    </row>
    <row r="151" spans="1:27" hidden="1" x14ac:dyDescent="0.3">
      <c r="A151" s="26">
        <v>2480</v>
      </c>
      <c r="B151" s="27" t="s">
        <v>345</v>
      </c>
      <c r="C151" s="27" t="s">
        <v>49</v>
      </c>
      <c r="D151" s="27">
        <v>0</v>
      </c>
      <c r="E151" s="27">
        <v>0</v>
      </c>
      <c r="F151" s="83">
        <v>0</v>
      </c>
      <c r="G151" s="83">
        <v>0</v>
      </c>
      <c r="H151" s="29">
        <v>0</v>
      </c>
      <c r="I151" s="83">
        <v>18</v>
      </c>
      <c r="J151" s="83">
        <v>2.8421052631578947</v>
      </c>
      <c r="K151" s="83">
        <v>270</v>
      </c>
      <c r="L151" s="83">
        <v>42.631578947368418</v>
      </c>
      <c r="M151" s="31">
        <v>21233.936842105264</v>
      </c>
      <c r="N151" s="83">
        <v>6.9473684210526319</v>
      </c>
      <c r="O151" s="83">
        <v>104.21052631578948</v>
      </c>
      <c r="P151" s="49">
        <v>1250.5263157894738</v>
      </c>
      <c r="Q151" s="83">
        <v>0</v>
      </c>
      <c r="R151" s="50">
        <v>0</v>
      </c>
      <c r="S151" s="51">
        <v>22484.463157894737</v>
      </c>
      <c r="T151" s="83">
        <v>0</v>
      </c>
      <c r="U151" s="52">
        <v>0</v>
      </c>
      <c r="V151" s="27">
        <v>0</v>
      </c>
      <c r="X151" s="78">
        <f t="shared" si="19"/>
        <v>17987.570526315791</v>
      </c>
      <c r="Z151" s="27">
        <v>17987.570526315791</v>
      </c>
      <c r="AA151" s="52">
        <f t="shared" si="22"/>
        <v>0</v>
      </c>
    </row>
    <row r="152" spans="1:27" hidden="1" x14ac:dyDescent="0.3">
      <c r="A152" s="26">
        <v>2481</v>
      </c>
      <c r="B152" s="27" t="s">
        <v>346</v>
      </c>
      <c r="C152" s="27" t="s">
        <v>49</v>
      </c>
      <c r="D152" s="27">
        <v>0</v>
      </c>
      <c r="E152" s="27">
        <v>0</v>
      </c>
      <c r="F152" s="83">
        <v>0</v>
      </c>
      <c r="G152" s="83">
        <v>0</v>
      </c>
      <c r="H152" s="29">
        <v>0</v>
      </c>
      <c r="I152" s="83">
        <v>42.94736842105263</v>
      </c>
      <c r="J152" s="83">
        <v>2.8421052631578947</v>
      </c>
      <c r="K152" s="83">
        <v>644.21052631578948</v>
      </c>
      <c r="L152" s="83">
        <v>42.631578947368418</v>
      </c>
      <c r="M152" s="31">
        <v>46650.31578947368</v>
      </c>
      <c r="N152" s="83">
        <v>21.473684210526315</v>
      </c>
      <c r="O152" s="83">
        <v>322.10526315789474</v>
      </c>
      <c r="P152" s="49">
        <v>3865.2631578947367</v>
      </c>
      <c r="Q152" s="83">
        <v>9.7894736842105257</v>
      </c>
      <c r="R152" s="50">
        <v>673.92797783933509</v>
      </c>
      <c r="S152" s="51">
        <v>51189.506925207745</v>
      </c>
      <c r="T152" s="83">
        <v>0</v>
      </c>
      <c r="U152" s="52">
        <v>0</v>
      </c>
      <c r="V152" s="27">
        <v>0</v>
      </c>
      <c r="X152" s="78">
        <f t="shared" si="19"/>
        <v>40951.605540166202</v>
      </c>
      <c r="Z152" s="27">
        <v>40951.605540166202</v>
      </c>
      <c r="AA152" s="52">
        <f t="shared" si="22"/>
        <v>0</v>
      </c>
    </row>
    <row r="153" spans="1:27" hidden="1" x14ac:dyDescent="0.3">
      <c r="A153" s="26">
        <v>2221</v>
      </c>
      <c r="B153" s="27" t="s">
        <v>347</v>
      </c>
      <c r="C153" s="27" t="s">
        <v>49</v>
      </c>
      <c r="D153" s="27">
        <v>0</v>
      </c>
      <c r="E153" s="27">
        <v>0</v>
      </c>
      <c r="F153" s="83">
        <v>0</v>
      </c>
      <c r="G153" s="83">
        <v>0</v>
      </c>
      <c r="H153" s="29">
        <v>0</v>
      </c>
      <c r="I153" s="83">
        <v>39.789473684210527</v>
      </c>
      <c r="J153" s="83">
        <v>0</v>
      </c>
      <c r="K153" s="83">
        <v>596.84210526315792</v>
      </c>
      <c r="L153" s="83">
        <v>0</v>
      </c>
      <c r="M153" s="31">
        <v>40537.515789473684</v>
      </c>
      <c r="N153" s="83">
        <v>13.578947368421051</v>
      </c>
      <c r="O153" s="83">
        <v>203.68421052631578</v>
      </c>
      <c r="P153" s="49">
        <v>2444.2105263157891</v>
      </c>
      <c r="Q153" s="83">
        <v>0</v>
      </c>
      <c r="R153" s="50">
        <v>0</v>
      </c>
      <c r="S153" s="51">
        <v>42981.72631578947</v>
      </c>
      <c r="T153" s="83">
        <v>0</v>
      </c>
      <c r="U153" s="52">
        <v>0</v>
      </c>
      <c r="V153" s="27">
        <v>0</v>
      </c>
      <c r="X153" s="78">
        <f t="shared" si="19"/>
        <v>34385.381052631579</v>
      </c>
      <c r="Z153" s="27">
        <v>34385.381052631579</v>
      </c>
      <c r="AA153" s="52">
        <f t="shared" si="22"/>
        <v>0</v>
      </c>
    </row>
    <row r="154" spans="1:27" hidden="1" x14ac:dyDescent="0.3">
      <c r="A154" s="26">
        <v>2486</v>
      </c>
      <c r="B154" s="27" t="s">
        <v>75</v>
      </c>
      <c r="C154" s="27" t="s">
        <v>27</v>
      </c>
      <c r="D154" s="27">
        <v>0</v>
      </c>
      <c r="E154" s="27">
        <v>0</v>
      </c>
      <c r="F154" s="83">
        <v>0</v>
      </c>
      <c r="G154" s="83">
        <v>0</v>
      </c>
      <c r="H154" s="29">
        <v>0</v>
      </c>
      <c r="I154" s="83">
        <v>15.157894736842104</v>
      </c>
      <c r="J154" s="83">
        <v>0.31578947368421051</v>
      </c>
      <c r="K154" s="83">
        <v>227.36842105263156</v>
      </c>
      <c r="L154" s="83">
        <v>4.7368421052631575</v>
      </c>
      <c r="M154" s="31">
        <v>15764.589473684209</v>
      </c>
      <c r="N154" s="83">
        <v>8.526315789473685</v>
      </c>
      <c r="O154" s="83">
        <v>127.89473684210527</v>
      </c>
      <c r="P154" s="49">
        <v>1534.7368421052633</v>
      </c>
      <c r="Q154" s="83">
        <v>6.9473684210526319</v>
      </c>
      <c r="R154" s="50">
        <v>478.27146814404432</v>
      </c>
      <c r="S154" s="51">
        <v>17777.597783933517</v>
      </c>
      <c r="T154" s="83">
        <v>0</v>
      </c>
      <c r="U154" s="52">
        <v>0</v>
      </c>
      <c r="V154" s="27">
        <v>0</v>
      </c>
      <c r="X154" s="78">
        <f t="shared" si="19"/>
        <v>14222.078227146814</v>
      </c>
      <c r="Z154" s="27">
        <v>14222.078227146814</v>
      </c>
      <c r="AA154" s="52">
        <f t="shared" si="22"/>
        <v>0</v>
      </c>
    </row>
    <row r="155" spans="1:27" hidden="1" x14ac:dyDescent="0.3">
      <c r="A155" s="26">
        <v>3002</v>
      </c>
      <c r="B155" s="27" t="s">
        <v>348</v>
      </c>
      <c r="C155" s="27" t="s">
        <v>27</v>
      </c>
      <c r="D155" s="27">
        <v>0</v>
      </c>
      <c r="E155" s="27">
        <v>0</v>
      </c>
      <c r="F155" s="83">
        <v>0</v>
      </c>
      <c r="G155" s="83">
        <v>0</v>
      </c>
      <c r="H155" s="29">
        <v>0</v>
      </c>
      <c r="I155" s="83">
        <v>18</v>
      </c>
      <c r="J155" s="83">
        <v>0</v>
      </c>
      <c r="K155" s="83">
        <v>268.10526315789468</v>
      </c>
      <c r="L155" s="83">
        <v>0</v>
      </c>
      <c r="M155" s="31">
        <v>18209.709473684208</v>
      </c>
      <c r="N155" s="83">
        <v>9.1578947368421062</v>
      </c>
      <c r="O155" s="83">
        <v>137.36842105263159</v>
      </c>
      <c r="P155" s="49">
        <v>1648.4210526315792</v>
      </c>
      <c r="Q155" s="83">
        <v>9.1578947368421062</v>
      </c>
      <c r="R155" s="50">
        <v>630.44875346260392</v>
      </c>
      <c r="S155" s="51">
        <v>20488.579279778391</v>
      </c>
      <c r="T155" s="83">
        <v>0</v>
      </c>
      <c r="U155" s="52">
        <v>0</v>
      </c>
      <c r="V155" s="27">
        <v>0</v>
      </c>
      <c r="X155" s="78">
        <f t="shared" si="19"/>
        <v>16390.863423822713</v>
      </c>
      <c r="Z155" s="27">
        <v>16390.863423822713</v>
      </c>
      <c r="AA155" s="52">
        <f t="shared" si="22"/>
        <v>0</v>
      </c>
    </row>
    <row r="156" spans="1:27" hidden="1" x14ac:dyDescent="0.3">
      <c r="A156" s="26">
        <v>3015</v>
      </c>
      <c r="B156" s="27" t="s">
        <v>349</v>
      </c>
      <c r="C156" s="27" t="s">
        <v>49</v>
      </c>
      <c r="D156" s="27">
        <v>0</v>
      </c>
      <c r="E156" s="27">
        <v>0</v>
      </c>
      <c r="F156" s="83">
        <v>0</v>
      </c>
      <c r="G156" s="83">
        <v>0</v>
      </c>
      <c r="H156" s="29">
        <v>0</v>
      </c>
      <c r="I156" s="83">
        <v>24.315789473684212</v>
      </c>
      <c r="J156" s="83">
        <v>2.8421052631578947</v>
      </c>
      <c r="K156" s="83">
        <v>364.73684210526312</v>
      </c>
      <c r="L156" s="83">
        <v>42.631578947368418</v>
      </c>
      <c r="M156" s="31">
        <v>27668.463157894734</v>
      </c>
      <c r="N156" s="83">
        <v>1.263157894736842</v>
      </c>
      <c r="O156" s="83">
        <v>18.94736842105263</v>
      </c>
      <c r="P156" s="49">
        <v>227.36842105263156</v>
      </c>
      <c r="Q156" s="83">
        <v>0.31578947368421051</v>
      </c>
      <c r="R156" s="50">
        <v>21.739612188365648</v>
      </c>
      <c r="S156" s="51">
        <v>27917.571191135728</v>
      </c>
      <c r="T156" s="83">
        <v>0</v>
      </c>
      <c r="U156" s="52">
        <v>0</v>
      </c>
      <c r="V156" s="27">
        <v>0</v>
      </c>
      <c r="X156" s="78">
        <f t="shared" si="19"/>
        <v>22334.056952908584</v>
      </c>
      <c r="Z156" s="27">
        <v>22334.056952908584</v>
      </c>
      <c r="AA156" s="52">
        <f t="shared" si="22"/>
        <v>0</v>
      </c>
    </row>
    <row r="157" spans="1:27" hidden="1" x14ac:dyDescent="0.3">
      <c r="A157" s="26">
        <v>3302</v>
      </c>
      <c r="B157" s="27" t="s">
        <v>350</v>
      </c>
      <c r="C157" s="27" t="s">
        <v>49</v>
      </c>
      <c r="D157" s="27">
        <v>0</v>
      </c>
      <c r="E157" s="27">
        <v>0</v>
      </c>
      <c r="F157" s="83">
        <v>0</v>
      </c>
      <c r="G157" s="83">
        <v>0</v>
      </c>
      <c r="H157" s="29">
        <v>0</v>
      </c>
      <c r="I157" s="83">
        <v>35.05263157894737</v>
      </c>
      <c r="J157" s="83">
        <v>11.684210526315789</v>
      </c>
      <c r="K157" s="83">
        <v>525.78947368421063</v>
      </c>
      <c r="L157" s="83">
        <v>175.26315789473682</v>
      </c>
      <c r="M157" s="31">
        <v>47615.494736842113</v>
      </c>
      <c r="N157" s="83">
        <v>10.421052631578949</v>
      </c>
      <c r="O157" s="83">
        <v>156.31578947368422</v>
      </c>
      <c r="P157" s="49">
        <v>1875.7894736842106</v>
      </c>
      <c r="Q157" s="83">
        <v>8.8421052631578938</v>
      </c>
      <c r="R157" s="50">
        <v>608.70914127423816</v>
      </c>
      <c r="S157" s="51">
        <v>50099.993351800564</v>
      </c>
      <c r="T157" s="83">
        <v>0</v>
      </c>
      <c r="U157" s="52">
        <v>0</v>
      </c>
      <c r="V157" s="27">
        <v>0</v>
      </c>
      <c r="X157" s="78">
        <f t="shared" si="19"/>
        <v>40079.994681440454</v>
      </c>
      <c r="Z157" s="27">
        <v>40079.994681440454</v>
      </c>
      <c r="AA157" s="52">
        <f t="shared" si="22"/>
        <v>0</v>
      </c>
    </row>
    <row r="158" spans="1:27" hidden="1" x14ac:dyDescent="0.3">
      <c r="A158" s="26">
        <v>3306</v>
      </c>
      <c r="B158" s="27" t="s">
        <v>351</v>
      </c>
      <c r="C158" s="27" t="s">
        <v>49</v>
      </c>
      <c r="D158" s="27">
        <v>0</v>
      </c>
      <c r="E158" s="27">
        <v>0</v>
      </c>
      <c r="F158" s="83">
        <v>0</v>
      </c>
      <c r="G158" s="83">
        <v>0</v>
      </c>
      <c r="H158" s="29">
        <v>0</v>
      </c>
      <c r="I158" s="83">
        <v>41.05263157894737</v>
      </c>
      <c r="J158" s="83">
        <v>0.63157894736842102</v>
      </c>
      <c r="K158" s="83">
        <v>606.31578947368428</v>
      </c>
      <c r="L158" s="83">
        <v>9.473684210526315</v>
      </c>
      <c r="M158" s="31">
        <v>41824.421052631587</v>
      </c>
      <c r="N158" s="83">
        <v>6.6315789473684212</v>
      </c>
      <c r="O158" s="83">
        <v>99.473684210526315</v>
      </c>
      <c r="P158" s="49">
        <v>1193.6842105263158</v>
      </c>
      <c r="Q158" s="83">
        <v>0</v>
      </c>
      <c r="R158" s="50">
        <v>0</v>
      </c>
      <c r="S158" s="51">
        <v>43018.1052631579</v>
      </c>
      <c r="T158" s="83">
        <v>0</v>
      </c>
      <c r="U158" s="52">
        <v>0</v>
      </c>
      <c r="V158" s="27">
        <v>0</v>
      </c>
      <c r="X158" s="78">
        <f t="shared" si="19"/>
        <v>34414.484210526323</v>
      </c>
      <c r="Z158" s="27">
        <v>34414.484210526323</v>
      </c>
      <c r="AA158" s="52">
        <f t="shared" si="22"/>
        <v>0</v>
      </c>
    </row>
    <row r="159" spans="1:27" hidden="1" x14ac:dyDescent="0.3">
      <c r="A159" s="26">
        <v>3310</v>
      </c>
      <c r="B159" s="27" t="s">
        <v>217</v>
      </c>
      <c r="C159" s="27" t="s">
        <v>245</v>
      </c>
      <c r="D159" s="27">
        <v>0</v>
      </c>
      <c r="E159" s="27">
        <v>0</v>
      </c>
      <c r="F159" s="83">
        <v>0</v>
      </c>
      <c r="G159" s="83">
        <v>0</v>
      </c>
      <c r="H159" s="29">
        <v>0</v>
      </c>
      <c r="I159" s="83">
        <v>19.578947368421055</v>
      </c>
      <c r="J159" s="83">
        <v>0.31578947368421051</v>
      </c>
      <c r="K159" s="83">
        <v>293.68421052631578</v>
      </c>
      <c r="L159" s="83">
        <v>4.7368421052631575</v>
      </c>
      <c r="M159" s="31">
        <v>20268.757894736842</v>
      </c>
      <c r="N159" s="83">
        <v>5.3684210526315788</v>
      </c>
      <c r="O159" s="83">
        <v>80.526315789473685</v>
      </c>
      <c r="P159" s="49">
        <v>966.31578947368416</v>
      </c>
      <c r="Q159" s="83">
        <v>5.3684210526315788</v>
      </c>
      <c r="R159" s="50">
        <v>369.573407202216</v>
      </c>
      <c r="S159" s="51">
        <v>21604.647091412742</v>
      </c>
      <c r="T159" s="83">
        <v>0</v>
      </c>
      <c r="U159" s="52">
        <v>0</v>
      </c>
      <c r="V159" s="27">
        <v>0</v>
      </c>
      <c r="X159" s="78">
        <f t="shared" si="19"/>
        <v>17283.717673130195</v>
      </c>
      <c r="Z159" s="27">
        <v>17283.717673130195</v>
      </c>
      <c r="AA159" s="52">
        <f>Z159-X159</f>
        <v>0</v>
      </c>
    </row>
    <row r="160" spans="1:27" hidden="1" x14ac:dyDescent="0.3">
      <c r="A160" s="26">
        <v>3311</v>
      </c>
      <c r="B160" s="27" t="s">
        <v>352</v>
      </c>
      <c r="C160" s="27" t="s">
        <v>49</v>
      </c>
      <c r="D160" s="27">
        <v>0</v>
      </c>
      <c r="E160" s="27">
        <v>0</v>
      </c>
      <c r="F160" s="83">
        <v>0</v>
      </c>
      <c r="G160" s="83">
        <v>0</v>
      </c>
      <c r="H160" s="29">
        <v>0</v>
      </c>
      <c r="I160" s="83">
        <v>25.894736842105267</v>
      </c>
      <c r="J160" s="83">
        <v>4.7368421052631584</v>
      </c>
      <c r="K160" s="83">
        <v>388.42105263157896</v>
      </c>
      <c r="L160" s="83">
        <v>71.05263157894737</v>
      </c>
      <c r="M160" s="31">
        <v>31207.452631578952</v>
      </c>
      <c r="N160" s="83">
        <v>9.7894736842105257</v>
      </c>
      <c r="O160" s="83">
        <v>146.84210526315789</v>
      </c>
      <c r="P160" s="49">
        <v>1762.1052631578946</v>
      </c>
      <c r="Q160" s="83">
        <v>9.473684210526315</v>
      </c>
      <c r="R160" s="50">
        <v>652.18836565096944</v>
      </c>
      <c r="S160" s="51">
        <v>33621.746260387816</v>
      </c>
      <c r="T160" s="83">
        <v>0.31578947368421051</v>
      </c>
      <c r="U160" s="52">
        <v>93.54016620498615</v>
      </c>
      <c r="V160" s="27">
        <v>0</v>
      </c>
      <c r="X160" s="78">
        <f t="shared" si="19"/>
        <v>26972.229141274242</v>
      </c>
      <c r="Z160" s="27">
        <v>26972.229141274242</v>
      </c>
      <c r="AA160" s="52">
        <f t="shared" ref="AA160:AA165" si="23">Z160-X160</f>
        <v>0</v>
      </c>
    </row>
    <row r="161" spans="1:27" hidden="1" x14ac:dyDescent="0.3">
      <c r="A161" s="26">
        <v>3314</v>
      </c>
      <c r="B161" s="27" t="s">
        <v>353</v>
      </c>
      <c r="C161" s="27" t="s">
        <v>49</v>
      </c>
      <c r="D161" s="27">
        <v>0</v>
      </c>
      <c r="E161" s="27">
        <v>0</v>
      </c>
      <c r="F161" s="83">
        <v>0</v>
      </c>
      <c r="G161" s="83">
        <v>0</v>
      </c>
      <c r="H161" s="29">
        <v>0</v>
      </c>
      <c r="I161" s="83">
        <v>24.315789473684212</v>
      </c>
      <c r="J161" s="83">
        <v>2.5263157894736841</v>
      </c>
      <c r="K161" s="83">
        <v>364.73684210526318</v>
      </c>
      <c r="L161" s="83">
        <v>37.89473684210526</v>
      </c>
      <c r="M161" s="31">
        <v>27346.736842105267</v>
      </c>
      <c r="N161" s="83">
        <v>4.4210526315789469</v>
      </c>
      <c r="O161" s="83">
        <v>66.315789473684205</v>
      </c>
      <c r="P161" s="49">
        <v>795.78947368421041</v>
      </c>
      <c r="Q161" s="83">
        <v>4.4210526315789469</v>
      </c>
      <c r="R161" s="50">
        <v>304.35457063711908</v>
      </c>
      <c r="S161" s="51">
        <v>28446.880886426596</v>
      </c>
      <c r="T161" s="83">
        <v>0</v>
      </c>
      <c r="U161" s="52">
        <v>0</v>
      </c>
      <c r="V161" s="27">
        <v>0</v>
      </c>
      <c r="X161" s="78">
        <f t="shared" si="19"/>
        <v>22757.504709141278</v>
      </c>
      <c r="Z161" s="27">
        <v>22757.504709141278</v>
      </c>
      <c r="AA161" s="52">
        <f t="shared" si="23"/>
        <v>0</v>
      </c>
    </row>
    <row r="162" spans="1:27" hidden="1" x14ac:dyDescent="0.3">
      <c r="A162" s="26">
        <v>3317</v>
      </c>
      <c r="B162" s="27" t="s">
        <v>95</v>
      </c>
      <c r="C162" s="27" t="s">
        <v>27</v>
      </c>
      <c r="D162" s="27">
        <v>0</v>
      </c>
      <c r="E162" s="27">
        <v>0</v>
      </c>
      <c r="F162" s="83">
        <v>0</v>
      </c>
      <c r="G162" s="83">
        <v>0</v>
      </c>
      <c r="H162" s="29">
        <v>0</v>
      </c>
      <c r="I162" s="83">
        <v>22.736842105263158</v>
      </c>
      <c r="J162" s="83">
        <v>2.5263157894736841</v>
      </c>
      <c r="K162" s="83">
        <v>341.0526315789474</v>
      </c>
      <c r="L162" s="83">
        <v>37.89473684210526</v>
      </c>
      <c r="M162" s="31">
        <v>25738.105263157897</v>
      </c>
      <c r="N162" s="83">
        <v>6.9473684210526319</v>
      </c>
      <c r="O162" s="83">
        <v>104.21052631578948</v>
      </c>
      <c r="P162" s="49">
        <v>1250.5263157894738</v>
      </c>
      <c r="Q162" s="83">
        <v>5.3684210526315788</v>
      </c>
      <c r="R162" s="50">
        <v>369.573407202216</v>
      </c>
      <c r="S162" s="51">
        <v>27358.204986149587</v>
      </c>
      <c r="T162" s="83">
        <v>0</v>
      </c>
      <c r="U162" s="52">
        <v>0</v>
      </c>
      <c r="V162" s="27">
        <v>0</v>
      </c>
      <c r="X162" s="78">
        <f t="shared" si="19"/>
        <v>21886.563988919672</v>
      </c>
      <c r="Z162" s="27">
        <v>21886.563988919672</v>
      </c>
      <c r="AA162" s="52">
        <f t="shared" si="23"/>
        <v>0</v>
      </c>
    </row>
    <row r="163" spans="1:27" hidden="1" x14ac:dyDescent="0.3">
      <c r="A163" s="26">
        <v>3319</v>
      </c>
      <c r="B163" s="27" t="s">
        <v>61</v>
      </c>
      <c r="C163" s="27" t="s">
        <v>27</v>
      </c>
      <c r="D163" s="27">
        <v>0</v>
      </c>
      <c r="E163" s="27">
        <v>0</v>
      </c>
      <c r="F163" s="83">
        <v>0</v>
      </c>
      <c r="G163" s="83">
        <v>0</v>
      </c>
      <c r="H163" s="29">
        <v>0</v>
      </c>
      <c r="I163" s="83">
        <v>30.631578947368421</v>
      </c>
      <c r="J163" s="83">
        <v>10.105263157894736</v>
      </c>
      <c r="K163" s="83">
        <v>459.4736842105263</v>
      </c>
      <c r="L163" s="83">
        <v>151.57894736842104</v>
      </c>
      <c r="M163" s="31">
        <v>41502.69473684211</v>
      </c>
      <c r="N163" s="83">
        <v>16.105263157894736</v>
      </c>
      <c r="O163" s="83">
        <v>241.57894736842104</v>
      </c>
      <c r="P163" s="49">
        <v>2898.9473684210525</v>
      </c>
      <c r="Q163" s="83">
        <v>16.105263157894736</v>
      </c>
      <c r="R163" s="50">
        <v>1108.720221606648</v>
      </c>
      <c r="S163" s="51">
        <v>45510.362326869814</v>
      </c>
      <c r="T163" s="83">
        <v>0</v>
      </c>
      <c r="U163" s="52">
        <v>0</v>
      </c>
      <c r="V163" s="27">
        <v>0</v>
      </c>
      <c r="X163" s="78">
        <f t="shared" si="19"/>
        <v>36408.289861495854</v>
      </c>
      <c r="Z163" s="27">
        <v>36408.289861495854</v>
      </c>
      <c r="AA163" s="52">
        <f t="shared" si="23"/>
        <v>0</v>
      </c>
    </row>
    <row r="164" spans="1:27" hidden="1" x14ac:dyDescent="0.3">
      <c r="A164" s="26">
        <v>3322</v>
      </c>
      <c r="B164" s="27" t="s">
        <v>111</v>
      </c>
      <c r="C164" s="27" t="s">
        <v>49</v>
      </c>
      <c r="D164" s="27">
        <v>0</v>
      </c>
      <c r="E164" s="27">
        <v>0</v>
      </c>
      <c r="F164" s="83">
        <v>0</v>
      </c>
      <c r="G164" s="83">
        <v>0</v>
      </c>
      <c r="H164" s="29">
        <v>0</v>
      </c>
      <c r="I164" s="83">
        <v>18.94736842105263</v>
      </c>
      <c r="J164" s="83">
        <v>6.947368421052631</v>
      </c>
      <c r="K164" s="83">
        <v>284.21052631578948</v>
      </c>
      <c r="L164" s="83">
        <v>104.21052631578947</v>
      </c>
      <c r="M164" s="31">
        <v>26381.557894736845</v>
      </c>
      <c r="N164" s="83">
        <v>4.7368421052631575</v>
      </c>
      <c r="O164" s="83">
        <v>71.05263157894737</v>
      </c>
      <c r="P164" s="49">
        <v>852.63157894736844</v>
      </c>
      <c r="Q164" s="83">
        <v>0.94736842105263153</v>
      </c>
      <c r="R164" s="50">
        <v>65.21883656509695</v>
      </c>
      <c r="S164" s="51">
        <v>27299.408310249313</v>
      </c>
      <c r="T164" s="83">
        <v>0</v>
      </c>
      <c r="U164" s="52">
        <v>0</v>
      </c>
      <c r="V164" s="27">
        <v>0</v>
      </c>
      <c r="X164" s="78">
        <f t="shared" si="19"/>
        <v>21839.526648199451</v>
      </c>
      <c r="Z164" s="27">
        <v>21839.526648199451</v>
      </c>
      <c r="AA164" s="52">
        <f t="shared" si="23"/>
        <v>0</v>
      </c>
    </row>
    <row r="165" spans="1:27" hidden="1" x14ac:dyDescent="0.3">
      <c r="A165" s="26">
        <v>3323</v>
      </c>
      <c r="B165" s="27" t="s">
        <v>354</v>
      </c>
      <c r="C165" s="27" t="s">
        <v>27</v>
      </c>
      <c r="D165" s="27">
        <v>0</v>
      </c>
      <c r="E165" s="27">
        <v>0</v>
      </c>
      <c r="F165" s="83">
        <v>0</v>
      </c>
      <c r="G165" s="83">
        <v>0</v>
      </c>
      <c r="H165" s="29">
        <v>0</v>
      </c>
      <c r="I165" s="83">
        <v>15.789473684210526</v>
      </c>
      <c r="J165" s="83">
        <v>0</v>
      </c>
      <c r="K165" s="83">
        <v>236.84210526315792</v>
      </c>
      <c r="L165" s="83">
        <v>0</v>
      </c>
      <c r="M165" s="31">
        <v>16086.315789473687</v>
      </c>
      <c r="N165" s="83">
        <v>4.4210526315789469</v>
      </c>
      <c r="O165" s="83">
        <v>66.315789473684205</v>
      </c>
      <c r="P165" s="49">
        <v>795.78947368421041</v>
      </c>
      <c r="Q165" s="83">
        <v>1.263157894736842</v>
      </c>
      <c r="R165" s="50">
        <v>86.958448753462591</v>
      </c>
      <c r="S165" s="51">
        <v>16969.06371191136</v>
      </c>
      <c r="T165" s="83">
        <v>0</v>
      </c>
      <c r="U165" s="52">
        <v>0</v>
      </c>
      <c r="V165" s="27">
        <v>0</v>
      </c>
      <c r="X165" s="78">
        <f t="shared" si="19"/>
        <v>13575.250969529088</v>
      </c>
      <c r="Z165" s="27">
        <v>13575.250969529088</v>
      </c>
      <c r="AA165" s="52">
        <f t="shared" si="23"/>
        <v>0</v>
      </c>
    </row>
    <row r="166" spans="1:27" hidden="1" x14ac:dyDescent="0.3">
      <c r="A166" s="26">
        <v>3325</v>
      </c>
      <c r="B166" s="27" t="s">
        <v>355</v>
      </c>
      <c r="C166" s="27" t="s">
        <v>49</v>
      </c>
      <c r="D166" s="27">
        <v>0</v>
      </c>
      <c r="E166" s="27">
        <v>0</v>
      </c>
      <c r="F166" s="83">
        <v>0</v>
      </c>
      <c r="G166" s="83">
        <v>0</v>
      </c>
      <c r="H166" s="29">
        <v>0</v>
      </c>
      <c r="I166" s="83">
        <v>19.263157894736842</v>
      </c>
      <c r="J166" s="83">
        <v>1.8947368421052631</v>
      </c>
      <c r="K166" s="83">
        <v>288.9473684210526</v>
      </c>
      <c r="L166" s="83">
        <v>28.421052631578945</v>
      </c>
      <c r="M166" s="31">
        <v>21555.663157894734</v>
      </c>
      <c r="N166" s="83">
        <v>4.7368421052631575</v>
      </c>
      <c r="O166" s="83">
        <v>71.05263157894737</v>
      </c>
      <c r="P166" s="49">
        <v>852.63157894736844</v>
      </c>
      <c r="Q166" s="83">
        <v>2.8421052631578947</v>
      </c>
      <c r="R166" s="50">
        <v>195.65650969529085</v>
      </c>
      <c r="S166" s="51">
        <v>22603.951246537395</v>
      </c>
      <c r="T166" s="83">
        <v>0</v>
      </c>
      <c r="U166" s="52">
        <v>0</v>
      </c>
      <c r="V166" s="27">
        <v>0</v>
      </c>
      <c r="X166" s="78">
        <f t="shared" si="19"/>
        <v>18083.160997229916</v>
      </c>
      <c r="Z166" s="27">
        <v>18083.160997229916</v>
      </c>
      <c r="AA166" s="52">
        <f>Z166-X166</f>
        <v>0</v>
      </c>
    </row>
    <row r="167" spans="1:27" hidden="1" x14ac:dyDescent="0.3">
      <c r="A167" s="26">
        <v>3328</v>
      </c>
      <c r="B167" s="27" t="s">
        <v>356</v>
      </c>
      <c r="C167" s="27" t="s">
        <v>27</v>
      </c>
      <c r="D167" s="27">
        <v>0</v>
      </c>
      <c r="E167" s="27">
        <v>0</v>
      </c>
      <c r="F167" s="83">
        <v>0</v>
      </c>
      <c r="G167" s="83">
        <v>0</v>
      </c>
      <c r="H167" s="29">
        <v>0</v>
      </c>
      <c r="I167" s="83">
        <v>17.684210526315788</v>
      </c>
      <c r="J167" s="83">
        <v>0</v>
      </c>
      <c r="K167" s="83">
        <v>265.26315789473688</v>
      </c>
      <c r="L167" s="83">
        <v>0</v>
      </c>
      <c r="M167" s="31">
        <v>18016.673684210527</v>
      </c>
      <c r="N167" s="83">
        <v>6.9473684210526319</v>
      </c>
      <c r="O167" s="83">
        <v>104.21052631578948</v>
      </c>
      <c r="P167" s="49">
        <v>1250.5263157894738</v>
      </c>
      <c r="Q167" s="83">
        <v>0.94736842105263153</v>
      </c>
      <c r="R167" s="50">
        <v>65.21883656509695</v>
      </c>
      <c r="S167" s="51">
        <v>19332.418836565099</v>
      </c>
      <c r="T167" s="83">
        <v>0</v>
      </c>
      <c r="U167" s="52">
        <v>0</v>
      </c>
      <c r="V167" s="27">
        <v>0</v>
      </c>
      <c r="X167" s="78">
        <f t="shared" si="19"/>
        <v>15465.93506925208</v>
      </c>
      <c r="Z167" s="27">
        <v>15465.93506925208</v>
      </c>
      <c r="AA167" s="52">
        <f t="shared" ref="AA167:AA168" si="24">Z167-X167</f>
        <v>0</v>
      </c>
    </row>
    <row r="168" spans="1:27" hidden="1" x14ac:dyDescent="0.3">
      <c r="A168" s="26">
        <v>3329</v>
      </c>
      <c r="B168" s="27" t="s">
        <v>209</v>
      </c>
      <c r="C168" s="27" t="s">
        <v>245</v>
      </c>
      <c r="D168" s="27">
        <v>0</v>
      </c>
      <c r="E168" s="27">
        <v>0</v>
      </c>
      <c r="F168" s="83">
        <v>0</v>
      </c>
      <c r="G168" s="83">
        <v>0</v>
      </c>
      <c r="H168" s="29">
        <v>0</v>
      </c>
      <c r="I168" s="83">
        <v>28.736842105263158</v>
      </c>
      <c r="J168" s="83">
        <v>1.8947368421052631</v>
      </c>
      <c r="K168" s="83">
        <v>431.0526315789474</v>
      </c>
      <c r="L168" s="83">
        <v>28.421052631578945</v>
      </c>
      <c r="M168" s="31">
        <v>31207.452631578944</v>
      </c>
      <c r="N168" s="83">
        <v>6.3157894736842106</v>
      </c>
      <c r="O168" s="83">
        <v>94.736842105263165</v>
      </c>
      <c r="P168" s="49">
        <v>1136.8421052631579</v>
      </c>
      <c r="Q168" s="83">
        <v>6.3157894736842106</v>
      </c>
      <c r="R168" s="50">
        <v>434.79224376731298</v>
      </c>
      <c r="S168" s="51">
        <v>32779.086980609412</v>
      </c>
      <c r="T168" s="83">
        <v>0</v>
      </c>
      <c r="U168" s="52">
        <v>0</v>
      </c>
      <c r="V168" s="27">
        <v>0</v>
      </c>
      <c r="X168" s="78">
        <f t="shared" si="19"/>
        <v>26223.269584487531</v>
      </c>
      <c r="Z168" s="27">
        <v>26223.269584487531</v>
      </c>
      <c r="AA168" s="52">
        <f t="shared" si="24"/>
        <v>0</v>
      </c>
    </row>
    <row r="169" spans="1:27" hidden="1" x14ac:dyDescent="0.3">
      <c r="A169" s="26">
        <v>3330</v>
      </c>
      <c r="B169" s="27" t="s">
        <v>357</v>
      </c>
      <c r="C169" s="27" t="s">
        <v>49</v>
      </c>
      <c r="D169" s="27">
        <v>0</v>
      </c>
      <c r="E169" s="27">
        <v>0</v>
      </c>
      <c r="F169" s="83">
        <v>0</v>
      </c>
      <c r="G169" s="83">
        <v>0</v>
      </c>
      <c r="H169" s="29">
        <v>0</v>
      </c>
      <c r="I169" s="83">
        <v>30</v>
      </c>
      <c r="J169" s="83">
        <v>11.368421052631579</v>
      </c>
      <c r="K169" s="83">
        <v>450</v>
      </c>
      <c r="L169" s="83">
        <v>156.31578947368422</v>
      </c>
      <c r="M169" s="31">
        <v>41180.968421052632</v>
      </c>
      <c r="N169" s="83">
        <v>5.0526315789473681</v>
      </c>
      <c r="O169" s="83">
        <v>75.78947368421052</v>
      </c>
      <c r="P169" s="49">
        <v>909.47368421052624</v>
      </c>
      <c r="Q169" s="83">
        <v>0.31578947368421051</v>
      </c>
      <c r="R169" s="50">
        <v>21.739612188365648</v>
      </c>
      <c r="S169" s="51">
        <v>42112.181717451524</v>
      </c>
      <c r="T169" s="83">
        <v>0</v>
      </c>
      <c r="U169" s="52">
        <v>0</v>
      </c>
      <c r="V169" s="27">
        <v>0</v>
      </c>
      <c r="X169" s="78">
        <f t="shared" si="19"/>
        <v>33689.745373961217</v>
      </c>
      <c r="Z169" s="27">
        <v>33689.745373961217</v>
      </c>
      <c r="AA169" s="52">
        <f>Z169-X169</f>
        <v>0</v>
      </c>
    </row>
    <row r="170" spans="1:27" hidden="1" x14ac:dyDescent="0.3">
      <c r="A170" s="26">
        <v>3331</v>
      </c>
      <c r="B170" s="27" t="s">
        <v>358</v>
      </c>
      <c r="C170" s="27" t="s">
        <v>27</v>
      </c>
      <c r="D170" s="27">
        <v>0</v>
      </c>
      <c r="E170" s="27">
        <v>0</v>
      </c>
      <c r="F170" s="83">
        <v>0</v>
      </c>
      <c r="G170" s="83">
        <v>0</v>
      </c>
      <c r="H170" s="29">
        <v>0</v>
      </c>
      <c r="I170" s="83">
        <v>29.05263157894737</v>
      </c>
      <c r="J170" s="83">
        <v>6.3157894736842106</v>
      </c>
      <c r="K170" s="83">
        <v>435.78947368421052</v>
      </c>
      <c r="L170" s="83">
        <v>94.73684210526315</v>
      </c>
      <c r="M170" s="31">
        <v>36033.347368421055</v>
      </c>
      <c r="N170" s="83">
        <v>5.6842105263157894</v>
      </c>
      <c r="O170" s="83">
        <v>85.263157894736835</v>
      </c>
      <c r="P170" s="49">
        <v>1023.1578947368421</v>
      </c>
      <c r="Q170" s="83">
        <v>5.6842105263157894</v>
      </c>
      <c r="R170" s="50">
        <v>391.3130193905817</v>
      </c>
      <c r="S170" s="51">
        <v>37447.818282548476</v>
      </c>
      <c r="T170" s="83">
        <v>0</v>
      </c>
      <c r="U170" s="52">
        <v>0</v>
      </c>
      <c r="V170" s="27">
        <v>0</v>
      </c>
      <c r="X170" s="78">
        <f t="shared" si="19"/>
        <v>29958.254626038783</v>
      </c>
      <c r="Z170" s="27">
        <v>29958.254626038783</v>
      </c>
      <c r="AA170" s="52">
        <f t="shared" ref="AA170:AA173" si="25">Z170-X170</f>
        <v>0</v>
      </c>
    </row>
    <row r="171" spans="1:27" ht="14.5" hidden="1" x14ac:dyDescent="0.35">
      <c r="A171" s="26">
        <v>3346</v>
      </c>
      <c r="B171" t="s">
        <v>213</v>
      </c>
      <c r="C171" s="27" t="s">
        <v>245</v>
      </c>
      <c r="D171" s="27">
        <v>0</v>
      </c>
      <c r="E171" s="27">
        <v>0</v>
      </c>
      <c r="F171" s="83">
        <v>0</v>
      </c>
      <c r="G171" s="83">
        <v>0</v>
      </c>
      <c r="H171" s="29">
        <v>0</v>
      </c>
      <c r="I171" s="83">
        <v>23.368421052631575</v>
      </c>
      <c r="J171" s="83">
        <v>1.8947368421052631</v>
      </c>
      <c r="K171" s="83">
        <v>350.52631578947364</v>
      </c>
      <c r="L171" s="83">
        <v>28.421052631578945</v>
      </c>
      <c r="M171" s="31">
        <v>25738.10526315789</v>
      </c>
      <c r="N171" s="83">
        <v>6.9473684210526319</v>
      </c>
      <c r="O171" s="83">
        <v>104.21052631578948</v>
      </c>
      <c r="P171" s="49">
        <v>1250.5263157894738</v>
      </c>
      <c r="Q171" s="83">
        <v>5.0526315789473681</v>
      </c>
      <c r="R171" s="50">
        <v>347.83379501385036</v>
      </c>
      <c r="S171" s="51">
        <v>27336.465373961215</v>
      </c>
      <c r="T171" s="83">
        <v>0</v>
      </c>
      <c r="U171" s="52">
        <v>0</v>
      </c>
      <c r="V171" s="27">
        <v>0</v>
      </c>
      <c r="X171" s="78">
        <f t="shared" si="19"/>
        <v>21869.172299168975</v>
      </c>
      <c r="Z171" s="27">
        <v>21869.172299168975</v>
      </c>
      <c r="AA171" s="52">
        <f t="shared" si="25"/>
        <v>0</v>
      </c>
    </row>
    <row r="172" spans="1:27" hidden="1" x14ac:dyDescent="0.3">
      <c r="A172" s="26">
        <v>3351</v>
      </c>
      <c r="B172" s="27" t="s">
        <v>359</v>
      </c>
      <c r="C172" s="27" t="s">
        <v>27</v>
      </c>
      <c r="D172" s="27">
        <v>0</v>
      </c>
      <c r="E172" s="27">
        <v>0</v>
      </c>
      <c r="F172" s="83">
        <v>0</v>
      </c>
      <c r="G172" s="83">
        <v>0</v>
      </c>
      <c r="H172" s="29">
        <v>0</v>
      </c>
      <c r="I172" s="83">
        <v>22.421052631578949</v>
      </c>
      <c r="J172" s="83">
        <v>2.2105263157894735</v>
      </c>
      <c r="K172" s="83">
        <v>336.31578947368422</v>
      </c>
      <c r="L172" s="83">
        <v>22.105263157894736</v>
      </c>
      <c r="M172" s="31">
        <v>24343.957894736846</v>
      </c>
      <c r="N172" s="83">
        <v>8.2105263157894743</v>
      </c>
      <c r="O172" s="83">
        <v>123.15789473684211</v>
      </c>
      <c r="P172" s="49">
        <v>1477.8947368421054</v>
      </c>
      <c r="Q172" s="83">
        <v>7.5789473684210522</v>
      </c>
      <c r="R172" s="50">
        <v>521.7506925207756</v>
      </c>
      <c r="S172" s="51">
        <v>26343.603324099728</v>
      </c>
      <c r="T172" s="83">
        <v>0</v>
      </c>
      <c r="U172" s="52">
        <v>0</v>
      </c>
      <c r="V172" s="27">
        <v>0</v>
      </c>
      <c r="X172" s="78">
        <f t="shared" si="19"/>
        <v>21074.882659279785</v>
      </c>
      <c r="Z172" s="27">
        <v>21074.882659279785</v>
      </c>
      <c r="AA172" s="52">
        <f t="shared" si="25"/>
        <v>0</v>
      </c>
    </row>
    <row r="173" spans="1:27" hidden="1" x14ac:dyDescent="0.3">
      <c r="A173" s="26">
        <v>3352</v>
      </c>
      <c r="B173" s="27" t="s">
        <v>360</v>
      </c>
      <c r="C173" s="27" t="s">
        <v>245</v>
      </c>
      <c r="D173" s="27">
        <v>0</v>
      </c>
      <c r="E173" s="27">
        <v>0</v>
      </c>
      <c r="F173" s="83">
        <v>0</v>
      </c>
      <c r="G173" s="83">
        <v>0</v>
      </c>
      <c r="H173" s="29">
        <v>0</v>
      </c>
      <c r="I173" s="83">
        <v>14.526315789473683</v>
      </c>
      <c r="J173" s="83">
        <v>2.8421052631578947</v>
      </c>
      <c r="K173" s="83">
        <v>217.89473684210526</v>
      </c>
      <c r="L173" s="83">
        <v>42.631578947368418</v>
      </c>
      <c r="M173" s="31">
        <v>17694.947368421053</v>
      </c>
      <c r="N173" s="83">
        <v>2.8421052631578947</v>
      </c>
      <c r="O173" s="83">
        <v>42.631578947368418</v>
      </c>
      <c r="P173" s="49">
        <v>511.57894736842104</v>
      </c>
      <c r="Q173" s="83">
        <v>2.8421052631578947</v>
      </c>
      <c r="R173" s="50">
        <v>195.65650969529085</v>
      </c>
      <c r="S173" s="51">
        <v>18402.182825484764</v>
      </c>
      <c r="T173" s="83">
        <v>0</v>
      </c>
      <c r="U173" s="52">
        <v>0</v>
      </c>
      <c r="V173" s="27">
        <v>0</v>
      </c>
      <c r="X173" s="78">
        <f t="shared" si="19"/>
        <v>14721.746260387812</v>
      </c>
      <c r="Z173" s="27">
        <v>14721.746260387812</v>
      </c>
      <c r="AA173" s="52">
        <f t="shared" si="25"/>
        <v>0</v>
      </c>
    </row>
    <row r="174" spans="1:27" s="85" customFormat="1" hidden="1" x14ac:dyDescent="0.3">
      <c r="A174" s="84">
        <v>3359</v>
      </c>
      <c r="B174" s="85" t="s">
        <v>403</v>
      </c>
      <c r="C174" s="27" t="s">
        <v>49</v>
      </c>
      <c r="D174" s="85">
        <v>0</v>
      </c>
      <c r="E174" s="85">
        <v>0</v>
      </c>
      <c r="F174" s="86">
        <v>0</v>
      </c>
      <c r="G174" s="86">
        <v>0</v>
      </c>
      <c r="H174" s="87">
        <v>0</v>
      </c>
      <c r="I174" s="86">
        <v>9.7894736842105274</v>
      </c>
      <c r="J174" s="86">
        <v>0.94736842105263153</v>
      </c>
      <c r="K174" s="83">
        <v>146.84210526315792</v>
      </c>
      <c r="L174" s="83">
        <v>0</v>
      </c>
      <c r="M174" s="31">
        <v>9973.5157894736858</v>
      </c>
      <c r="N174" s="83">
        <v>0</v>
      </c>
      <c r="O174" s="83">
        <v>0</v>
      </c>
      <c r="P174" s="49">
        <v>0</v>
      </c>
      <c r="Q174" s="83">
        <v>0</v>
      </c>
      <c r="R174" s="50">
        <v>0</v>
      </c>
      <c r="S174" s="51">
        <v>9973.5157894736858</v>
      </c>
      <c r="T174" s="83">
        <v>0</v>
      </c>
      <c r="U174" s="88"/>
      <c r="V174" s="27">
        <v>0</v>
      </c>
      <c r="X174" s="78">
        <f t="shared" si="19"/>
        <v>7978.8126315789486</v>
      </c>
      <c r="Z174" s="27">
        <v>7978.8126315789486</v>
      </c>
      <c r="AA174" s="52">
        <f>Z174-X174</f>
        <v>0</v>
      </c>
    </row>
    <row r="175" spans="1:27" hidden="1" x14ac:dyDescent="0.3">
      <c r="A175" s="26">
        <v>3361</v>
      </c>
      <c r="B175" s="27" t="s">
        <v>361</v>
      </c>
      <c r="C175" s="27" t="s">
        <v>27</v>
      </c>
      <c r="D175" s="27">
        <v>0</v>
      </c>
      <c r="E175" s="27">
        <v>0</v>
      </c>
      <c r="F175" s="83">
        <v>0</v>
      </c>
      <c r="G175" s="83">
        <v>0</v>
      </c>
      <c r="H175" s="29">
        <v>0</v>
      </c>
      <c r="I175" s="83">
        <v>18.94736842105263</v>
      </c>
      <c r="J175" s="83">
        <v>7.2631578947368425</v>
      </c>
      <c r="K175" s="83">
        <v>284.21052631578948</v>
      </c>
      <c r="L175" s="83">
        <v>108.94736842105263</v>
      </c>
      <c r="M175" s="31">
        <v>26703.284210526319</v>
      </c>
      <c r="N175" s="83">
        <v>8.2105263157894743</v>
      </c>
      <c r="O175" s="83">
        <v>123.15789473684211</v>
      </c>
      <c r="P175" s="49">
        <v>1477.8947368421054</v>
      </c>
      <c r="Q175" s="83">
        <v>8.2105263157894743</v>
      </c>
      <c r="R175" s="50">
        <v>565.22991689750688</v>
      </c>
      <c r="S175" s="51">
        <v>28746.408864265934</v>
      </c>
      <c r="T175" s="83">
        <v>0</v>
      </c>
      <c r="U175" s="52">
        <v>0</v>
      </c>
      <c r="V175" s="27">
        <v>0</v>
      </c>
      <c r="X175" s="78">
        <f t="shared" si="19"/>
        <v>22997.127091412749</v>
      </c>
      <c r="Z175" s="27">
        <v>22997.127091412749</v>
      </c>
      <c r="AA175" s="52">
        <f t="shared" ref="AA175:AA176" si="26">Z175-X175</f>
        <v>0</v>
      </c>
    </row>
    <row r="176" spans="1:27" hidden="1" x14ac:dyDescent="0.3">
      <c r="A176" s="26">
        <v>3363</v>
      </c>
      <c r="B176" s="27" t="s">
        <v>362</v>
      </c>
      <c r="C176" s="27" t="s">
        <v>27</v>
      </c>
      <c r="D176" s="27">
        <v>0</v>
      </c>
      <c r="E176" s="27">
        <v>0</v>
      </c>
      <c r="F176" s="83">
        <v>0</v>
      </c>
      <c r="G176" s="83">
        <v>0</v>
      </c>
      <c r="H176" s="29">
        <v>0</v>
      </c>
      <c r="I176" s="83">
        <v>19.578947368421055</v>
      </c>
      <c r="J176" s="83">
        <v>0</v>
      </c>
      <c r="K176" s="83">
        <v>293.68421052631584</v>
      </c>
      <c r="L176" s="83">
        <v>0</v>
      </c>
      <c r="M176" s="31">
        <v>19947.031578947372</v>
      </c>
      <c r="N176" s="83">
        <v>2.5263157894736841</v>
      </c>
      <c r="O176" s="83">
        <v>37.89473684210526</v>
      </c>
      <c r="P176" s="49">
        <v>454.73684210526312</v>
      </c>
      <c r="Q176" s="83">
        <v>2.5263157894736841</v>
      </c>
      <c r="R176" s="50">
        <v>173.91689750692518</v>
      </c>
      <c r="S176" s="51">
        <v>20575.685318559561</v>
      </c>
      <c r="T176" s="83">
        <v>0</v>
      </c>
      <c r="U176" s="52">
        <v>0</v>
      </c>
      <c r="V176" s="27">
        <v>0</v>
      </c>
      <c r="X176" s="78">
        <f t="shared" si="19"/>
        <v>16460.54825484765</v>
      </c>
      <c r="Z176" s="27">
        <v>16460.54825484765</v>
      </c>
      <c r="AA176" s="52">
        <f t="shared" si="26"/>
        <v>0</v>
      </c>
    </row>
    <row r="177" spans="1:27" hidden="1" x14ac:dyDescent="0.3">
      <c r="A177" s="26">
        <v>3366</v>
      </c>
      <c r="B177" s="27" t="s">
        <v>363</v>
      </c>
      <c r="C177" s="27" t="s">
        <v>49</v>
      </c>
      <c r="D177" s="27">
        <v>0</v>
      </c>
      <c r="E177" s="27">
        <v>0</v>
      </c>
      <c r="F177" s="83">
        <v>0</v>
      </c>
      <c r="G177" s="83">
        <v>0</v>
      </c>
      <c r="H177" s="29">
        <v>0</v>
      </c>
      <c r="I177" s="83">
        <v>7.5789473684210522</v>
      </c>
      <c r="J177" s="83">
        <v>0</v>
      </c>
      <c r="K177" s="83">
        <v>113.68421052631578</v>
      </c>
      <c r="L177" s="83">
        <v>0</v>
      </c>
      <c r="M177" s="31">
        <v>7721.4315789473676</v>
      </c>
      <c r="N177" s="83">
        <v>4.4210526315789469</v>
      </c>
      <c r="O177" s="83">
        <v>66.315789473684205</v>
      </c>
      <c r="P177" s="49">
        <v>795.78947368421041</v>
      </c>
      <c r="Q177" s="83">
        <v>2.8421052631578947</v>
      </c>
      <c r="R177" s="50">
        <v>195.65650969529085</v>
      </c>
      <c r="S177" s="51">
        <v>8712.8775623268684</v>
      </c>
      <c r="T177" s="83">
        <v>0</v>
      </c>
      <c r="U177" s="52">
        <v>0</v>
      </c>
      <c r="V177" s="27">
        <v>0</v>
      </c>
      <c r="X177" s="78">
        <f t="shared" si="19"/>
        <v>6970.3020498614951</v>
      </c>
      <c r="Z177" s="27">
        <v>6970.3020498614951</v>
      </c>
      <c r="AA177" s="52">
        <f>Z177-X177</f>
        <v>0</v>
      </c>
    </row>
    <row r="178" spans="1:27" hidden="1" x14ac:dyDescent="0.3">
      <c r="A178" s="26">
        <v>3367</v>
      </c>
      <c r="B178" s="27" t="s">
        <v>364</v>
      </c>
      <c r="C178" s="27" t="s">
        <v>27</v>
      </c>
      <c r="D178" s="27">
        <v>0</v>
      </c>
      <c r="E178" s="27">
        <v>0</v>
      </c>
      <c r="F178" s="83">
        <v>0</v>
      </c>
      <c r="G178" s="83">
        <v>0</v>
      </c>
      <c r="H178" s="29">
        <v>0</v>
      </c>
      <c r="I178" s="83">
        <v>24.631578947368421</v>
      </c>
      <c r="J178" s="83">
        <v>10.736842105263158</v>
      </c>
      <c r="K178" s="83">
        <v>369.4736842105263</v>
      </c>
      <c r="L178" s="83">
        <v>161.05263157894734</v>
      </c>
      <c r="M178" s="31">
        <v>36033.347368421055</v>
      </c>
      <c r="N178" s="83">
        <v>6</v>
      </c>
      <c r="O178" s="83">
        <v>90</v>
      </c>
      <c r="P178" s="49">
        <v>1080</v>
      </c>
      <c r="Q178" s="83">
        <v>6</v>
      </c>
      <c r="R178" s="50">
        <v>413.05263157894734</v>
      </c>
      <c r="S178" s="51">
        <v>37526.400000000001</v>
      </c>
      <c r="T178" s="83">
        <v>0</v>
      </c>
      <c r="U178" s="52">
        <v>0</v>
      </c>
      <c r="V178" s="27">
        <v>0</v>
      </c>
      <c r="X178" s="78">
        <f t="shared" si="19"/>
        <v>30021.120000000003</v>
      </c>
      <c r="Z178" s="27">
        <v>30021.120000000003</v>
      </c>
      <c r="AA178" s="52">
        <f t="shared" ref="AA178:AA183" si="27">Z178-X178</f>
        <v>0</v>
      </c>
    </row>
    <row r="179" spans="1:27" hidden="1" x14ac:dyDescent="0.3">
      <c r="A179" s="26">
        <v>3372</v>
      </c>
      <c r="B179" s="27" t="s">
        <v>365</v>
      </c>
      <c r="C179" s="27" t="s">
        <v>27</v>
      </c>
      <c r="D179" s="27">
        <v>0</v>
      </c>
      <c r="E179" s="27">
        <v>0</v>
      </c>
      <c r="F179" s="83">
        <v>0</v>
      </c>
      <c r="G179" s="83">
        <v>0</v>
      </c>
      <c r="H179" s="29">
        <v>0</v>
      </c>
      <c r="I179" s="83">
        <v>48.94736842105263</v>
      </c>
      <c r="J179" s="83">
        <v>4.7368421052631575</v>
      </c>
      <c r="K179" s="83">
        <v>734.21052631578948</v>
      </c>
      <c r="L179" s="83">
        <v>71.05263157894737</v>
      </c>
      <c r="M179" s="31">
        <v>54693.473684210527</v>
      </c>
      <c r="N179" s="83">
        <v>22.105263157894736</v>
      </c>
      <c r="O179" s="83">
        <v>331.57894736842104</v>
      </c>
      <c r="P179" s="49">
        <v>3978.9473684210525</v>
      </c>
      <c r="Q179" s="83">
        <v>19.578947368421051</v>
      </c>
      <c r="R179" s="50">
        <v>1347.8559556786702</v>
      </c>
      <c r="S179" s="51">
        <v>60020.277008310251</v>
      </c>
      <c r="T179" s="83">
        <v>0</v>
      </c>
      <c r="U179" s="52">
        <v>0</v>
      </c>
      <c r="V179" s="27">
        <v>0</v>
      </c>
      <c r="X179" s="78">
        <f t="shared" si="19"/>
        <v>48016.221606648207</v>
      </c>
      <c r="Z179" s="27">
        <v>48016.221606648207</v>
      </c>
      <c r="AA179" s="52">
        <f t="shared" si="27"/>
        <v>0</v>
      </c>
    </row>
    <row r="180" spans="1:27" hidden="1" x14ac:dyDescent="0.3">
      <c r="A180" s="26">
        <v>3377</v>
      </c>
      <c r="B180" s="27" t="s">
        <v>366</v>
      </c>
      <c r="C180" s="27" t="s">
        <v>27</v>
      </c>
      <c r="D180" s="27">
        <v>0</v>
      </c>
      <c r="E180" s="27">
        <v>0</v>
      </c>
      <c r="F180" s="83">
        <v>0</v>
      </c>
      <c r="G180" s="83">
        <v>0</v>
      </c>
      <c r="H180" s="29">
        <v>0</v>
      </c>
      <c r="I180" s="83">
        <v>18.94736842105263</v>
      </c>
      <c r="J180" s="83">
        <v>0</v>
      </c>
      <c r="K180" s="83">
        <v>284.21052631578948</v>
      </c>
      <c r="L180" s="83">
        <v>0</v>
      </c>
      <c r="M180" s="31">
        <v>19303.578947368424</v>
      </c>
      <c r="N180" s="83">
        <v>12</v>
      </c>
      <c r="O180" s="83">
        <v>180</v>
      </c>
      <c r="P180" s="49">
        <v>2160</v>
      </c>
      <c r="Q180" s="83">
        <v>0</v>
      </c>
      <c r="R180" s="50">
        <v>0</v>
      </c>
      <c r="S180" s="51">
        <v>21463.578947368424</v>
      </c>
      <c r="T180" s="83">
        <v>0</v>
      </c>
      <c r="U180" s="52">
        <v>0</v>
      </c>
      <c r="V180" s="27">
        <v>0</v>
      </c>
      <c r="X180" s="78">
        <f t="shared" si="19"/>
        <v>17170.863157894739</v>
      </c>
      <c r="Z180" s="27">
        <v>17170.863157894739</v>
      </c>
      <c r="AA180" s="52">
        <f t="shared" si="27"/>
        <v>0</v>
      </c>
    </row>
    <row r="181" spans="1:27" hidden="1" x14ac:dyDescent="0.3">
      <c r="A181" s="26">
        <v>3386</v>
      </c>
      <c r="B181" s="27" t="s">
        <v>143</v>
      </c>
      <c r="C181" s="27" t="s">
        <v>27</v>
      </c>
      <c r="D181" s="27">
        <v>0</v>
      </c>
      <c r="E181" s="27">
        <v>0</v>
      </c>
      <c r="F181" s="83">
        <v>0</v>
      </c>
      <c r="G181" s="83">
        <v>0</v>
      </c>
      <c r="H181" s="29">
        <v>0</v>
      </c>
      <c r="I181" s="83">
        <v>27.473684210526315</v>
      </c>
      <c r="J181" s="83">
        <v>5.3684210526315788</v>
      </c>
      <c r="K181" s="83">
        <v>412.10526315789474</v>
      </c>
      <c r="L181" s="83">
        <v>75.78947368421052</v>
      </c>
      <c r="M181" s="31">
        <v>33137.810526315792</v>
      </c>
      <c r="N181" s="83">
        <v>11.052631578947368</v>
      </c>
      <c r="O181" s="83">
        <v>165.78947368421052</v>
      </c>
      <c r="P181" s="49">
        <v>1989.4736842105262</v>
      </c>
      <c r="Q181" s="83">
        <v>10.421052631578949</v>
      </c>
      <c r="R181" s="50">
        <v>717.40720221606648</v>
      </c>
      <c r="S181" s="51">
        <v>35844.691412742388</v>
      </c>
      <c r="T181" s="83">
        <v>0</v>
      </c>
      <c r="U181" s="52">
        <v>0</v>
      </c>
      <c r="V181" s="27">
        <v>0</v>
      </c>
      <c r="X181" s="78">
        <f t="shared" si="19"/>
        <v>28675.753130193913</v>
      </c>
      <c r="Z181" s="27">
        <v>28675.753130193913</v>
      </c>
      <c r="AA181" s="52">
        <f t="shared" si="27"/>
        <v>0</v>
      </c>
    </row>
    <row r="182" spans="1:27" hidden="1" x14ac:dyDescent="0.3">
      <c r="A182" s="26">
        <v>3406</v>
      </c>
      <c r="B182" s="27" t="s">
        <v>367</v>
      </c>
      <c r="C182" s="27" t="s">
        <v>245</v>
      </c>
      <c r="D182" s="27">
        <v>0</v>
      </c>
      <c r="E182" s="27">
        <v>0</v>
      </c>
      <c r="F182" s="83">
        <v>0</v>
      </c>
      <c r="G182" s="83">
        <v>0</v>
      </c>
      <c r="H182" s="29">
        <v>0</v>
      </c>
      <c r="I182" s="83">
        <v>21.157894736842103</v>
      </c>
      <c r="J182" s="83">
        <v>0</v>
      </c>
      <c r="K182" s="83">
        <v>317.36842105263156</v>
      </c>
      <c r="L182" s="83">
        <v>0</v>
      </c>
      <c r="M182" s="31">
        <v>21555.663157894734</v>
      </c>
      <c r="N182" s="83">
        <v>6</v>
      </c>
      <c r="O182" s="83">
        <v>90</v>
      </c>
      <c r="P182" s="49">
        <v>1080</v>
      </c>
      <c r="Q182" s="83">
        <v>5.0526315789473681</v>
      </c>
      <c r="R182" s="50">
        <v>347.83379501385036</v>
      </c>
      <c r="S182" s="51">
        <v>22983.496952908587</v>
      </c>
      <c r="T182" s="83">
        <v>0</v>
      </c>
      <c r="U182" s="52">
        <v>0</v>
      </c>
      <c r="V182" s="27">
        <v>0</v>
      </c>
      <c r="X182" s="78">
        <f t="shared" si="19"/>
        <v>18386.797562326869</v>
      </c>
      <c r="Z182" s="27">
        <v>18386.797562326869</v>
      </c>
      <c r="AA182" s="52">
        <f t="shared" si="27"/>
        <v>0</v>
      </c>
    </row>
    <row r="183" spans="1:27" hidden="1" x14ac:dyDescent="0.3">
      <c r="A183" s="26">
        <v>3411</v>
      </c>
      <c r="B183" s="27" t="s">
        <v>368</v>
      </c>
      <c r="C183" s="27" t="s">
        <v>27</v>
      </c>
      <c r="D183" s="27">
        <v>0</v>
      </c>
      <c r="E183" s="27">
        <v>0</v>
      </c>
      <c r="F183" s="83">
        <v>0</v>
      </c>
      <c r="G183" s="83">
        <v>0</v>
      </c>
      <c r="H183" s="29">
        <v>0</v>
      </c>
      <c r="I183" s="83">
        <v>32.84210526315789</v>
      </c>
      <c r="J183" s="83">
        <v>1.5789473684210527</v>
      </c>
      <c r="K183" s="83">
        <v>492.63157894736844</v>
      </c>
      <c r="L183" s="83">
        <v>23.684210526315788</v>
      </c>
      <c r="M183" s="31">
        <v>35068.168421052636</v>
      </c>
      <c r="N183" s="83">
        <v>22.421052631578949</v>
      </c>
      <c r="O183" s="83">
        <v>336.31578947368422</v>
      </c>
      <c r="P183" s="49">
        <v>4035.7894736842109</v>
      </c>
      <c r="Q183" s="83">
        <v>22.105263157894736</v>
      </c>
      <c r="R183" s="50">
        <v>1521.7728531855955</v>
      </c>
      <c r="S183" s="51">
        <v>40625.730747922447</v>
      </c>
      <c r="T183" s="83">
        <v>0</v>
      </c>
      <c r="U183" s="52">
        <v>0</v>
      </c>
      <c r="V183" s="27">
        <v>0</v>
      </c>
      <c r="X183" s="78">
        <f t="shared" si="19"/>
        <v>32500.584598337959</v>
      </c>
      <c r="Z183" s="27">
        <v>32500.584598337959</v>
      </c>
      <c r="AA183" s="52">
        <f t="shared" si="27"/>
        <v>0</v>
      </c>
    </row>
    <row r="184" spans="1:27" hidden="1" x14ac:dyDescent="0.3">
      <c r="A184" s="26">
        <v>3412</v>
      </c>
      <c r="B184" s="27" t="s">
        <v>369</v>
      </c>
      <c r="C184" s="27" t="s">
        <v>49</v>
      </c>
      <c r="D184" s="27">
        <v>0</v>
      </c>
      <c r="E184" s="27">
        <v>0</v>
      </c>
      <c r="F184" s="83">
        <v>0</v>
      </c>
      <c r="G184" s="83">
        <v>0</v>
      </c>
      <c r="H184" s="29">
        <v>0</v>
      </c>
      <c r="I184" s="83">
        <v>51.789473684210527</v>
      </c>
      <c r="J184" s="83">
        <v>3.1578947368421053</v>
      </c>
      <c r="K184" s="83">
        <v>776.84210526315792</v>
      </c>
      <c r="L184" s="83">
        <v>47.368421052631582</v>
      </c>
      <c r="M184" s="31">
        <v>55980.37894736843</v>
      </c>
      <c r="N184" s="83">
        <v>23.05263157894737</v>
      </c>
      <c r="O184" s="83">
        <v>345.78947368421052</v>
      </c>
      <c r="P184" s="49">
        <v>4149.4736842105267</v>
      </c>
      <c r="Q184" s="83">
        <v>22.105263157894736</v>
      </c>
      <c r="R184" s="50">
        <v>1521.7728531855955</v>
      </c>
      <c r="S184" s="51">
        <v>61651.625484764554</v>
      </c>
      <c r="T184" s="83">
        <v>0</v>
      </c>
      <c r="U184" s="52">
        <v>0</v>
      </c>
      <c r="V184" s="27">
        <v>0</v>
      </c>
      <c r="X184" s="78">
        <f t="shared" si="19"/>
        <v>49321.300387811643</v>
      </c>
      <c r="Z184" s="27">
        <v>49321.300387811643</v>
      </c>
      <c r="AA184" s="52">
        <f>Z184-X184</f>
        <v>0</v>
      </c>
    </row>
    <row r="185" spans="1:27" hidden="1" x14ac:dyDescent="0.3">
      <c r="A185" s="26">
        <v>3428</v>
      </c>
      <c r="B185" s="27" t="s">
        <v>370</v>
      </c>
      <c r="C185" s="27" t="s">
        <v>27</v>
      </c>
      <c r="D185" s="27">
        <v>0</v>
      </c>
      <c r="E185" s="27">
        <v>0</v>
      </c>
      <c r="F185" s="83">
        <v>0</v>
      </c>
      <c r="G185" s="83">
        <v>0</v>
      </c>
      <c r="H185" s="29">
        <v>0</v>
      </c>
      <c r="I185" s="83">
        <v>24</v>
      </c>
      <c r="J185" s="83">
        <v>16.736842105263158</v>
      </c>
      <c r="K185" s="83">
        <v>360</v>
      </c>
      <c r="L185" s="83">
        <v>251.05263157894737</v>
      </c>
      <c r="M185" s="31">
        <v>41502.69473684211</v>
      </c>
      <c r="N185" s="83">
        <v>1.5789473684210527</v>
      </c>
      <c r="O185" s="83">
        <v>23.684210526315791</v>
      </c>
      <c r="P185" s="49">
        <v>284.21052631578948</v>
      </c>
      <c r="Q185" s="83">
        <v>1.5789473684210527</v>
      </c>
      <c r="R185" s="50">
        <v>108.69806094182825</v>
      </c>
      <c r="S185" s="51">
        <v>41895.603324099728</v>
      </c>
      <c r="T185" s="83">
        <v>0</v>
      </c>
      <c r="U185" s="52">
        <v>0</v>
      </c>
      <c r="V185" s="27">
        <v>0</v>
      </c>
      <c r="X185" s="78">
        <f t="shared" si="19"/>
        <v>33516.482659279784</v>
      </c>
      <c r="Z185" s="27">
        <v>33516.482659279784</v>
      </c>
      <c r="AA185" s="52">
        <f t="shared" ref="AA185:AA192" si="28">Z185-X185</f>
        <v>0</v>
      </c>
    </row>
    <row r="186" spans="1:27" hidden="1" x14ac:dyDescent="0.3">
      <c r="A186" s="26">
        <v>3431</v>
      </c>
      <c r="B186" s="27" t="s">
        <v>199</v>
      </c>
      <c r="C186" s="27" t="s">
        <v>245</v>
      </c>
      <c r="D186" s="27">
        <v>0</v>
      </c>
      <c r="E186" s="27">
        <v>0</v>
      </c>
      <c r="F186" s="83">
        <v>0</v>
      </c>
      <c r="G186" s="83">
        <v>0</v>
      </c>
      <c r="H186" s="29">
        <v>0</v>
      </c>
      <c r="I186" s="83">
        <v>45.789473684210527</v>
      </c>
      <c r="J186" s="83">
        <v>19.894736842105264</v>
      </c>
      <c r="K186" s="83">
        <v>686.84210526315792</v>
      </c>
      <c r="L186" s="83">
        <v>298.42105263157896</v>
      </c>
      <c r="M186" s="31">
        <v>66919.073684210525</v>
      </c>
      <c r="N186" s="83">
        <v>3.7894736842105261</v>
      </c>
      <c r="O186" s="83">
        <v>56.84210526315789</v>
      </c>
      <c r="P186" s="49">
        <v>682.10526315789468</v>
      </c>
      <c r="Q186" s="83">
        <v>0.31578947368421051</v>
      </c>
      <c r="R186" s="50">
        <v>21.739612188365648</v>
      </c>
      <c r="S186" s="51">
        <v>67622.918559556783</v>
      </c>
      <c r="T186" s="83">
        <v>0</v>
      </c>
      <c r="U186" s="52">
        <v>0</v>
      </c>
      <c r="V186" s="27">
        <v>0</v>
      </c>
      <c r="X186" s="78">
        <f t="shared" si="19"/>
        <v>54098.334847645427</v>
      </c>
      <c r="Z186" s="27">
        <v>54098.334847645427</v>
      </c>
      <c r="AA186" s="52">
        <f t="shared" si="28"/>
        <v>0</v>
      </c>
    </row>
    <row r="187" spans="1:27" hidden="1" x14ac:dyDescent="0.3">
      <c r="A187" s="26">
        <v>3432</v>
      </c>
      <c r="B187" s="27" t="s">
        <v>63</v>
      </c>
      <c r="C187" s="27" t="s">
        <v>27</v>
      </c>
      <c r="D187" s="27">
        <v>0</v>
      </c>
      <c r="E187" s="27">
        <v>0</v>
      </c>
      <c r="F187" s="83">
        <v>0</v>
      </c>
      <c r="G187" s="83">
        <v>0</v>
      </c>
      <c r="H187" s="29">
        <v>0</v>
      </c>
      <c r="I187" s="83">
        <v>75.789473684210535</v>
      </c>
      <c r="J187" s="83">
        <v>5.3684210526315788</v>
      </c>
      <c r="K187" s="83">
        <v>1127.3684210526314</v>
      </c>
      <c r="L187" s="83">
        <v>80.526315789473671</v>
      </c>
      <c r="M187" s="31">
        <v>82040.210526315772</v>
      </c>
      <c r="N187" s="83">
        <v>18.315789473684212</v>
      </c>
      <c r="O187" s="83">
        <v>274.73684210526318</v>
      </c>
      <c r="P187" s="49">
        <v>3296.8421052631584</v>
      </c>
      <c r="Q187" s="83">
        <v>0.31578947368421051</v>
      </c>
      <c r="R187" s="50">
        <v>21.739612188365648</v>
      </c>
      <c r="S187" s="51">
        <v>85358.792243767297</v>
      </c>
      <c r="T187" s="83">
        <v>1.263157894736842</v>
      </c>
      <c r="U187" s="52">
        <v>5460</v>
      </c>
      <c r="V187" s="27">
        <v>0</v>
      </c>
      <c r="X187" s="78">
        <f t="shared" si="19"/>
        <v>72655.033795013835</v>
      </c>
      <c r="Z187" s="27">
        <v>72655.033795013835</v>
      </c>
      <c r="AA187" s="52">
        <f t="shared" si="28"/>
        <v>0</v>
      </c>
    </row>
    <row r="188" spans="1:27" hidden="1" x14ac:dyDescent="0.3">
      <c r="A188" s="26">
        <v>3433</v>
      </c>
      <c r="B188" s="27" t="s">
        <v>371</v>
      </c>
      <c r="C188" s="27" t="s">
        <v>49</v>
      </c>
      <c r="D188" s="27">
        <v>0</v>
      </c>
      <c r="E188" s="27">
        <v>0</v>
      </c>
      <c r="F188" s="83">
        <v>0</v>
      </c>
      <c r="G188" s="83">
        <v>0</v>
      </c>
      <c r="H188" s="29">
        <v>0</v>
      </c>
      <c r="I188" s="83">
        <v>23.368421052631579</v>
      </c>
      <c r="J188" s="83">
        <v>0</v>
      </c>
      <c r="K188" s="83">
        <v>350.52631578947364</v>
      </c>
      <c r="L188" s="83">
        <v>0</v>
      </c>
      <c r="M188" s="31">
        <v>23807.747368421049</v>
      </c>
      <c r="N188" s="83">
        <v>15.789473684210527</v>
      </c>
      <c r="O188" s="83">
        <v>236.84210526315792</v>
      </c>
      <c r="P188" s="49">
        <v>2842.105263157895</v>
      </c>
      <c r="Q188" s="83">
        <v>15.789473684210527</v>
      </c>
      <c r="R188" s="50">
        <v>1086.9806094182825</v>
      </c>
      <c r="S188" s="51">
        <v>27736.833240997224</v>
      </c>
      <c r="T188" s="83">
        <v>0</v>
      </c>
      <c r="U188" s="52">
        <v>0</v>
      </c>
      <c r="V188" s="27">
        <v>0</v>
      </c>
      <c r="X188" s="78">
        <f t="shared" si="19"/>
        <v>22189.46659279778</v>
      </c>
      <c r="Z188" s="27">
        <v>22189.46659279778</v>
      </c>
      <c r="AA188" s="52">
        <f t="shared" si="28"/>
        <v>0</v>
      </c>
    </row>
    <row r="189" spans="1:27" hidden="1" x14ac:dyDescent="0.3">
      <c r="A189" s="26">
        <v>4001</v>
      </c>
      <c r="B189" s="27" t="s">
        <v>372</v>
      </c>
      <c r="C189" s="27" t="s">
        <v>49</v>
      </c>
      <c r="D189" s="27">
        <v>0</v>
      </c>
      <c r="E189" s="27">
        <v>0</v>
      </c>
      <c r="F189" s="83">
        <v>0</v>
      </c>
      <c r="G189" s="83">
        <v>0</v>
      </c>
      <c r="H189" s="29">
        <v>0</v>
      </c>
      <c r="I189" s="83">
        <v>22.105263157894736</v>
      </c>
      <c r="J189" s="83">
        <v>0</v>
      </c>
      <c r="K189" s="83">
        <v>331.57894736842104</v>
      </c>
      <c r="L189" s="83">
        <v>0</v>
      </c>
      <c r="M189" s="31">
        <v>22520.842105263157</v>
      </c>
      <c r="N189" s="83">
        <v>6.9473684210526319</v>
      </c>
      <c r="O189" s="83">
        <v>104.21052631578948</v>
      </c>
      <c r="P189" s="49">
        <v>1250.5263157894738</v>
      </c>
      <c r="Q189" s="83">
        <v>0.94736842105263153</v>
      </c>
      <c r="R189" s="50">
        <v>65.21883656509695</v>
      </c>
      <c r="S189" s="51">
        <v>23836.587257617728</v>
      </c>
      <c r="T189" s="83">
        <v>0</v>
      </c>
      <c r="U189" s="52">
        <v>0</v>
      </c>
      <c r="V189" s="27">
        <v>0</v>
      </c>
      <c r="X189" s="78">
        <f t="shared" si="19"/>
        <v>19069.269806094184</v>
      </c>
      <c r="Z189" s="27">
        <v>19069.269806094184</v>
      </c>
      <c r="AA189" s="52">
        <f t="shared" si="28"/>
        <v>0</v>
      </c>
    </row>
    <row r="190" spans="1:27" hidden="1" x14ac:dyDescent="0.3">
      <c r="A190" s="26">
        <v>4019</v>
      </c>
      <c r="B190" s="27" t="s">
        <v>373</v>
      </c>
      <c r="C190" s="27" t="s">
        <v>49</v>
      </c>
      <c r="D190" s="27">
        <v>0</v>
      </c>
      <c r="E190" s="27">
        <v>0</v>
      </c>
      <c r="F190" s="83">
        <v>0</v>
      </c>
      <c r="G190" s="83">
        <v>0</v>
      </c>
      <c r="H190" s="29">
        <v>0</v>
      </c>
      <c r="I190" s="83">
        <v>64.736842105263165</v>
      </c>
      <c r="J190" s="83">
        <v>4.7368421052631575</v>
      </c>
      <c r="K190" s="83">
        <v>971.0526315789474</v>
      </c>
      <c r="L190" s="83">
        <v>56.84210526315789</v>
      </c>
      <c r="M190" s="31">
        <v>69814.610526315795</v>
      </c>
      <c r="N190" s="83">
        <v>17.368421052631579</v>
      </c>
      <c r="O190" s="83">
        <v>260.5263157894737</v>
      </c>
      <c r="P190" s="49">
        <v>3126.3157894736842</v>
      </c>
      <c r="Q190" s="83">
        <v>8.2105263157894743</v>
      </c>
      <c r="R190" s="50">
        <v>565.22991689750688</v>
      </c>
      <c r="S190" s="51">
        <v>73506.156232686975</v>
      </c>
      <c r="T190" s="83">
        <v>0</v>
      </c>
      <c r="U190" s="52">
        <v>0</v>
      </c>
      <c r="V190" s="27">
        <v>0</v>
      </c>
      <c r="X190" s="78">
        <f t="shared" si="19"/>
        <v>58804.924986149585</v>
      </c>
      <c r="Z190" s="27">
        <v>58804.924986149585</v>
      </c>
      <c r="AA190" s="52">
        <f t="shared" si="28"/>
        <v>0</v>
      </c>
    </row>
    <row r="191" spans="1:27" hidden="1" x14ac:dyDescent="0.3">
      <c r="A191" s="26">
        <v>4038</v>
      </c>
      <c r="B191" s="27" t="s">
        <v>374</v>
      </c>
      <c r="C191" s="27" t="s">
        <v>49</v>
      </c>
      <c r="D191" s="27">
        <v>0</v>
      </c>
      <c r="E191" s="27">
        <v>0</v>
      </c>
      <c r="F191" s="83">
        <v>0</v>
      </c>
      <c r="G191" s="83">
        <v>0</v>
      </c>
      <c r="H191" s="29">
        <v>0</v>
      </c>
      <c r="I191" s="83">
        <v>115.26315789473685</v>
      </c>
      <c r="J191" s="83">
        <v>7.5789473684210522</v>
      </c>
      <c r="K191" s="83">
        <v>1728.9473684210527</v>
      </c>
      <c r="L191" s="83">
        <v>113.68421052631578</v>
      </c>
      <c r="M191" s="31">
        <v>125151.53684210527</v>
      </c>
      <c r="N191" s="83">
        <v>4.4210526315789469</v>
      </c>
      <c r="O191" s="83">
        <v>66.315789473684205</v>
      </c>
      <c r="P191" s="49">
        <v>795.78947368421041</v>
      </c>
      <c r="Q191" s="83">
        <v>0.31578947368421051</v>
      </c>
      <c r="R191" s="50">
        <v>21.739612188365648</v>
      </c>
      <c r="S191" s="51">
        <v>125969.06592797785</v>
      </c>
      <c r="T191" s="83">
        <v>0</v>
      </c>
      <c r="U191" s="52">
        <v>0</v>
      </c>
      <c r="V191" s="27">
        <v>0</v>
      </c>
      <c r="X191" s="78">
        <f t="shared" si="19"/>
        <v>100775.25274238229</v>
      </c>
      <c r="Z191" s="27">
        <v>100775.25274238229</v>
      </c>
      <c r="AA191" s="52">
        <f t="shared" si="28"/>
        <v>0</v>
      </c>
    </row>
    <row r="192" spans="1:27" hidden="1" x14ac:dyDescent="0.3">
      <c r="A192" s="26">
        <v>5201</v>
      </c>
      <c r="B192" s="27" t="s">
        <v>375</v>
      </c>
      <c r="C192" s="27" t="s">
        <v>49</v>
      </c>
      <c r="D192" s="27">
        <v>0</v>
      </c>
      <c r="E192" s="27">
        <v>0</v>
      </c>
      <c r="F192" s="83">
        <v>0</v>
      </c>
      <c r="G192" s="83">
        <v>0</v>
      </c>
      <c r="H192" s="29">
        <v>0</v>
      </c>
      <c r="I192" s="83">
        <v>24.947368421052634</v>
      </c>
      <c r="J192" s="83">
        <v>0</v>
      </c>
      <c r="K192" s="83">
        <v>374.21052631578948</v>
      </c>
      <c r="L192" s="83">
        <v>0</v>
      </c>
      <c r="M192" s="31">
        <v>25416.378947368419</v>
      </c>
      <c r="N192" s="83">
        <v>1.8947368421052631</v>
      </c>
      <c r="O192" s="83">
        <v>28.421052631578945</v>
      </c>
      <c r="P192" s="49">
        <v>341.05263157894734</v>
      </c>
      <c r="Q192" s="83">
        <v>0.94736842105263153</v>
      </c>
      <c r="R192" s="50">
        <v>65.21883656509695</v>
      </c>
      <c r="S192" s="51">
        <v>25822.650415512464</v>
      </c>
      <c r="T192" s="83">
        <v>0</v>
      </c>
      <c r="U192" s="52">
        <v>0</v>
      </c>
      <c r="V192" s="27">
        <v>0</v>
      </c>
      <c r="X192" s="78">
        <f t="shared" si="19"/>
        <v>20658.120332409973</v>
      </c>
      <c r="Z192" s="27">
        <v>20658.120332409973</v>
      </c>
      <c r="AA192" s="52">
        <f t="shared" si="28"/>
        <v>0</v>
      </c>
    </row>
    <row r="193" spans="1:27" hidden="1" x14ac:dyDescent="0.3">
      <c r="A193" s="26">
        <v>5203</v>
      </c>
      <c r="B193" s="27" t="s">
        <v>159</v>
      </c>
      <c r="C193" s="27" t="s">
        <v>27</v>
      </c>
      <c r="D193" s="27">
        <v>0</v>
      </c>
      <c r="E193" s="27">
        <v>0</v>
      </c>
      <c r="F193" s="83">
        <v>0</v>
      </c>
      <c r="G193" s="83">
        <v>0</v>
      </c>
      <c r="H193" s="29">
        <v>0</v>
      </c>
      <c r="I193" s="83">
        <v>50.210526315789473</v>
      </c>
      <c r="J193" s="83">
        <v>41.05263157894737</v>
      </c>
      <c r="K193" s="83">
        <v>753.15789473684208</v>
      </c>
      <c r="L193" s="83">
        <v>615.78947368421052</v>
      </c>
      <c r="M193" s="31">
        <v>92978.905263157896</v>
      </c>
      <c r="N193" s="83">
        <v>0.94736842105263153</v>
      </c>
      <c r="O193" s="83">
        <v>14.210526315789473</v>
      </c>
      <c r="P193" s="49">
        <v>170.52631578947367</v>
      </c>
      <c r="Q193" s="83">
        <v>0.63157894736842102</v>
      </c>
      <c r="R193" s="50">
        <v>43.479224376731295</v>
      </c>
      <c r="S193" s="51">
        <v>93192.910803324106</v>
      </c>
      <c r="T193" s="83">
        <v>0</v>
      </c>
      <c r="U193" s="52">
        <v>0</v>
      </c>
      <c r="V193" s="27">
        <v>0</v>
      </c>
      <c r="X193" s="78">
        <f t="shared" si="19"/>
        <v>74554.328642659282</v>
      </c>
      <c r="Z193" s="27">
        <v>74554.328642659282</v>
      </c>
      <c r="AA193" s="52">
        <f>Z193-X193</f>
        <v>0</v>
      </c>
    </row>
    <row r="194" spans="1:27" hidden="1" x14ac:dyDescent="0.3">
      <c r="A194" s="26">
        <v>5205</v>
      </c>
      <c r="B194" s="27" t="s">
        <v>376</v>
      </c>
      <c r="C194" s="27" t="s">
        <v>49</v>
      </c>
      <c r="D194" s="27">
        <v>0</v>
      </c>
      <c r="E194" s="27">
        <v>0</v>
      </c>
      <c r="F194" s="83">
        <v>0</v>
      </c>
      <c r="G194" s="83">
        <v>0</v>
      </c>
      <c r="H194" s="29">
        <v>0</v>
      </c>
      <c r="I194" s="83">
        <v>22.10526315789474</v>
      </c>
      <c r="J194" s="83">
        <v>15.473684210526315</v>
      </c>
      <c r="K194" s="83">
        <v>331.57894736842104</v>
      </c>
      <c r="L194" s="83">
        <v>232.10526315789474</v>
      </c>
      <c r="M194" s="31">
        <v>38285.431578947362</v>
      </c>
      <c r="N194" s="83">
        <v>0.63157894736842102</v>
      </c>
      <c r="O194" s="83">
        <v>9.473684210526315</v>
      </c>
      <c r="P194" s="49">
        <v>113.68421052631578</v>
      </c>
      <c r="Q194" s="83">
        <v>0.63157894736842102</v>
      </c>
      <c r="R194" s="50">
        <v>43.479224376731295</v>
      </c>
      <c r="S194" s="51">
        <v>38442.595013850405</v>
      </c>
      <c r="T194" s="83">
        <v>0</v>
      </c>
      <c r="U194" s="52">
        <v>0</v>
      </c>
      <c r="V194" s="27">
        <v>0</v>
      </c>
      <c r="X194" s="78">
        <f t="shared" si="19"/>
        <v>30754.076011080324</v>
      </c>
      <c r="Z194" s="27">
        <v>30754.076011080324</v>
      </c>
      <c r="AA194" s="52">
        <f>Z194-X194</f>
        <v>0</v>
      </c>
    </row>
    <row r="195" spans="1:27" s="57" customFormat="1" x14ac:dyDescent="0.3">
      <c r="A195" s="58"/>
      <c r="F195" s="58"/>
      <c r="G195" s="58"/>
      <c r="H195" s="59"/>
      <c r="I195" s="58"/>
      <c r="J195" s="58"/>
      <c r="K195" s="58"/>
      <c r="L195" s="58"/>
      <c r="M195" s="60"/>
      <c r="N195" s="58"/>
      <c r="O195" s="58"/>
      <c r="P195" s="61"/>
      <c r="Q195" s="62"/>
      <c r="R195" s="62"/>
      <c r="S195" s="61"/>
      <c r="T195" s="63"/>
      <c r="U195" s="64"/>
    </row>
    <row r="196" spans="1:27" s="67" customFormat="1" x14ac:dyDescent="0.3">
      <c r="A196" s="89"/>
      <c r="F196" s="89"/>
      <c r="G196" s="89"/>
      <c r="H196" s="90"/>
      <c r="I196" s="89"/>
      <c r="J196" s="89"/>
      <c r="K196" s="89"/>
      <c r="L196" s="89"/>
      <c r="M196" s="91"/>
      <c r="N196" s="89"/>
      <c r="O196" s="89"/>
      <c r="P196" s="92"/>
      <c r="Q196" s="93"/>
      <c r="R196" s="93"/>
      <c r="S196" s="92"/>
      <c r="T196" s="94"/>
      <c r="U196" s="95"/>
    </row>
    <row r="197" spans="1:27" x14ac:dyDescent="0.3">
      <c r="A197" s="26">
        <v>7004</v>
      </c>
      <c r="B197" s="27" t="s">
        <v>378</v>
      </c>
      <c r="D197" s="27" t="e">
        <v>#N/A</v>
      </c>
      <c r="E197" s="27" t="e">
        <v>#N/A</v>
      </c>
      <c r="F197" s="83"/>
      <c r="G197" s="26">
        <v>0</v>
      </c>
      <c r="H197" s="29">
        <v>0</v>
      </c>
      <c r="I197" s="83"/>
      <c r="J197" s="26">
        <v>0</v>
      </c>
      <c r="L197" s="26">
        <v>0</v>
      </c>
      <c r="M197" s="31">
        <v>7317</v>
      </c>
      <c r="N197" s="83"/>
      <c r="O197" s="83"/>
      <c r="P197" s="49">
        <v>122.4</v>
      </c>
      <c r="Q197" s="83"/>
      <c r="R197" s="83">
        <v>1</v>
      </c>
      <c r="S197" s="51"/>
      <c r="T197" s="83"/>
      <c r="U197" s="52">
        <v>0</v>
      </c>
      <c r="X197" s="52">
        <f>SUM(X6:X194)</f>
        <v>8227844.2371722935</v>
      </c>
    </row>
    <row r="198" spans="1:27" x14ac:dyDescent="0.3">
      <c r="A198" s="26">
        <v>7009</v>
      </c>
      <c r="B198" s="27" t="s">
        <v>379</v>
      </c>
      <c r="D198" s="27" t="e">
        <v>#N/A</v>
      </c>
      <c r="E198" s="27" t="e">
        <v>#N/A</v>
      </c>
      <c r="F198" s="83"/>
      <c r="G198" s="26">
        <v>0</v>
      </c>
      <c r="H198" s="29">
        <v>0</v>
      </c>
      <c r="I198" s="83"/>
      <c r="J198" s="26">
        <v>0</v>
      </c>
      <c r="L198" s="26">
        <v>0</v>
      </c>
      <c r="M198" s="31">
        <v>18536.400000000001</v>
      </c>
      <c r="N198" s="83"/>
      <c r="O198" s="83"/>
      <c r="P198" s="49">
        <v>1417.8000000000002</v>
      </c>
      <c r="Q198" s="83"/>
      <c r="R198" s="83">
        <v>10</v>
      </c>
      <c r="S198" s="51"/>
      <c r="T198" s="83"/>
      <c r="U198" s="52">
        <v>0</v>
      </c>
    </row>
    <row r="199" spans="1:27" x14ac:dyDescent="0.3">
      <c r="A199" s="26">
        <v>7012</v>
      </c>
      <c r="B199" s="27" t="s">
        <v>380</v>
      </c>
      <c r="D199" s="27" t="e">
        <v>#N/A</v>
      </c>
      <c r="E199" s="27" t="e">
        <v>#N/A</v>
      </c>
      <c r="F199" s="83"/>
      <c r="G199" s="26">
        <v>0</v>
      </c>
      <c r="H199" s="29">
        <v>0</v>
      </c>
      <c r="I199" s="83"/>
      <c r="J199" s="26">
        <v>0</v>
      </c>
      <c r="L199" s="26">
        <v>0</v>
      </c>
      <c r="M199" s="31">
        <v>8373.9</v>
      </c>
      <c r="N199" s="83"/>
      <c r="O199" s="83"/>
      <c r="P199" s="49">
        <v>520.20000000000005</v>
      </c>
      <c r="Q199" s="83"/>
      <c r="R199" s="83">
        <v>4</v>
      </c>
      <c r="S199" s="51"/>
      <c r="T199" s="83"/>
      <c r="U199" s="52">
        <v>1820</v>
      </c>
    </row>
    <row r="200" spans="1:27" x14ac:dyDescent="0.3">
      <c r="A200" s="26">
        <v>7013</v>
      </c>
      <c r="B200" s="27" t="s">
        <v>420</v>
      </c>
      <c r="D200" s="27" t="e">
        <v>#N/A</v>
      </c>
      <c r="E200" s="27" t="e">
        <v>#N/A</v>
      </c>
      <c r="F200" s="83"/>
      <c r="G200" s="26">
        <v>0</v>
      </c>
      <c r="H200" s="29">
        <v>0</v>
      </c>
      <c r="I200" s="83"/>
      <c r="J200" s="26">
        <v>0</v>
      </c>
      <c r="L200" s="26">
        <v>0</v>
      </c>
      <c r="M200" s="31">
        <v>1056.9000000000001</v>
      </c>
      <c r="N200" s="83"/>
      <c r="O200" s="83"/>
      <c r="P200" s="49">
        <v>0</v>
      </c>
      <c r="Q200" s="83"/>
      <c r="R200" s="83">
        <v>0</v>
      </c>
      <c r="S200" s="51"/>
      <c r="T200" s="83"/>
      <c r="U200" s="52">
        <v>0</v>
      </c>
    </row>
    <row r="201" spans="1:27" x14ac:dyDescent="0.3">
      <c r="A201" s="26">
        <v>7031</v>
      </c>
      <c r="B201" s="27" t="s">
        <v>381</v>
      </c>
      <c r="D201" s="27" t="e">
        <v>#N/A</v>
      </c>
      <c r="E201" s="27" t="e">
        <v>#N/A</v>
      </c>
      <c r="F201" s="83"/>
      <c r="G201" s="26">
        <v>0</v>
      </c>
      <c r="H201" s="29">
        <v>0</v>
      </c>
      <c r="I201" s="83"/>
      <c r="J201" s="26">
        <v>0</v>
      </c>
      <c r="L201" s="26">
        <v>0</v>
      </c>
      <c r="M201" s="31">
        <v>15528.3</v>
      </c>
      <c r="N201" s="83"/>
      <c r="O201" s="83"/>
      <c r="P201" s="49">
        <v>265.20000000000005</v>
      </c>
      <c r="Q201" s="83"/>
      <c r="R201" s="83">
        <v>2</v>
      </c>
      <c r="S201" s="51"/>
      <c r="T201" s="83"/>
      <c r="U201" s="52">
        <v>9100</v>
      </c>
    </row>
    <row r="202" spans="1:27" x14ac:dyDescent="0.3">
      <c r="A202" s="26">
        <v>7034</v>
      </c>
      <c r="B202" s="27" t="s">
        <v>382</v>
      </c>
      <c r="D202" s="27" t="e">
        <v>#N/A</v>
      </c>
      <c r="E202" s="27" t="e">
        <v>#N/A</v>
      </c>
      <c r="F202" s="83"/>
      <c r="G202" s="26">
        <v>0</v>
      </c>
      <c r="H202" s="29">
        <v>0</v>
      </c>
      <c r="I202" s="83"/>
      <c r="J202" s="26">
        <v>0</v>
      </c>
      <c r="L202" s="26">
        <v>0</v>
      </c>
      <c r="M202" s="31">
        <v>4146.3</v>
      </c>
      <c r="N202" s="83"/>
      <c r="O202" s="83"/>
      <c r="P202" s="49">
        <v>265.20000000000005</v>
      </c>
      <c r="Q202" s="83"/>
      <c r="R202" s="83">
        <v>0</v>
      </c>
      <c r="S202" s="51"/>
      <c r="T202" s="83"/>
      <c r="U202" s="52">
        <v>0</v>
      </c>
    </row>
    <row r="203" spans="1:27" x14ac:dyDescent="0.3">
      <c r="A203" s="26">
        <v>7038</v>
      </c>
      <c r="B203" s="27" t="s">
        <v>421</v>
      </c>
      <c r="D203" s="27" t="e">
        <v>#N/A</v>
      </c>
      <c r="E203" s="27" t="e">
        <v>#N/A</v>
      </c>
      <c r="F203" s="83"/>
      <c r="G203" s="26">
        <v>0</v>
      </c>
      <c r="H203" s="29">
        <v>0</v>
      </c>
      <c r="I203" s="83"/>
      <c r="J203" s="26">
        <v>0</v>
      </c>
      <c r="L203" s="26">
        <v>0</v>
      </c>
      <c r="M203" s="31">
        <v>9186.9</v>
      </c>
      <c r="N203" s="83"/>
      <c r="O203" s="83"/>
      <c r="P203" s="49">
        <v>765.00000000000011</v>
      </c>
      <c r="Q203" s="83"/>
      <c r="R203" s="83">
        <v>0</v>
      </c>
      <c r="S203" s="51"/>
      <c r="T203" s="83"/>
      <c r="U203" s="52">
        <v>0</v>
      </c>
    </row>
    <row r="204" spans="1:27" x14ac:dyDescent="0.3">
      <c r="A204" s="26">
        <v>7045</v>
      </c>
      <c r="B204" s="27" t="s">
        <v>422</v>
      </c>
      <c r="D204" s="27" t="e">
        <v>#N/A</v>
      </c>
      <c r="E204" s="27" t="e">
        <v>#N/A</v>
      </c>
      <c r="F204" s="83"/>
      <c r="G204" s="26">
        <v>0</v>
      </c>
      <c r="H204" s="29">
        <v>0</v>
      </c>
      <c r="I204" s="83"/>
      <c r="J204" s="26">
        <v>0</v>
      </c>
      <c r="L204" s="26">
        <v>0</v>
      </c>
      <c r="M204" s="31">
        <v>1056.9000000000001</v>
      </c>
      <c r="N204" s="83"/>
      <c r="O204" s="83"/>
      <c r="P204" s="49">
        <v>132.60000000000002</v>
      </c>
      <c r="Q204" s="83"/>
      <c r="R204" s="83">
        <v>1</v>
      </c>
      <c r="S204" s="51"/>
      <c r="T204" s="83"/>
      <c r="U204" s="52">
        <v>0</v>
      </c>
    </row>
    <row r="205" spans="1:27" x14ac:dyDescent="0.3">
      <c r="A205" s="26">
        <v>7052</v>
      </c>
      <c r="B205" s="27" t="s">
        <v>423</v>
      </c>
      <c r="D205" s="27" t="e">
        <v>#N/A</v>
      </c>
      <c r="E205" s="27" t="e">
        <v>#N/A</v>
      </c>
      <c r="F205" s="83"/>
      <c r="G205" s="26">
        <v>0</v>
      </c>
      <c r="H205" s="29">
        <v>0</v>
      </c>
      <c r="I205" s="83"/>
      <c r="J205" s="26">
        <v>0</v>
      </c>
      <c r="L205" s="26">
        <v>0</v>
      </c>
      <c r="M205" s="31">
        <v>1056.9000000000001</v>
      </c>
      <c r="N205" s="83"/>
      <c r="O205" s="83"/>
      <c r="P205" s="49">
        <v>0</v>
      </c>
      <c r="Q205" s="83"/>
      <c r="R205" s="83">
        <v>0</v>
      </c>
      <c r="S205" s="51"/>
      <c r="T205" s="83"/>
      <c r="U205" s="52">
        <v>0</v>
      </c>
    </row>
    <row r="206" spans="1:27" x14ac:dyDescent="0.3">
      <c r="A206" s="26">
        <v>2184</v>
      </c>
      <c r="B206" s="27" t="s">
        <v>383</v>
      </c>
      <c r="D206" s="27" t="e">
        <v>#N/A</v>
      </c>
      <c r="E206" s="27" t="e">
        <v>#N/A</v>
      </c>
      <c r="F206" s="83"/>
      <c r="G206" s="26">
        <v>0</v>
      </c>
      <c r="H206" s="29">
        <v>0</v>
      </c>
      <c r="I206" s="83"/>
      <c r="J206" s="26">
        <v>0</v>
      </c>
      <c r="L206" s="26">
        <v>0</v>
      </c>
      <c r="M206" s="31">
        <v>61056.299999999996</v>
      </c>
      <c r="N206" s="83"/>
      <c r="O206" s="83"/>
      <c r="P206" s="49">
        <v>1142.4000000000001</v>
      </c>
      <c r="Q206" s="83"/>
      <c r="R206" s="83">
        <v>1</v>
      </c>
      <c r="S206" s="51"/>
      <c r="T206" s="83"/>
      <c r="U206" s="52">
        <v>0</v>
      </c>
    </row>
    <row r="208" spans="1:27" x14ac:dyDescent="0.3">
      <c r="W208" s="27" t="s">
        <v>384</v>
      </c>
      <c r="X208" s="54">
        <f>SUMIFS(X6:X194,C6:C194,"Chq Bk")+SUMIFS(X6:X194,C6:C194,"Non Chq Bk")+SUMIFS(X6:X194,C6:C194,"EPA")</f>
        <v>5346480.1507811658</v>
      </c>
    </row>
    <row r="209" spans="23:24" x14ac:dyDescent="0.3">
      <c r="W209" s="27" t="s">
        <v>49</v>
      </c>
      <c r="X209" s="54">
        <f>SUMIFS(X6:X194,C6:C194,W209)</f>
        <v>2881364.0863911356</v>
      </c>
    </row>
    <row r="210" spans="23:24" x14ac:dyDescent="0.3">
      <c r="X210" s="54">
        <f>SUM(X208:X209)</f>
        <v>8227844.2371723019</v>
      </c>
    </row>
    <row r="211" spans="23:24" x14ac:dyDescent="0.3">
      <c r="X211" s="55">
        <f>X210-X197</f>
        <v>8.3819031715393066E-9</v>
      </c>
    </row>
  </sheetData>
  <autoFilter ref="A5:CI194" xr:uid="{CF77D9A1-C737-448C-B7BF-284B8D04B37D}">
    <filterColumn colId="1">
      <filters>
        <filter val="Adderley Nursery School"/>
      </filters>
    </filterColumn>
  </autoFilter>
  <pageMargins left="0.7" right="0.7" top="0.75" bottom="0.75" header="0.3" footer="0.3"/>
  <headerFooter>
    <oddFooter>&amp;C_x000D_&amp;1#&amp;"Calibri"&amp;10&amp;K000000 OFFICIAL</oddFooter>
  </headerFooter>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A9DD1-809E-41B3-9F68-7CFD8015FDB8}">
  <sheetPr codeName="Sheet7"/>
  <dimension ref="A2:WXC72"/>
  <sheetViews>
    <sheetView topLeftCell="A23" zoomScale="78" zoomScaleNormal="78" workbookViewId="0">
      <selection activeCell="A66" sqref="A66:E67"/>
    </sheetView>
  </sheetViews>
  <sheetFormatPr defaultRowHeight="14.5" x14ac:dyDescent="0.35"/>
  <cols>
    <col min="1" max="1" width="14" style="130" customWidth="1"/>
    <col min="2" max="2" width="48.26953125" style="130" customWidth="1"/>
    <col min="3" max="3" width="35.7265625" style="130" customWidth="1"/>
    <col min="4" max="4" width="18.1796875" style="130" customWidth="1"/>
    <col min="5" max="5" width="8.7265625" style="130" bestFit="1" customWidth="1"/>
    <col min="6" max="6" width="14.81640625" style="130" customWidth="1"/>
    <col min="7" max="7" width="17.26953125" style="130" customWidth="1"/>
    <col min="8" max="8" width="15.81640625" style="100" customWidth="1"/>
    <col min="9" max="9" width="2.26953125" style="100" customWidth="1"/>
    <col min="10" max="10" width="14.26953125" style="100" customWidth="1"/>
    <col min="11" max="11" width="14.7265625" style="100" customWidth="1"/>
    <col min="12" max="16" width="0" style="100" hidden="1" customWidth="1"/>
    <col min="17" max="17" width="9.1796875" style="100"/>
    <col min="18" max="19" width="13.81640625" style="100" bestFit="1" customWidth="1"/>
    <col min="20" max="20" width="11.1796875" style="146" bestFit="1" customWidth="1"/>
    <col min="21" max="47" width="9.1796875" style="100"/>
    <col min="48" max="16175" width="9.1796875" style="119"/>
    <col min="16176" max="16384" width="9.1796875" style="100"/>
  </cols>
  <sheetData>
    <row r="2" spans="1:3" s="97" customFormat="1" ht="18.5" x14ac:dyDescent="0.45">
      <c r="A2" s="145" t="s">
        <v>424</v>
      </c>
      <c r="B2" s="96"/>
      <c r="C2" s="96"/>
    </row>
    <row r="3" spans="1:3" s="100" customFormat="1" ht="76.900000000000006" customHeight="1" x14ac:dyDescent="0.5">
      <c r="A3" s="98"/>
      <c r="B3" s="99"/>
      <c r="C3" s="99"/>
    </row>
    <row r="4" spans="1:3" s="100" customFormat="1" ht="79.150000000000006" customHeight="1" x14ac:dyDescent="0.5">
      <c r="A4" s="98" t="s">
        <v>425</v>
      </c>
      <c r="B4" s="99"/>
      <c r="C4" s="99"/>
    </row>
    <row r="5" spans="1:3" s="100" customFormat="1" ht="15.5" x14ac:dyDescent="0.35">
      <c r="A5" s="101" t="s">
        <v>426</v>
      </c>
      <c r="B5" s="101"/>
      <c r="C5" s="101"/>
    </row>
    <row r="6" spans="1:3" s="100" customFormat="1" ht="26" x14ac:dyDescent="0.35">
      <c r="A6" s="102" t="s">
        <v>427</v>
      </c>
      <c r="B6" s="102"/>
      <c r="C6" s="147" t="s">
        <v>428</v>
      </c>
    </row>
    <row r="7" spans="1:3" s="100" customFormat="1" x14ac:dyDescent="0.35">
      <c r="A7" s="104">
        <v>330</v>
      </c>
      <c r="B7" s="105" t="s">
        <v>429</v>
      </c>
      <c r="C7" s="148">
        <v>6724230</v>
      </c>
    </row>
    <row r="8" spans="1:3" s="100" customFormat="1" x14ac:dyDescent="0.35">
      <c r="A8" s="103"/>
      <c r="B8" s="103"/>
      <c r="C8" s="103"/>
    </row>
    <row r="9" spans="1:3" s="106" customFormat="1" ht="15.5" x14ac:dyDescent="0.35">
      <c r="A9" s="145" t="s">
        <v>430</v>
      </c>
      <c r="B9" s="103"/>
      <c r="C9" s="103"/>
    </row>
    <row r="10" spans="1:3" s="100" customFormat="1" ht="15.5" x14ac:dyDescent="0.35">
      <c r="A10" s="145" t="s">
        <v>431</v>
      </c>
      <c r="B10" s="103"/>
      <c r="C10" s="103"/>
    </row>
    <row r="11" spans="1:3" s="107" customFormat="1" ht="15.5" x14ac:dyDescent="0.35">
      <c r="A11" s="145" t="s">
        <v>432</v>
      </c>
      <c r="B11" s="103"/>
      <c r="C11" s="103"/>
    </row>
    <row r="12" spans="1:3" s="107" customFormat="1" ht="15.5" x14ac:dyDescent="0.35">
      <c r="A12" s="145" t="s">
        <v>433</v>
      </c>
      <c r="B12" s="103"/>
      <c r="C12" s="103"/>
    </row>
    <row r="13" spans="1:3" s="107" customFormat="1" ht="15.5" x14ac:dyDescent="0.35">
      <c r="A13" s="145" t="s">
        <v>434</v>
      </c>
      <c r="B13" s="103"/>
      <c r="C13" s="103"/>
    </row>
    <row r="17" spans="1:20" s="107" customFormat="1" ht="15.5" x14ac:dyDescent="0.35">
      <c r="A17" s="527" t="s">
        <v>435</v>
      </c>
      <c r="B17" s="527"/>
      <c r="C17" s="527"/>
      <c r="D17" s="527"/>
      <c r="E17" s="527"/>
      <c r="F17" s="527"/>
      <c r="G17" s="527"/>
      <c r="H17" s="527"/>
      <c r="I17" s="150"/>
      <c r="J17" s="109"/>
      <c r="T17" s="149"/>
    </row>
    <row r="18" spans="1:20" s="107" customFormat="1" x14ac:dyDescent="0.35">
      <c r="A18" s="98"/>
      <c r="B18" s="103"/>
      <c r="C18" s="103"/>
      <c r="D18" s="103"/>
      <c r="E18" s="103"/>
      <c r="F18" s="103"/>
      <c r="G18" s="103"/>
      <c r="H18" s="103"/>
      <c r="I18" s="103"/>
      <c r="J18" s="108"/>
      <c r="T18" s="149"/>
    </row>
    <row r="19" spans="1:20" s="107" customFormat="1" x14ac:dyDescent="0.35">
      <c r="A19" s="103"/>
      <c r="B19" s="103"/>
      <c r="C19" s="103"/>
      <c r="D19" s="103"/>
      <c r="E19" s="103"/>
      <c r="F19" s="103"/>
      <c r="G19" s="103"/>
      <c r="H19" s="103"/>
      <c r="I19" s="103"/>
      <c r="J19" s="108"/>
      <c r="T19" s="149"/>
    </row>
    <row r="20" spans="1:20" s="107" customFormat="1" ht="14" x14ac:dyDescent="0.3">
      <c r="A20" s="110">
        <v>27</v>
      </c>
      <c r="B20" s="111" t="s">
        <v>436</v>
      </c>
      <c r="C20" s="109"/>
      <c r="D20" s="112"/>
      <c r="E20" s="112"/>
      <c r="F20" s="112"/>
      <c r="G20" s="112"/>
      <c r="H20" s="112"/>
      <c r="I20" s="112"/>
      <c r="J20" s="109"/>
      <c r="T20" s="149"/>
    </row>
    <row r="21" spans="1:20" s="107" customFormat="1" ht="14" x14ac:dyDescent="0.3">
      <c r="A21" s="113">
        <v>68000</v>
      </c>
      <c r="B21" s="111" t="s">
        <v>437</v>
      </c>
      <c r="C21" s="109"/>
      <c r="D21" s="112"/>
      <c r="E21" s="112"/>
      <c r="F21" s="112"/>
      <c r="G21" s="112"/>
      <c r="H21" s="112"/>
      <c r="I21" s="112"/>
      <c r="J21" s="109"/>
      <c r="T21" s="149"/>
    </row>
    <row r="22" spans="1:20" s="107" customFormat="1" x14ac:dyDescent="0.35">
      <c r="A22" s="113">
        <v>1836000</v>
      </c>
      <c r="B22" s="111" t="s">
        <v>438</v>
      </c>
      <c r="C22" s="108"/>
      <c r="D22" s="103"/>
      <c r="E22" s="103"/>
      <c r="F22" s="103"/>
      <c r="G22" s="103"/>
      <c r="H22" s="103"/>
      <c r="I22" s="103"/>
      <c r="J22" s="108"/>
      <c r="T22" s="149"/>
    </row>
    <row r="23" spans="1:20" s="107" customFormat="1" ht="14" x14ac:dyDescent="0.3">
      <c r="A23" s="113">
        <v>4312230</v>
      </c>
      <c r="B23" s="111" t="s">
        <v>439</v>
      </c>
      <c r="C23" s="109"/>
      <c r="D23" s="112"/>
      <c r="E23" s="112"/>
      <c r="F23" s="112"/>
      <c r="G23" s="112"/>
      <c r="H23" s="112"/>
      <c r="I23" s="112"/>
      <c r="J23" s="109"/>
      <c r="K23" s="109"/>
      <c r="L23" s="109"/>
      <c r="T23" s="149"/>
    </row>
    <row r="24" spans="1:20" s="107" customFormat="1" ht="14" x14ac:dyDescent="0.3">
      <c r="A24" s="113">
        <v>576000</v>
      </c>
      <c r="B24" s="111" t="s">
        <v>440</v>
      </c>
      <c r="C24" s="109"/>
      <c r="D24" s="112"/>
      <c r="E24" s="112"/>
      <c r="F24" s="112"/>
      <c r="G24" s="112"/>
      <c r="H24" s="112"/>
      <c r="I24" s="112"/>
      <c r="J24" s="109"/>
      <c r="K24" s="109"/>
      <c r="L24" s="109"/>
      <c r="T24" s="149"/>
    </row>
    <row r="25" spans="1:20" s="107" customFormat="1" ht="14" x14ac:dyDescent="0.3">
      <c r="A25" s="109"/>
      <c r="B25" s="109"/>
      <c r="C25" s="112"/>
      <c r="D25" s="112"/>
      <c r="E25" s="112"/>
      <c r="F25" s="112"/>
      <c r="G25" s="112"/>
      <c r="H25" s="112"/>
      <c r="I25" s="112"/>
      <c r="J25" s="109"/>
      <c r="K25" s="109"/>
      <c r="L25" s="109"/>
      <c r="T25" s="149"/>
    </row>
    <row r="26" spans="1:20" s="107" customFormat="1" x14ac:dyDescent="0.35">
      <c r="A26" s="114">
        <v>1</v>
      </c>
      <c r="B26" s="114">
        <v>2</v>
      </c>
      <c r="C26" s="114">
        <v>3</v>
      </c>
      <c r="D26" s="114">
        <v>4</v>
      </c>
      <c r="E26" s="114">
        <v>5</v>
      </c>
      <c r="F26" s="114">
        <v>6</v>
      </c>
      <c r="G26" s="114">
        <v>7</v>
      </c>
      <c r="H26" s="114">
        <v>8</v>
      </c>
      <c r="I26" s="114"/>
      <c r="J26" s="115"/>
      <c r="K26" s="115"/>
      <c r="L26" s="115"/>
      <c r="Q26" s="151"/>
      <c r="R26" s="151"/>
      <c r="S26" s="152" t="s">
        <v>500</v>
      </c>
      <c r="T26" s="153"/>
    </row>
    <row r="27" spans="1:20" ht="72.5" x14ac:dyDescent="0.35">
      <c r="A27" s="154" t="s">
        <v>225</v>
      </c>
      <c r="B27" s="154" t="s">
        <v>441</v>
      </c>
      <c r="C27" s="154" t="s">
        <v>442</v>
      </c>
      <c r="D27" s="154" t="s">
        <v>49</v>
      </c>
      <c r="E27" s="154" t="s">
        <v>443</v>
      </c>
      <c r="F27" s="155" t="s">
        <v>444</v>
      </c>
      <c r="G27" s="155" t="s">
        <v>445</v>
      </c>
      <c r="H27" s="156" t="s">
        <v>446</v>
      </c>
      <c r="I27" s="156"/>
      <c r="J27" s="155" t="s">
        <v>447</v>
      </c>
      <c r="K27" s="155" t="s">
        <v>448</v>
      </c>
      <c r="L27" s="116"/>
      <c r="M27" s="100" t="s">
        <v>501</v>
      </c>
      <c r="N27" s="100" t="s">
        <v>502</v>
      </c>
      <c r="P27" s="100" t="s">
        <v>503</v>
      </c>
      <c r="Q27" s="130"/>
      <c r="R27" s="157" t="s">
        <v>504</v>
      </c>
      <c r="S27" s="158" t="s">
        <v>505</v>
      </c>
      <c r="T27" s="159" t="s">
        <v>506</v>
      </c>
    </row>
    <row r="28" spans="1:20" x14ac:dyDescent="0.35">
      <c r="A28" s="160">
        <v>1000</v>
      </c>
      <c r="B28" s="161" t="s">
        <v>207</v>
      </c>
      <c r="C28" s="162" t="s">
        <v>449</v>
      </c>
      <c r="D28" s="162" t="s">
        <v>450</v>
      </c>
      <c r="E28" s="161" t="s">
        <v>451</v>
      </c>
      <c r="F28" s="163">
        <v>3210</v>
      </c>
      <c r="G28" s="163">
        <v>402336.17000000004</v>
      </c>
      <c r="H28" s="164">
        <f>68000+(F28/$F$55*$A$23)+(576000*G28/$G$55)</f>
        <v>190343.9087342837</v>
      </c>
      <c r="I28" s="165"/>
      <c r="J28" s="117">
        <v>18018.908734283697</v>
      </c>
      <c r="K28" s="117">
        <v>177199.68141716847</v>
      </c>
      <c r="L28" s="118">
        <v>0</v>
      </c>
      <c r="Q28" s="130"/>
      <c r="R28" s="166">
        <f>J28+K28</f>
        <v>195218.59015145217</v>
      </c>
      <c r="S28" s="167">
        <v>190451.84783912112</v>
      </c>
      <c r="T28" s="168">
        <f>R28-S28</f>
        <v>4766.7423123310436</v>
      </c>
    </row>
    <row r="29" spans="1:20" x14ac:dyDescent="0.35">
      <c r="A29" s="160">
        <v>1001</v>
      </c>
      <c r="B29" s="161" t="s">
        <v>181</v>
      </c>
      <c r="C29" s="162" t="s">
        <v>449</v>
      </c>
      <c r="D29" s="162" t="s">
        <v>450</v>
      </c>
      <c r="E29" s="161" t="s">
        <v>452</v>
      </c>
      <c r="F29" s="163">
        <v>3585</v>
      </c>
      <c r="G29" s="163">
        <v>280121.72000000003</v>
      </c>
      <c r="H29" s="164">
        <f t="shared" ref="H29:H54" si="0">68000+(F29/$F$55*$A$23)+(576000*G29/$G$55)</f>
        <v>197057.94851677286</v>
      </c>
      <c r="I29" s="165"/>
      <c r="J29" s="117">
        <v>12545.448516772858</v>
      </c>
      <c r="K29" s="117">
        <v>185251.27083041592</v>
      </c>
      <c r="L29" s="118">
        <v>0</v>
      </c>
      <c r="Q29" s="130"/>
      <c r="R29" s="166">
        <f t="shared" ref="R29:R54" si="1">J29+K29</f>
        <v>197796.71934718877</v>
      </c>
      <c r="S29" s="167">
        <v>192840.47125457475</v>
      </c>
      <c r="T29" s="168">
        <f t="shared" ref="T29:T54" si="2">R29-S29</f>
        <v>4956.248092614027</v>
      </c>
    </row>
    <row r="30" spans="1:20" x14ac:dyDescent="0.35">
      <c r="A30" s="160">
        <v>1002</v>
      </c>
      <c r="B30" s="161" t="s">
        <v>46</v>
      </c>
      <c r="C30" s="162" t="s">
        <v>449</v>
      </c>
      <c r="D30" s="162" t="s">
        <v>450</v>
      </c>
      <c r="E30" s="161" t="s">
        <v>453</v>
      </c>
      <c r="F30" s="163">
        <v>5040</v>
      </c>
      <c r="G30" s="163">
        <v>727538.89999999991</v>
      </c>
      <c r="H30" s="164">
        <f t="shared" si="0"/>
        <v>264383.34203395422</v>
      </c>
      <c r="I30" s="165"/>
      <c r="J30" s="117">
        <v>32583.342033954221</v>
      </c>
      <c r="K30" s="117">
        <v>245638.19142977174</v>
      </c>
      <c r="L30" s="118">
        <v>0</v>
      </c>
      <c r="Q30" s="130"/>
      <c r="R30" s="166">
        <f t="shared" si="1"/>
        <v>278221.53346372594</v>
      </c>
      <c r="S30" s="167">
        <v>267564.66361026687</v>
      </c>
      <c r="T30" s="168">
        <f t="shared" si="2"/>
        <v>10656.869853459066</v>
      </c>
    </row>
    <row r="31" spans="1:20" x14ac:dyDescent="0.35">
      <c r="A31" s="160">
        <v>1006</v>
      </c>
      <c r="B31" s="161" t="s">
        <v>77</v>
      </c>
      <c r="C31" s="162" t="s">
        <v>449</v>
      </c>
      <c r="D31" s="162" t="s">
        <v>450</v>
      </c>
      <c r="E31" s="161" t="s">
        <v>454</v>
      </c>
      <c r="F31" s="163">
        <v>3255</v>
      </c>
      <c r="G31" s="163">
        <v>439037.23</v>
      </c>
      <c r="H31" s="164">
        <f t="shared" si="0"/>
        <v>193450.09155452694</v>
      </c>
      <c r="I31" s="165"/>
      <c r="J31" s="117">
        <v>19662.591554526953</v>
      </c>
      <c r="K31" s="117">
        <v>176193.23274051253</v>
      </c>
      <c r="L31" s="118">
        <v>0</v>
      </c>
      <c r="Q31" s="130"/>
      <c r="R31" s="166">
        <f t="shared" si="1"/>
        <v>195855.82429503946</v>
      </c>
      <c r="S31" s="167">
        <v>191156.74801733508</v>
      </c>
      <c r="T31" s="168">
        <f t="shared" si="2"/>
        <v>4699.0762777043856</v>
      </c>
    </row>
    <row r="32" spans="1:20" x14ac:dyDescent="0.35">
      <c r="A32" s="160">
        <v>1008</v>
      </c>
      <c r="B32" s="161" t="s">
        <v>247</v>
      </c>
      <c r="C32" s="162" t="s">
        <v>449</v>
      </c>
      <c r="D32" s="162" t="s">
        <v>450</v>
      </c>
      <c r="E32" s="161" t="s">
        <v>455</v>
      </c>
      <c r="F32" s="163">
        <v>3015</v>
      </c>
      <c r="G32" s="163">
        <v>286599.44999999995</v>
      </c>
      <c r="H32" s="164">
        <f t="shared" si="0"/>
        <v>178823.05821701515</v>
      </c>
      <c r="I32" s="165"/>
      <c r="J32" s="117">
        <v>12835.558217015147</v>
      </c>
      <c r="K32" s="117">
        <v>169651.31634224899</v>
      </c>
      <c r="L32" s="118">
        <v>0</v>
      </c>
      <c r="Q32" s="130"/>
      <c r="R32" s="166">
        <f t="shared" si="1"/>
        <v>182486.87455926414</v>
      </c>
      <c r="S32" s="167">
        <v>181953.58686270969</v>
      </c>
      <c r="T32" s="168">
        <f t="shared" si="2"/>
        <v>533.28769655444194</v>
      </c>
    </row>
    <row r="33" spans="1:20" x14ac:dyDescent="0.35">
      <c r="A33" s="160">
        <v>1009</v>
      </c>
      <c r="B33" s="161" t="s">
        <v>248</v>
      </c>
      <c r="C33" s="162" t="s">
        <v>449</v>
      </c>
      <c r="D33" s="162" t="s">
        <v>450</v>
      </c>
      <c r="E33" s="161" t="s">
        <v>456</v>
      </c>
      <c r="F33" s="163">
        <v>5250</v>
      </c>
      <c r="G33" s="163">
        <v>572260.28</v>
      </c>
      <c r="H33" s="164">
        <f t="shared" si="0"/>
        <v>264254.07967627078</v>
      </c>
      <c r="I33" s="165"/>
      <c r="J33" s="117">
        <v>25629.079676270801</v>
      </c>
      <c r="K33" s="117">
        <v>223496.32054334125</v>
      </c>
      <c r="L33" s="118">
        <v>0</v>
      </c>
      <c r="Q33" s="130"/>
      <c r="R33" s="166">
        <f t="shared" si="1"/>
        <v>249125.40021961206</v>
      </c>
      <c r="S33" s="167">
        <v>269780.76954675635</v>
      </c>
      <c r="T33" s="168">
        <f t="shared" si="2"/>
        <v>-20655.36932714429</v>
      </c>
    </row>
    <row r="34" spans="1:20" x14ac:dyDescent="0.35">
      <c r="A34" s="160">
        <v>1010</v>
      </c>
      <c r="B34" s="161" t="s">
        <v>249</v>
      </c>
      <c r="C34" s="162" t="s">
        <v>449</v>
      </c>
      <c r="D34" s="162" t="s">
        <v>450</v>
      </c>
      <c r="E34" s="161" t="s">
        <v>457</v>
      </c>
      <c r="F34" s="163">
        <v>7065</v>
      </c>
      <c r="G34" s="163">
        <v>582697.18999999994</v>
      </c>
      <c r="H34" s="164">
        <f t="shared" si="0"/>
        <v>323709.00404121896</v>
      </c>
      <c r="I34" s="165"/>
      <c r="J34" s="117">
        <v>26096.504041218977</v>
      </c>
      <c r="K34" s="117">
        <v>281367.11945105728</v>
      </c>
      <c r="L34" s="118">
        <v>0</v>
      </c>
      <c r="Q34" s="130"/>
      <c r="R34" s="166">
        <f t="shared" si="1"/>
        <v>307463.62349227624</v>
      </c>
      <c r="S34" s="167">
        <v>324329.85308246763</v>
      </c>
      <c r="T34" s="168">
        <f t="shared" si="2"/>
        <v>-16866.229590191389</v>
      </c>
    </row>
    <row r="35" spans="1:20" x14ac:dyDescent="0.35">
      <c r="A35" s="160">
        <v>1012</v>
      </c>
      <c r="B35" s="161" t="s">
        <v>109</v>
      </c>
      <c r="C35" s="162" t="s">
        <v>449</v>
      </c>
      <c r="D35" s="162" t="s">
        <v>450</v>
      </c>
      <c r="E35" s="161" t="s">
        <v>458</v>
      </c>
      <c r="F35" s="163">
        <v>5550</v>
      </c>
      <c r="G35" s="163">
        <v>348046.95</v>
      </c>
      <c r="H35" s="164">
        <f t="shared" si="0"/>
        <v>263962.52778129739</v>
      </c>
      <c r="I35" s="165"/>
      <c r="J35" s="117">
        <v>15587.52778129742</v>
      </c>
      <c r="K35" s="117">
        <v>241109.17238482003</v>
      </c>
      <c r="L35" s="118">
        <v>0</v>
      </c>
      <c r="Q35" s="130"/>
      <c r="R35" s="166">
        <f t="shared" si="1"/>
        <v>256696.70016611746</v>
      </c>
      <c r="S35" s="167">
        <v>258496.34722363501</v>
      </c>
      <c r="T35" s="168">
        <f t="shared" si="2"/>
        <v>-1799.6470575175481</v>
      </c>
    </row>
    <row r="36" spans="1:20" x14ac:dyDescent="0.35">
      <c r="A36" s="160">
        <v>1014</v>
      </c>
      <c r="B36" s="161" t="s">
        <v>167</v>
      </c>
      <c r="C36" s="162" t="s">
        <v>449</v>
      </c>
      <c r="D36" s="162" t="s">
        <v>450</v>
      </c>
      <c r="E36" s="161" t="s">
        <v>459</v>
      </c>
      <c r="F36" s="163">
        <v>4875</v>
      </c>
      <c r="G36" s="163">
        <v>424744.63</v>
      </c>
      <c r="H36" s="164">
        <f t="shared" si="0"/>
        <v>245459.98739740971</v>
      </c>
      <c r="I36" s="165"/>
      <c r="J36" s="117">
        <v>19022.487397409725</v>
      </c>
      <c r="K36" s="117">
        <v>246644.64010642766</v>
      </c>
      <c r="L36" s="118">
        <v>0</v>
      </c>
      <c r="Q36" s="130"/>
      <c r="R36" s="166">
        <f t="shared" si="1"/>
        <v>265667.1275038374</v>
      </c>
      <c r="S36" s="167">
        <v>250308.7887819311</v>
      </c>
      <c r="T36" s="168">
        <f t="shared" si="2"/>
        <v>15358.338721906301</v>
      </c>
    </row>
    <row r="37" spans="1:20" x14ac:dyDescent="0.35">
      <c r="A37" s="160">
        <v>1015</v>
      </c>
      <c r="B37" s="161" t="s">
        <v>250</v>
      </c>
      <c r="C37" s="162" t="s">
        <v>449</v>
      </c>
      <c r="D37" s="162" t="s">
        <v>450</v>
      </c>
      <c r="E37" s="161" t="s">
        <v>460</v>
      </c>
      <c r="F37" s="163">
        <v>4680</v>
      </c>
      <c r="G37" s="163">
        <v>434060.77999999997</v>
      </c>
      <c r="H37" s="164">
        <f t="shared" si="0"/>
        <v>239539.71773641926</v>
      </c>
      <c r="I37" s="165"/>
      <c r="J37" s="117">
        <v>19439.717736419258</v>
      </c>
      <c r="K37" s="117">
        <v>217457.62848340569</v>
      </c>
      <c r="L37" s="118">
        <v>0</v>
      </c>
      <c r="Q37" s="130"/>
      <c r="R37" s="166">
        <f t="shared" si="1"/>
        <v>236897.34621982495</v>
      </c>
      <c r="S37" s="167">
        <v>239170.68324842979</v>
      </c>
      <c r="T37" s="168">
        <f t="shared" si="2"/>
        <v>-2273.3370286048448</v>
      </c>
    </row>
    <row r="38" spans="1:20" s="122" customFormat="1" x14ac:dyDescent="0.35">
      <c r="A38" s="169">
        <v>1016</v>
      </c>
      <c r="B38" s="170" t="s">
        <v>101</v>
      </c>
      <c r="C38" s="171" t="s">
        <v>449</v>
      </c>
      <c r="D38" s="171" t="s">
        <v>450</v>
      </c>
      <c r="E38" s="170" t="s">
        <v>461</v>
      </c>
      <c r="F38" s="163">
        <v>4050</v>
      </c>
      <c r="G38" s="172">
        <v>320893.91000000003</v>
      </c>
      <c r="H38" s="164">
        <f t="shared" si="0"/>
        <v>213996.45976131712</v>
      </c>
      <c r="I38" s="173"/>
      <c r="J38" s="120">
        <v>14371.459761317126</v>
      </c>
      <c r="K38" s="120">
        <v>201656.38425990759</v>
      </c>
      <c r="L38" s="121">
        <v>0</v>
      </c>
      <c r="Q38" s="130"/>
      <c r="R38" s="166">
        <f t="shared" si="1"/>
        <v>216027.84402122471</v>
      </c>
      <c r="S38" s="167">
        <v>213074.40127277008</v>
      </c>
      <c r="T38" s="168">
        <f t="shared" si="2"/>
        <v>2953.4427484546322</v>
      </c>
    </row>
    <row r="39" spans="1:20" x14ac:dyDescent="0.35">
      <c r="A39" s="160">
        <v>1017</v>
      </c>
      <c r="B39" s="161" t="s">
        <v>29</v>
      </c>
      <c r="C39" s="162" t="s">
        <v>449</v>
      </c>
      <c r="D39" s="162" t="s">
        <v>450</v>
      </c>
      <c r="E39" s="161" t="s">
        <v>462</v>
      </c>
      <c r="F39" s="163">
        <v>6387</v>
      </c>
      <c r="G39" s="163">
        <v>960056.19</v>
      </c>
      <c r="H39" s="164">
        <f t="shared" si="0"/>
        <v>318574.29262591311</v>
      </c>
      <c r="I39" s="165"/>
      <c r="J39" s="117">
        <v>42996.79262591312</v>
      </c>
      <c r="K39" s="117">
        <v>265062.65088923124</v>
      </c>
      <c r="L39" s="118">
        <v>0</v>
      </c>
      <c r="Q39" s="130"/>
      <c r="R39" s="166">
        <f t="shared" si="1"/>
        <v>308059.44351514435</v>
      </c>
      <c r="S39" s="167">
        <v>318791.29177519301</v>
      </c>
      <c r="T39" s="168">
        <f t="shared" si="2"/>
        <v>-10731.84826004866</v>
      </c>
    </row>
    <row r="40" spans="1:20" x14ac:dyDescent="0.35">
      <c r="A40" s="160">
        <v>1018</v>
      </c>
      <c r="B40" s="161" t="s">
        <v>129</v>
      </c>
      <c r="C40" s="162" t="s">
        <v>449</v>
      </c>
      <c r="D40" s="162" t="s">
        <v>450</v>
      </c>
      <c r="E40" s="161" t="s">
        <v>463</v>
      </c>
      <c r="F40" s="163">
        <v>6420</v>
      </c>
      <c r="G40" s="163">
        <v>475494.44</v>
      </c>
      <c r="H40" s="164">
        <f t="shared" si="0"/>
        <v>297945.35338077939</v>
      </c>
      <c r="I40" s="165"/>
      <c r="J40" s="117">
        <v>21295.353380779397</v>
      </c>
      <c r="K40" s="117">
        <v>266270.38930121833</v>
      </c>
      <c r="L40" s="118">
        <v>0</v>
      </c>
      <c r="Q40" s="130"/>
      <c r="R40" s="166">
        <f t="shared" si="1"/>
        <v>287565.74268199771</v>
      </c>
      <c r="S40" s="167">
        <v>299273.27355248138</v>
      </c>
      <c r="T40" s="168">
        <f t="shared" si="2"/>
        <v>-11707.530870483664</v>
      </c>
    </row>
    <row r="41" spans="1:20" x14ac:dyDescent="0.35">
      <c r="A41" s="160">
        <v>1019</v>
      </c>
      <c r="B41" s="161" t="s">
        <v>185</v>
      </c>
      <c r="C41" s="162" t="s">
        <v>449</v>
      </c>
      <c r="D41" s="162" t="s">
        <v>450</v>
      </c>
      <c r="E41" s="161" t="s">
        <v>464</v>
      </c>
      <c r="F41" s="163">
        <v>5220</v>
      </c>
      <c r="G41" s="163">
        <v>542295.24</v>
      </c>
      <c r="H41" s="164">
        <f t="shared" si="0"/>
        <v>261937.07425583058</v>
      </c>
      <c r="I41" s="165"/>
      <c r="J41" s="117">
        <v>24287.074255830572</v>
      </c>
      <c r="K41" s="117">
        <v>269289.73533118609</v>
      </c>
      <c r="L41" s="118">
        <v>0</v>
      </c>
      <c r="Q41" s="130"/>
      <c r="R41" s="166">
        <f t="shared" si="1"/>
        <v>293576.80958701664</v>
      </c>
      <c r="S41" s="167">
        <v>266423.29856715724</v>
      </c>
      <c r="T41" s="168">
        <f t="shared" si="2"/>
        <v>27153.511019859405</v>
      </c>
    </row>
    <row r="42" spans="1:20" x14ac:dyDescent="0.35">
      <c r="A42" s="160">
        <v>1020</v>
      </c>
      <c r="B42" s="161" t="s">
        <v>219</v>
      </c>
      <c r="C42" s="162" t="s">
        <v>449</v>
      </c>
      <c r="D42" s="162" t="s">
        <v>450</v>
      </c>
      <c r="E42" s="161" t="s">
        <v>465</v>
      </c>
      <c r="F42" s="163">
        <v>8505</v>
      </c>
      <c r="G42" s="163">
        <v>810943.72</v>
      </c>
      <c r="H42" s="164">
        <f t="shared" si="0"/>
        <v>380731.18563872972</v>
      </c>
      <c r="I42" s="165"/>
      <c r="J42" s="117">
        <v>36318.685638729701</v>
      </c>
      <c r="K42" s="117">
        <v>317096.04747234279</v>
      </c>
      <c r="L42" s="118">
        <v>0</v>
      </c>
      <c r="Q42" s="130"/>
      <c r="R42" s="166">
        <f t="shared" si="1"/>
        <v>353414.73311107251</v>
      </c>
      <c r="S42" s="167">
        <v>377750.17983128357</v>
      </c>
      <c r="T42" s="168">
        <f t="shared" si="2"/>
        <v>-24335.446720211068</v>
      </c>
    </row>
    <row r="43" spans="1:20" x14ac:dyDescent="0.35">
      <c r="A43" s="160">
        <v>1021</v>
      </c>
      <c r="B43" s="161" t="s">
        <v>91</v>
      </c>
      <c r="C43" s="162" t="s">
        <v>449</v>
      </c>
      <c r="D43" s="162" t="s">
        <v>450</v>
      </c>
      <c r="E43" s="161" t="s">
        <v>466</v>
      </c>
      <c r="F43" s="163">
        <v>2640</v>
      </c>
      <c r="G43" s="163">
        <v>305518.19</v>
      </c>
      <c r="H43" s="164">
        <f t="shared" si="0"/>
        <v>167482.84731217069</v>
      </c>
      <c r="I43" s="165"/>
      <c r="J43" s="117">
        <v>13682.847312170679</v>
      </c>
      <c r="K43" s="117">
        <v>154051.36185408206</v>
      </c>
      <c r="L43" s="118">
        <v>0</v>
      </c>
      <c r="M43" s="174"/>
      <c r="N43" s="174"/>
      <c r="O43" s="174"/>
      <c r="P43" s="174"/>
      <c r="Q43" s="174"/>
      <c r="R43" s="166">
        <f t="shared" si="1"/>
        <v>167734.20916625275</v>
      </c>
      <c r="S43" s="167">
        <v>169657.91896945552</v>
      </c>
      <c r="T43" s="168">
        <f t="shared" si="2"/>
        <v>-1923.7098032027716</v>
      </c>
    </row>
    <row r="44" spans="1:20" x14ac:dyDescent="0.35">
      <c r="A44" s="160">
        <v>1022</v>
      </c>
      <c r="B44" s="161" t="s">
        <v>81</v>
      </c>
      <c r="C44" s="162" t="s">
        <v>449</v>
      </c>
      <c r="D44" s="162" t="s">
        <v>450</v>
      </c>
      <c r="E44" s="161" t="s">
        <v>467</v>
      </c>
      <c r="F44" s="163">
        <v>4095</v>
      </c>
      <c r="G44" s="163">
        <v>273095.56</v>
      </c>
      <c r="H44" s="164">
        <f t="shared" si="0"/>
        <v>213318.27699272748</v>
      </c>
      <c r="I44" s="165"/>
      <c r="J44" s="117">
        <v>12230.776992727491</v>
      </c>
      <c r="K44" s="117">
        <v>200851.22531858284</v>
      </c>
      <c r="L44" s="118">
        <v>0</v>
      </c>
      <c r="M44" s="174"/>
      <c r="N44" s="174"/>
      <c r="O44" s="174"/>
      <c r="P44" s="174"/>
      <c r="Q44" s="174"/>
      <c r="R44" s="166">
        <f t="shared" si="1"/>
        <v>213082.00231131032</v>
      </c>
      <c r="S44" s="167">
        <v>210295.48774378013</v>
      </c>
      <c r="T44" s="168">
        <f t="shared" si="2"/>
        <v>2786.5145675301901</v>
      </c>
    </row>
    <row r="45" spans="1:20" x14ac:dyDescent="0.35">
      <c r="A45" s="160">
        <v>1023</v>
      </c>
      <c r="B45" s="161" t="s">
        <v>97</v>
      </c>
      <c r="C45" s="162" t="s">
        <v>449</v>
      </c>
      <c r="D45" s="162" t="s">
        <v>450</v>
      </c>
      <c r="E45" s="161" t="s">
        <v>468</v>
      </c>
      <c r="F45" s="163">
        <v>3690</v>
      </c>
      <c r="G45" s="163">
        <v>142928.04999999999</v>
      </c>
      <c r="H45" s="164">
        <f t="shared" si="0"/>
        <v>194326.13338186606</v>
      </c>
      <c r="I45" s="165"/>
      <c r="J45" s="117">
        <v>6401.1333818660569</v>
      </c>
      <c r="K45" s="117">
        <v>185754.49516874389</v>
      </c>
      <c r="L45" s="118">
        <v>0</v>
      </c>
      <c r="M45" s="174"/>
      <c r="N45" s="174"/>
      <c r="O45" s="174"/>
      <c r="P45" s="174"/>
      <c r="Q45" s="174"/>
      <c r="R45" s="166">
        <f t="shared" si="1"/>
        <v>192155.62855060995</v>
      </c>
      <c r="S45" s="167">
        <v>191096.58925716483</v>
      </c>
      <c r="T45" s="168">
        <f t="shared" si="2"/>
        <v>1059.0392934451229</v>
      </c>
    </row>
    <row r="46" spans="1:20" x14ac:dyDescent="0.35">
      <c r="A46" s="160">
        <v>1024</v>
      </c>
      <c r="B46" s="161" t="s">
        <v>251</v>
      </c>
      <c r="C46" s="162" t="s">
        <v>449</v>
      </c>
      <c r="D46" s="162" t="s">
        <v>450</v>
      </c>
      <c r="E46" s="161" t="s">
        <v>469</v>
      </c>
      <c r="F46" s="163">
        <v>3960</v>
      </c>
      <c r="G46" s="163">
        <v>363513.23000000004</v>
      </c>
      <c r="H46" s="164">
        <f t="shared" si="0"/>
        <v>212980.19602382425</v>
      </c>
      <c r="I46" s="165"/>
      <c r="J46" s="117">
        <v>16280.196023824254</v>
      </c>
      <c r="K46" s="117">
        <v>195818.98193530319</v>
      </c>
      <c r="L46" s="118">
        <v>0</v>
      </c>
      <c r="Q46" s="130"/>
      <c r="R46" s="166">
        <f t="shared" si="1"/>
        <v>212099.17795912744</v>
      </c>
      <c r="S46" s="167">
        <v>207290.77731782084</v>
      </c>
      <c r="T46" s="168">
        <f t="shared" si="2"/>
        <v>4808.4006413065945</v>
      </c>
    </row>
    <row r="47" spans="1:20" x14ac:dyDescent="0.35">
      <c r="A47" s="160">
        <v>1025</v>
      </c>
      <c r="B47" s="161" t="s">
        <v>40</v>
      </c>
      <c r="C47" s="162" t="s">
        <v>449</v>
      </c>
      <c r="D47" s="162" t="s">
        <v>450</v>
      </c>
      <c r="E47" s="161" t="s">
        <v>470</v>
      </c>
      <c r="F47" s="163">
        <v>5820</v>
      </c>
      <c r="G47" s="163">
        <v>798453.53</v>
      </c>
      <c r="H47" s="164">
        <f t="shared" si="0"/>
        <v>292909.30368287954</v>
      </c>
      <c r="I47" s="165"/>
      <c r="J47" s="117">
        <v>35759.303682879545</v>
      </c>
      <c r="K47" s="117">
        <v>251173.65915137937</v>
      </c>
      <c r="L47" s="118">
        <v>0</v>
      </c>
      <c r="M47" s="174"/>
      <c r="N47" s="174"/>
      <c r="O47" s="174"/>
      <c r="P47" s="174"/>
      <c r="Q47" s="174"/>
      <c r="R47" s="166">
        <f t="shared" si="1"/>
        <v>286932.96283425891</v>
      </c>
      <c r="S47" s="167">
        <v>297176.81517682609</v>
      </c>
      <c r="T47" s="168">
        <f t="shared" si="2"/>
        <v>-10243.852342567174</v>
      </c>
    </row>
    <row r="48" spans="1:20" x14ac:dyDescent="0.35">
      <c r="A48" s="160">
        <v>1026</v>
      </c>
      <c r="B48" s="161" t="s">
        <v>73</v>
      </c>
      <c r="C48" s="162" t="s">
        <v>449</v>
      </c>
      <c r="D48" s="162" t="s">
        <v>450</v>
      </c>
      <c r="E48" s="161" t="s">
        <v>471</v>
      </c>
      <c r="F48" s="163">
        <v>5490</v>
      </c>
      <c r="G48" s="163">
        <v>439998.68</v>
      </c>
      <c r="H48" s="164">
        <f t="shared" si="0"/>
        <v>266130.65076991537</v>
      </c>
      <c r="I48" s="165"/>
      <c r="J48" s="117">
        <v>19705.650769915359</v>
      </c>
      <c r="K48" s="117">
        <v>237586.6020165243</v>
      </c>
      <c r="L48" s="118">
        <v>0</v>
      </c>
      <c r="M48" s="174"/>
      <c r="N48" s="174"/>
      <c r="O48" s="174"/>
      <c r="P48" s="174"/>
      <c r="Q48" s="174"/>
      <c r="R48" s="166">
        <f t="shared" si="1"/>
        <v>257292.25278643967</v>
      </c>
      <c r="S48" s="167">
        <v>266645.40133057069</v>
      </c>
      <c r="T48" s="168">
        <f t="shared" si="2"/>
        <v>-9353.1485441310215</v>
      </c>
    </row>
    <row r="49" spans="1:20" x14ac:dyDescent="0.35">
      <c r="A49" s="160">
        <v>1027</v>
      </c>
      <c r="B49" s="161" t="s">
        <v>25</v>
      </c>
      <c r="C49" s="162" t="s">
        <v>449</v>
      </c>
      <c r="D49" s="162" t="s">
        <v>450</v>
      </c>
      <c r="E49" s="161" t="s">
        <v>472</v>
      </c>
      <c r="F49" s="163">
        <v>4497</v>
      </c>
      <c r="G49" s="163">
        <v>370413.11</v>
      </c>
      <c r="H49" s="164">
        <f t="shared" si="0"/>
        <v>230741.71200913202</v>
      </c>
      <c r="I49" s="165"/>
      <c r="J49" s="117">
        <v>16589.212009132032</v>
      </c>
      <c r="K49" s="117">
        <v>241109.17238482003</v>
      </c>
      <c r="L49" s="118">
        <v>0</v>
      </c>
      <c r="M49" s="174"/>
      <c r="N49" s="174"/>
      <c r="O49" s="174"/>
      <c r="P49" s="174"/>
      <c r="Q49" s="174"/>
      <c r="R49" s="166">
        <f t="shared" si="1"/>
        <v>257698.38439395206</v>
      </c>
      <c r="S49" s="167">
        <v>238873.10056274381</v>
      </c>
      <c r="T49" s="168">
        <f t="shared" si="2"/>
        <v>18825.283831208246</v>
      </c>
    </row>
    <row r="50" spans="1:20" x14ac:dyDescent="0.35">
      <c r="A50" s="160">
        <v>1028</v>
      </c>
      <c r="B50" s="161" t="s">
        <v>201</v>
      </c>
      <c r="C50" s="162" t="s">
        <v>449</v>
      </c>
      <c r="D50" s="162" t="s">
        <v>450</v>
      </c>
      <c r="E50" s="161" t="s">
        <v>473</v>
      </c>
      <c r="F50" s="163">
        <v>3885</v>
      </c>
      <c r="G50" s="163">
        <v>334673.90999999997</v>
      </c>
      <c r="H50" s="164">
        <f t="shared" si="0"/>
        <v>209251.10676641593</v>
      </c>
      <c r="I50" s="165"/>
      <c r="J50" s="117">
        <v>14988.606766415944</v>
      </c>
      <c r="K50" s="117">
        <v>200348.00098025487</v>
      </c>
      <c r="L50" s="118">
        <v>0</v>
      </c>
      <c r="M50" s="174"/>
      <c r="N50" s="174"/>
      <c r="O50" s="174"/>
      <c r="P50" s="174"/>
      <c r="Q50" s="174"/>
      <c r="R50" s="166">
        <f t="shared" si="1"/>
        <v>215336.60774667081</v>
      </c>
      <c r="S50" s="167">
        <v>203311.90064820071</v>
      </c>
      <c r="T50" s="168">
        <f t="shared" si="2"/>
        <v>12024.707098470099</v>
      </c>
    </row>
    <row r="51" spans="1:20" x14ac:dyDescent="0.35">
      <c r="A51" s="160">
        <v>1038</v>
      </c>
      <c r="B51" s="161" t="s">
        <v>252</v>
      </c>
      <c r="C51" s="162" t="s">
        <v>449</v>
      </c>
      <c r="D51" s="162" t="s">
        <v>450</v>
      </c>
      <c r="E51" s="161" t="s">
        <v>474</v>
      </c>
      <c r="F51" s="163">
        <v>6405</v>
      </c>
      <c r="G51" s="163">
        <v>730714.72</v>
      </c>
      <c r="H51" s="164">
        <f t="shared" si="0"/>
        <v>308888.07336934848</v>
      </c>
      <c r="I51" s="165"/>
      <c r="J51" s="117">
        <v>32725.573369348484</v>
      </c>
      <c r="K51" s="117">
        <v>264257.49194790644</v>
      </c>
      <c r="L51" s="118">
        <v>0</v>
      </c>
      <c r="M51" s="174"/>
      <c r="N51" s="174"/>
      <c r="O51" s="174"/>
      <c r="P51" s="174"/>
      <c r="Q51" s="174"/>
      <c r="R51" s="166">
        <f t="shared" si="1"/>
        <v>296983.06531725492</v>
      </c>
      <c r="S51" s="167">
        <v>307545.93083170155</v>
      </c>
      <c r="T51" s="168">
        <f t="shared" si="2"/>
        <v>-10562.865514446632</v>
      </c>
    </row>
    <row r="52" spans="1:20" x14ac:dyDescent="0.35">
      <c r="A52" s="160">
        <v>1048</v>
      </c>
      <c r="B52" s="161" t="s">
        <v>53</v>
      </c>
      <c r="C52" s="162" t="s">
        <v>449</v>
      </c>
      <c r="D52" s="162" t="s">
        <v>450</v>
      </c>
      <c r="E52" s="161" t="s">
        <v>475</v>
      </c>
      <c r="F52" s="163">
        <v>6735</v>
      </c>
      <c r="G52" s="163">
        <v>764553.37</v>
      </c>
      <c r="H52" s="164">
        <f t="shared" si="0"/>
        <v>321128.5611417786</v>
      </c>
      <c r="I52" s="165"/>
      <c r="J52" s="117">
        <v>34241.061141778613</v>
      </c>
      <c r="K52" s="117">
        <v>289921.9332026327</v>
      </c>
      <c r="L52" s="118">
        <v>0</v>
      </c>
      <c r="M52" s="174"/>
      <c r="N52" s="174"/>
      <c r="O52" s="174"/>
      <c r="P52" s="174"/>
      <c r="Q52" s="174"/>
      <c r="R52" s="166">
        <f t="shared" si="1"/>
        <v>324162.9943444113</v>
      </c>
      <c r="S52" s="167">
        <v>317257.64521137776</v>
      </c>
      <c r="T52" s="168">
        <f t="shared" si="2"/>
        <v>6905.3491330335382</v>
      </c>
    </row>
    <row r="53" spans="1:20" x14ac:dyDescent="0.35">
      <c r="A53" s="160">
        <v>1049</v>
      </c>
      <c r="B53" s="161" t="s">
        <v>117</v>
      </c>
      <c r="C53" s="162" t="s">
        <v>449</v>
      </c>
      <c r="D53" s="162" t="s">
        <v>450</v>
      </c>
      <c r="E53" s="161" t="s">
        <v>476</v>
      </c>
      <c r="F53" s="163">
        <v>5700</v>
      </c>
      <c r="G53" s="163">
        <v>379598.71</v>
      </c>
      <c r="H53" s="164">
        <f t="shared" si="0"/>
        <v>270250.59557444666</v>
      </c>
      <c r="I53" s="165"/>
      <c r="J53" s="117">
        <v>17000.595574446674</v>
      </c>
      <c r="K53" s="117">
        <v>259225.24856462679</v>
      </c>
      <c r="L53" s="118">
        <v>0</v>
      </c>
      <c r="M53" s="174"/>
      <c r="N53" s="174"/>
      <c r="O53" s="174"/>
      <c r="P53" s="174"/>
      <c r="Q53" s="174"/>
      <c r="R53" s="166">
        <f t="shared" si="1"/>
        <v>276225.84413907345</v>
      </c>
      <c r="S53" s="167">
        <v>270624.97357297892</v>
      </c>
      <c r="T53" s="168">
        <f t="shared" si="2"/>
        <v>5600.870566094527</v>
      </c>
    </row>
    <row r="54" spans="1:20" x14ac:dyDescent="0.35">
      <c r="A54" s="160">
        <v>1802</v>
      </c>
      <c r="B54" s="161" t="s">
        <v>189</v>
      </c>
      <c r="C54" s="162" t="s">
        <v>449</v>
      </c>
      <c r="D54" s="162" t="s">
        <v>450</v>
      </c>
      <c r="E54" s="161" t="s">
        <v>477</v>
      </c>
      <c r="F54" s="163">
        <v>3660</v>
      </c>
      <c r="G54" s="175">
        <v>350659.02999999997</v>
      </c>
      <c r="H54" s="164">
        <f t="shared" si="0"/>
        <v>202654.51162375594</v>
      </c>
      <c r="I54" s="165"/>
      <c r="J54" s="117">
        <v>15704.511623755945</v>
      </c>
      <c r="K54" s="117">
        <v>184748.04649208795</v>
      </c>
      <c r="L54" s="118">
        <v>0</v>
      </c>
      <c r="M54" s="174"/>
      <c r="N54" s="174"/>
      <c r="O54" s="174"/>
      <c r="P54" s="174"/>
      <c r="Q54" s="174"/>
      <c r="R54" s="166">
        <f t="shared" si="1"/>
        <v>200452.55811584389</v>
      </c>
      <c r="S54" s="167">
        <v>203087.25491126656</v>
      </c>
      <c r="T54" s="168">
        <f t="shared" si="2"/>
        <v>-2634.6967954226711</v>
      </c>
    </row>
    <row r="55" spans="1:20" x14ac:dyDescent="0.35">
      <c r="A55" s="174"/>
      <c r="B55" s="174"/>
      <c r="C55" s="174"/>
      <c r="D55" s="174"/>
      <c r="E55" s="174"/>
      <c r="F55" s="163">
        <f>SUM(F28:F54)</f>
        <v>132684</v>
      </c>
      <c r="G55" s="176">
        <v>12861246.889999999</v>
      </c>
      <c r="H55" s="124">
        <f>SUM(H28:H54)</f>
        <v>6724230</v>
      </c>
      <c r="I55" s="125"/>
      <c r="J55" s="124">
        <v>576000</v>
      </c>
      <c r="K55" s="124">
        <v>6148229.9999999991</v>
      </c>
      <c r="L55" s="174"/>
      <c r="M55" s="174"/>
      <c r="N55" s="174"/>
      <c r="O55" s="174"/>
      <c r="P55" s="174"/>
      <c r="Q55" s="174"/>
      <c r="R55" s="177">
        <f>SUM(R28:R54)</f>
        <v>6724229.9999999991</v>
      </c>
      <c r="S55" s="177">
        <f>SUM(S28:S54)</f>
        <v>6724230.0000000009</v>
      </c>
      <c r="T55" s="178">
        <f>SUM(T28:T54)</f>
        <v>-1.1641532182693481E-10</v>
      </c>
    </row>
    <row r="56" spans="1:20" x14ac:dyDescent="0.35">
      <c r="A56" s="174"/>
      <c r="B56" s="174"/>
      <c r="C56" s="174"/>
      <c r="D56" s="174"/>
      <c r="E56" s="174"/>
      <c r="F56" s="174"/>
      <c r="G56" s="174"/>
      <c r="H56" s="126"/>
      <c r="I56" s="126"/>
      <c r="J56" s="174"/>
      <c r="K56" s="174"/>
      <c r="L56" s="174"/>
      <c r="M56" s="174"/>
      <c r="N56" s="174"/>
      <c r="O56" s="174"/>
      <c r="P56" s="174"/>
      <c r="Q56" s="174"/>
      <c r="R56" s="174"/>
      <c r="S56" s="174"/>
      <c r="T56" s="179"/>
    </row>
    <row r="57" spans="1:20" x14ac:dyDescent="0.35">
      <c r="A57" s="174" t="s">
        <v>478</v>
      </c>
      <c r="B57" s="174"/>
      <c r="C57" s="174"/>
      <c r="D57" s="174"/>
      <c r="E57" s="174"/>
      <c r="F57" s="174"/>
      <c r="G57" s="174"/>
      <c r="H57" s="174"/>
      <c r="I57" s="174"/>
      <c r="J57" s="174"/>
      <c r="K57" s="174"/>
      <c r="L57" s="174"/>
      <c r="M57" s="174"/>
      <c r="N57" s="174"/>
      <c r="O57" s="174"/>
      <c r="P57" s="174"/>
      <c r="Q57" s="174"/>
      <c r="R57" s="174"/>
      <c r="S57" s="174"/>
      <c r="T57" s="179"/>
    </row>
    <row r="58" spans="1:20" x14ac:dyDescent="0.35">
      <c r="A58" s="103" t="s">
        <v>479</v>
      </c>
      <c r="B58" s="174"/>
      <c r="C58" s="174"/>
      <c r="D58" s="174"/>
      <c r="E58" s="174"/>
      <c r="F58" s="174"/>
      <c r="G58" s="174"/>
      <c r="H58" s="174"/>
      <c r="I58" s="174"/>
      <c r="J58" s="174"/>
      <c r="K58" s="174"/>
      <c r="L58" s="174"/>
      <c r="M58" s="174"/>
      <c r="N58" s="174"/>
      <c r="O58" s="174"/>
      <c r="P58" s="174"/>
      <c r="Q58" s="174"/>
      <c r="R58" s="174"/>
      <c r="S58" s="174"/>
      <c r="T58" s="179"/>
    </row>
    <row r="59" spans="1:20" x14ac:dyDescent="0.35">
      <c r="A59" s="174"/>
      <c r="B59" s="127" t="s">
        <v>480</v>
      </c>
      <c r="C59" s="127" t="s">
        <v>481</v>
      </c>
      <c r="D59" s="127" t="s">
        <v>482</v>
      </c>
      <c r="E59" s="127"/>
      <c r="F59" s="174"/>
      <c r="G59" s="174"/>
      <c r="H59" s="174"/>
      <c r="I59" s="174"/>
      <c r="J59" s="103"/>
      <c r="K59" s="174"/>
      <c r="L59" s="174"/>
      <c r="M59" s="174"/>
      <c r="N59" s="174"/>
      <c r="O59" s="174"/>
      <c r="P59" s="174"/>
      <c r="Q59" s="174"/>
      <c r="R59" s="174"/>
      <c r="S59" s="174"/>
      <c r="T59" s="179"/>
    </row>
    <row r="60" spans="1:20" x14ac:dyDescent="0.35">
      <c r="A60" s="174"/>
      <c r="B60" s="103" t="s">
        <v>483</v>
      </c>
      <c r="C60" s="174"/>
      <c r="D60" s="128">
        <v>50000</v>
      </c>
      <c r="E60" s="128"/>
      <c r="F60" s="174"/>
      <c r="G60" s="174"/>
      <c r="H60" s="174"/>
      <c r="I60" s="174"/>
      <c r="J60" s="103"/>
      <c r="K60" s="174"/>
      <c r="L60" s="174"/>
      <c r="M60" s="174"/>
      <c r="N60" s="174"/>
      <c r="O60" s="174"/>
      <c r="P60" s="174"/>
      <c r="Q60" s="174"/>
      <c r="R60" s="174"/>
      <c r="S60" s="174"/>
      <c r="T60" s="179"/>
    </row>
    <row r="61" spans="1:20" x14ac:dyDescent="0.35">
      <c r="A61" s="174"/>
      <c r="B61" s="103" t="s">
        <v>484</v>
      </c>
      <c r="C61" s="129">
        <v>3.3</v>
      </c>
      <c r="D61" s="128">
        <v>51649.999999999993</v>
      </c>
      <c r="E61" s="174"/>
      <c r="F61" s="174"/>
      <c r="G61" s="174"/>
      <c r="H61" s="174"/>
      <c r="I61" s="174"/>
      <c r="J61" s="174"/>
      <c r="K61" s="174"/>
      <c r="L61" s="174"/>
      <c r="M61" s="174"/>
      <c r="N61" s="174"/>
      <c r="O61" s="174"/>
      <c r="P61" s="174"/>
      <c r="Q61" s="174"/>
      <c r="R61" s="174"/>
      <c r="S61" s="174"/>
      <c r="T61" s="179"/>
    </row>
    <row r="62" spans="1:20" x14ac:dyDescent="0.35">
      <c r="A62" s="174"/>
      <c r="B62" s="103" t="s">
        <v>485</v>
      </c>
      <c r="C62" s="129">
        <v>2.6</v>
      </c>
      <c r="D62" s="128">
        <v>52992.899999999994</v>
      </c>
      <c r="E62" s="174"/>
      <c r="F62" s="174"/>
      <c r="G62" s="174"/>
      <c r="H62" s="174"/>
      <c r="I62" s="174"/>
      <c r="J62" s="174"/>
      <c r="K62" s="174"/>
      <c r="L62" s="174"/>
      <c r="M62" s="174"/>
      <c r="N62" s="174"/>
      <c r="O62" s="174"/>
      <c r="P62" s="174"/>
      <c r="Q62" s="174"/>
      <c r="R62" s="174"/>
      <c r="S62" s="174"/>
      <c r="T62" s="179"/>
    </row>
    <row r="63" spans="1:20" x14ac:dyDescent="0.35">
      <c r="A63" s="174"/>
      <c r="B63" s="103" t="s">
        <v>486</v>
      </c>
      <c r="C63" s="129">
        <v>1.7</v>
      </c>
      <c r="D63" s="128">
        <v>53893.779299999987</v>
      </c>
      <c r="E63" s="174"/>
      <c r="F63" s="174"/>
      <c r="G63" s="174"/>
      <c r="H63" s="174"/>
      <c r="I63" s="174"/>
      <c r="J63" s="174"/>
      <c r="K63" s="174"/>
      <c r="L63" s="174"/>
      <c r="M63" s="174"/>
      <c r="N63" s="174"/>
      <c r="O63" s="174"/>
      <c r="P63" s="174"/>
      <c r="Q63" s="174"/>
      <c r="R63" s="174"/>
      <c r="S63" s="174"/>
      <c r="T63" s="179"/>
    </row>
    <row r="64" spans="1:20" x14ac:dyDescent="0.35">
      <c r="A64" s="174"/>
      <c r="B64" s="103" t="s">
        <v>487</v>
      </c>
      <c r="C64" s="129">
        <v>4.2</v>
      </c>
      <c r="D64" s="128">
        <v>56157.318030599992</v>
      </c>
      <c r="E64" s="174"/>
      <c r="F64" s="174"/>
      <c r="G64" s="174"/>
      <c r="H64" s="174"/>
      <c r="I64" s="174"/>
      <c r="J64" s="174"/>
      <c r="K64" s="174"/>
      <c r="L64" s="174"/>
      <c r="M64" s="174"/>
      <c r="N64" s="174"/>
      <c r="O64" s="174"/>
      <c r="P64" s="174"/>
      <c r="Q64" s="174"/>
      <c r="R64" s="174"/>
      <c r="S64" s="174"/>
      <c r="T64" s="179"/>
    </row>
    <row r="65" spans="1:4" x14ac:dyDescent="0.35">
      <c r="A65" s="174"/>
      <c r="B65" s="103" t="s">
        <v>488</v>
      </c>
      <c r="C65" s="129">
        <v>11.5</v>
      </c>
      <c r="D65" s="128">
        <v>62615.409604118991</v>
      </c>
    </row>
    <row r="66" spans="1:4" x14ac:dyDescent="0.35">
      <c r="A66" s="174"/>
      <c r="B66" s="103" t="s">
        <v>489</v>
      </c>
      <c r="C66" s="129">
        <v>8.6</v>
      </c>
      <c r="D66" s="128">
        <v>68000.334830073232</v>
      </c>
    </row>
    <row r="67" spans="1:4" x14ac:dyDescent="0.35">
      <c r="A67" s="174"/>
      <c r="B67" s="103" t="s">
        <v>490</v>
      </c>
      <c r="C67" s="128"/>
      <c r="D67" s="128"/>
    </row>
    <row r="68" spans="1:4" x14ac:dyDescent="0.35">
      <c r="A68" s="174"/>
      <c r="B68" s="174"/>
      <c r="C68" s="128"/>
      <c r="D68" s="128"/>
    </row>
    <row r="69" spans="1:4" x14ac:dyDescent="0.35">
      <c r="A69" s="174"/>
      <c r="B69" s="174"/>
      <c r="C69" s="174"/>
      <c r="D69" s="128"/>
    </row>
    <row r="70" spans="1:4" x14ac:dyDescent="0.35">
      <c r="A70" s="174"/>
      <c r="B70" s="174"/>
      <c r="C70" s="128"/>
      <c r="D70" s="174"/>
    </row>
    <row r="71" spans="1:4" x14ac:dyDescent="0.35">
      <c r="B71" s="174"/>
      <c r="C71" s="128"/>
    </row>
    <row r="72" spans="1:4" ht="15" thickBot="1" x14ac:dyDescent="0.4">
      <c r="B72" s="103" t="s">
        <v>491</v>
      </c>
      <c r="C72" s="131">
        <v>0</v>
      </c>
    </row>
  </sheetData>
  <mergeCells count="1">
    <mergeCell ref="A17:H17"/>
  </mergeCells>
  <hyperlinks>
    <hyperlink ref="A4" r:id="rId1" location="early-years" display="https://skillsfunding.service.gov.uk/view-latest-funding/dedicated-schools-grant/funding-breakdown/2021-to-2022/330/18-7-2022?includeHistory=true - early-years" xr:uid="{B036247D-4058-407C-9976-EEC0007CE945}"/>
    <hyperlink ref="S26" r:id="rId2" display="../../../../../../../../../:x:/s/SchoolFairfundingTeam/EZ64mjG_JMRIoeDA3RGBZ-AByjth7m17hQrayRbsbp0DYw?e=CSxYuA" xr:uid="{EA281518-FD11-4FE5-9170-7A4443217759}"/>
  </hyperlinks>
  <pageMargins left="0.7" right="0.7" top="0.75" bottom="0.75" header="0.3" footer="0.3"/>
  <headerFooter>
    <oddFooter>&amp;C_x000D_&amp;1#&amp;"Calibri"&amp;10&amp;K000000 OFFICIAL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5E857-E7C1-4CC1-874C-09A2147E9152}">
  <sheetPr codeName="Sheet8"/>
  <dimension ref="A1:AK216"/>
  <sheetViews>
    <sheetView zoomScale="87" zoomScaleNormal="87" workbookViewId="0">
      <selection activeCell="Y32" sqref="Y32"/>
    </sheetView>
  </sheetViews>
  <sheetFormatPr defaultRowHeight="14.5" x14ac:dyDescent="0.35"/>
  <cols>
    <col min="1" max="1" width="9" style="26" bestFit="1" customWidth="1"/>
    <col min="2" max="2" width="9" style="26" customWidth="1"/>
    <col min="3" max="3" width="47.7265625" style="27" customWidth="1"/>
    <col min="4" max="9" width="11.54296875" style="31" customWidth="1"/>
    <col min="10" max="15" width="9.1796875" style="74"/>
    <col min="16" max="16" width="14.453125" style="31" customWidth="1"/>
    <col min="17" max="18" width="13.26953125" style="31" customWidth="1"/>
    <col min="19" max="19" width="17.1796875" style="31" customWidth="1"/>
    <col min="20" max="20" width="2.1796875" style="31" customWidth="1"/>
    <col min="21" max="21" width="13.453125" customWidth="1"/>
    <col min="22" max="22" width="15" customWidth="1"/>
    <col min="23" max="23" width="14.453125" customWidth="1"/>
    <col min="25" max="27" width="13.7265625" bestFit="1" customWidth="1"/>
    <col min="30" max="30" width="11.453125" bestFit="1" customWidth="1"/>
    <col min="36" max="36" width="12.54296875" bestFit="1" customWidth="1"/>
    <col min="37" max="37" width="9.81640625" bestFit="1" customWidth="1"/>
  </cols>
  <sheetData>
    <row r="1" spans="1:37" ht="15.5" x14ac:dyDescent="0.35">
      <c r="A1" s="180" t="s">
        <v>508</v>
      </c>
      <c r="B1" s="180"/>
      <c r="C1" s="181" t="s">
        <v>509</v>
      </c>
      <c r="D1" s="182"/>
      <c r="E1" s="180" t="s">
        <v>510</v>
      </c>
      <c r="F1" s="181" t="s">
        <v>511</v>
      </c>
      <c r="G1" s="46"/>
      <c r="H1" s="46"/>
      <c r="I1" s="46"/>
      <c r="J1" s="183"/>
      <c r="K1" s="183"/>
      <c r="L1" s="183"/>
      <c r="M1" s="183"/>
      <c r="N1" s="183"/>
      <c r="O1" s="183"/>
      <c r="P1" s="46"/>
      <c r="Q1" s="46"/>
      <c r="R1" s="46"/>
      <c r="S1" s="46"/>
      <c r="T1" s="46"/>
    </row>
    <row r="2" spans="1:37" ht="15.5" x14ac:dyDescent="0.35">
      <c r="A2" s="184" t="s">
        <v>512</v>
      </c>
      <c r="B2" s="184"/>
      <c r="C2" s="185">
        <v>0.61</v>
      </c>
      <c r="D2" s="182"/>
      <c r="E2" s="184" t="s">
        <v>513</v>
      </c>
      <c r="F2" s="186">
        <v>13</v>
      </c>
      <c r="G2" s="83"/>
      <c r="H2" s="83"/>
      <c r="I2" s="83"/>
      <c r="J2" s="187"/>
      <c r="K2" s="187"/>
      <c r="L2" s="187"/>
      <c r="M2" s="187"/>
      <c r="N2" s="187"/>
      <c r="O2" s="187"/>
      <c r="P2" s="83"/>
      <c r="Q2" s="83"/>
      <c r="R2" s="83"/>
      <c r="S2" s="83"/>
      <c r="T2" s="83"/>
    </row>
    <row r="3" spans="1:37" ht="15.5" x14ac:dyDescent="0.35">
      <c r="A3" s="184" t="s">
        <v>514</v>
      </c>
      <c r="B3" s="184"/>
      <c r="C3" s="185">
        <v>0.28999999999999998</v>
      </c>
      <c r="D3" s="182"/>
      <c r="E3" s="184" t="s">
        <v>515</v>
      </c>
      <c r="F3" s="186">
        <v>13</v>
      </c>
      <c r="G3" s="83"/>
      <c r="H3" s="83"/>
      <c r="I3" s="83"/>
      <c r="J3" s="187"/>
      <c r="K3" s="187"/>
      <c r="L3" s="187"/>
      <c r="M3" s="187"/>
      <c r="N3" s="187"/>
      <c r="O3" s="187"/>
      <c r="P3" s="83"/>
      <c r="Q3" s="83"/>
      <c r="R3" s="83"/>
      <c r="S3" s="83"/>
      <c r="T3" s="83"/>
    </row>
    <row r="4" spans="1:37" ht="15.5" x14ac:dyDescent="0.35">
      <c r="A4" s="184" t="s">
        <v>516</v>
      </c>
      <c r="B4" s="184"/>
      <c r="C4" s="185">
        <v>0.08</v>
      </c>
      <c r="D4" s="182"/>
      <c r="E4" s="184" t="s">
        <v>517</v>
      </c>
      <c r="F4" s="186">
        <v>12</v>
      </c>
      <c r="G4" s="83"/>
      <c r="H4" s="83"/>
      <c r="I4" s="83"/>
      <c r="J4" s="187"/>
      <c r="K4" s="187"/>
      <c r="L4" s="187"/>
      <c r="M4" s="187"/>
      <c r="N4" s="187"/>
      <c r="O4" s="187"/>
      <c r="P4" s="83"/>
      <c r="Q4" s="83"/>
      <c r="R4" s="83"/>
      <c r="S4" s="83"/>
      <c r="T4" s="83"/>
    </row>
    <row r="5" spans="1:37" x14ac:dyDescent="0.35">
      <c r="D5" s="83"/>
      <c r="E5" s="83"/>
      <c r="F5" s="83"/>
      <c r="G5" s="83"/>
      <c r="H5" s="83"/>
      <c r="I5" s="83"/>
      <c r="J5" s="187"/>
      <c r="K5" s="187"/>
      <c r="L5" s="187"/>
      <c r="M5" s="187"/>
      <c r="N5" s="187"/>
      <c r="O5" s="187"/>
      <c r="P5" s="83"/>
      <c r="Q5" s="83"/>
      <c r="R5" s="83"/>
      <c r="S5" s="83"/>
      <c r="T5" s="83"/>
    </row>
    <row r="6" spans="1:37" x14ac:dyDescent="0.35">
      <c r="D6" s="83"/>
      <c r="E6" s="83"/>
      <c r="F6" s="83"/>
      <c r="G6" s="83"/>
      <c r="H6" s="83"/>
      <c r="I6" s="83"/>
      <c r="J6" s="187"/>
      <c r="K6" s="187"/>
      <c r="L6" s="187"/>
      <c r="M6" s="187"/>
      <c r="N6" s="187"/>
      <c r="O6" s="187"/>
      <c r="P6" s="83"/>
      <c r="Q6" s="83"/>
      <c r="R6" s="83"/>
      <c r="S6" s="83"/>
      <c r="T6" s="83"/>
    </row>
    <row r="7" spans="1:37" x14ac:dyDescent="0.35">
      <c r="D7" s="83"/>
      <c r="E7" s="83"/>
      <c r="F7" s="83"/>
      <c r="G7" s="83"/>
      <c r="H7" s="83"/>
      <c r="I7" s="83"/>
      <c r="J7" s="187"/>
      <c r="K7" s="187"/>
      <c r="L7" s="187"/>
      <c r="M7" s="187"/>
      <c r="N7" s="187"/>
      <c r="O7" s="187"/>
      <c r="P7" s="83"/>
      <c r="Q7" s="83"/>
      <c r="R7" s="83"/>
      <c r="S7" s="83"/>
      <c r="T7" s="83"/>
    </row>
    <row r="8" spans="1:37" ht="15" thickBot="1" x14ac:dyDescent="0.4">
      <c r="A8" s="188"/>
      <c r="B8" s="188">
        <v>1</v>
      </c>
      <c r="C8" s="188">
        <v>2</v>
      </c>
      <c r="D8" s="188">
        <v>3</v>
      </c>
      <c r="E8" s="188">
        <v>4</v>
      </c>
      <c r="F8" s="188">
        <v>5</v>
      </c>
      <c r="G8" s="188">
        <v>6</v>
      </c>
      <c r="H8" s="188">
        <v>7</v>
      </c>
      <c r="I8" s="188">
        <v>8</v>
      </c>
      <c r="J8" s="188">
        <v>9</v>
      </c>
      <c r="K8" s="188">
        <v>10</v>
      </c>
      <c r="L8" s="188">
        <v>11</v>
      </c>
      <c r="M8" s="188">
        <v>12</v>
      </c>
      <c r="N8" s="188">
        <v>13</v>
      </c>
      <c r="O8" s="188">
        <v>14</v>
      </c>
      <c r="P8" s="188">
        <v>15</v>
      </c>
      <c r="Q8" s="188">
        <v>16</v>
      </c>
      <c r="R8" s="188">
        <v>17</v>
      </c>
      <c r="S8" s="188">
        <v>18</v>
      </c>
      <c r="T8" s="188">
        <v>19</v>
      </c>
      <c r="U8" s="188">
        <v>20</v>
      </c>
      <c r="V8" s="188"/>
      <c r="W8" s="188"/>
    </row>
    <row r="9" spans="1:37" ht="16" thickBot="1" x14ac:dyDescent="0.4">
      <c r="A9" s="532"/>
      <c r="B9" s="533"/>
      <c r="C9" s="533"/>
      <c r="D9" s="533"/>
      <c r="E9" s="533"/>
      <c r="F9" s="533"/>
      <c r="G9" s="534" t="s">
        <v>518</v>
      </c>
      <c r="H9" s="535"/>
      <c r="I9" s="535"/>
      <c r="J9" s="536" t="s">
        <v>519</v>
      </c>
      <c r="K9" s="537"/>
      <c r="L9" s="538"/>
      <c r="M9" s="536" t="s">
        <v>520</v>
      </c>
      <c r="N9" s="537"/>
      <c r="O9" s="538"/>
      <c r="P9" s="528" t="s">
        <v>521</v>
      </c>
      <c r="Q9" s="528" t="s">
        <v>522</v>
      </c>
      <c r="R9" s="528" t="s">
        <v>523</v>
      </c>
      <c r="S9" s="530" t="s">
        <v>524</v>
      </c>
      <c r="T9" s="189"/>
    </row>
    <row r="10" spans="1:37" ht="43.5" x14ac:dyDescent="0.35">
      <c r="A10" s="190" t="s">
        <v>525</v>
      </c>
      <c r="B10" s="190" t="s">
        <v>526</v>
      </c>
      <c r="C10" s="190" t="s">
        <v>226</v>
      </c>
      <c r="D10" s="190" t="s">
        <v>527</v>
      </c>
      <c r="E10" s="190" t="s">
        <v>49</v>
      </c>
      <c r="F10" s="191" t="s">
        <v>443</v>
      </c>
      <c r="G10" s="192" t="s">
        <v>512</v>
      </c>
      <c r="H10" s="192" t="s">
        <v>514</v>
      </c>
      <c r="I10" s="192" t="s">
        <v>516</v>
      </c>
      <c r="J10" s="193" t="s">
        <v>512</v>
      </c>
      <c r="K10" s="194" t="s">
        <v>514</v>
      </c>
      <c r="L10" s="195" t="s">
        <v>516</v>
      </c>
      <c r="M10" s="193" t="s">
        <v>512</v>
      </c>
      <c r="N10" s="194" t="s">
        <v>514</v>
      </c>
      <c r="O10" s="195" t="s">
        <v>516</v>
      </c>
      <c r="P10" s="529"/>
      <c r="Q10" s="529"/>
      <c r="R10" s="529"/>
      <c r="S10" s="531"/>
      <c r="T10" s="189"/>
      <c r="U10" s="196" t="s">
        <v>528</v>
      </c>
      <c r="V10" s="196" t="s">
        <v>529</v>
      </c>
      <c r="W10" s="196" t="s">
        <v>530</v>
      </c>
      <c r="Y10" s="196" t="s">
        <v>531</v>
      </c>
      <c r="Z10" s="196" t="s">
        <v>532</v>
      </c>
      <c r="AA10" s="196" t="s">
        <v>533</v>
      </c>
    </row>
    <row r="11" spans="1:37" x14ac:dyDescent="0.35">
      <c r="A11" s="197">
        <v>3301000</v>
      </c>
      <c r="B11" s="197">
        <v>1000</v>
      </c>
      <c r="C11" s="197" t="s">
        <v>207</v>
      </c>
      <c r="D11" s="198" t="s">
        <v>245</v>
      </c>
      <c r="E11" s="198"/>
      <c r="F11" s="197"/>
      <c r="G11" s="199">
        <v>120</v>
      </c>
      <c r="H11" s="199">
        <v>195</v>
      </c>
      <c r="I11" s="199">
        <v>75</v>
      </c>
      <c r="J11" s="199">
        <v>120</v>
      </c>
      <c r="K11" s="199">
        <v>90</v>
      </c>
      <c r="L11" s="199">
        <v>105</v>
      </c>
      <c r="M11" s="200">
        <v>113.68421052631578</v>
      </c>
      <c r="N11" s="200">
        <v>151.57894736842104</v>
      </c>
      <c r="O11" s="200">
        <v>80.526315789473685</v>
      </c>
      <c r="P11" s="201">
        <f>(G11*$C$2*$F$2)+(J11*$C$2*$F$3)+(M11*$C$2*$F$4)</f>
        <v>2735.3684210526317</v>
      </c>
      <c r="Q11" s="201">
        <f>(H11*$C$3*$F$2)+(K11*$C$3*$F$3)+(N11*$C$3*$F$4)</f>
        <v>1601.9447368421052</v>
      </c>
      <c r="R11" s="201">
        <f>(I11*$C$4*$F$2)+(L11*$C$4*$F$3)+(O11*$C$4*$F$4)</f>
        <v>264.50526315789472</v>
      </c>
      <c r="S11" s="202">
        <f>R11+Q11+P11</f>
        <v>4601.8184210526315</v>
      </c>
      <c r="T11" s="203"/>
      <c r="U11" s="204">
        <f>(G11*$C$2*$F$2)+(H11*$C$3*$F$2)+(I11*$C$4*$F$2)</f>
        <v>1764.75</v>
      </c>
      <c r="V11" s="204">
        <f>(J11*$C$2*$F$3)+(K11*$C$3*$F$3)+(L11*$C$4*$F$3)</f>
        <v>1400.1000000000001</v>
      </c>
      <c r="W11" s="204">
        <f>(M11*$C$2*$F$4)+(N11*$C$3*$F$4)+(O11*$C$4*$F$4)</f>
        <v>1436.9684210526316</v>
      </c>
      <c r="Y11" s="205">
        <f>U11*0.8</f>
        <v>1411.8000000000002</v>
      </c>
      <c r="Z11" s="205">
        <f t="shared" ref="Z11:AA26" si="0">V11*0.8</f>
        <v>1120.0800000000002</v>
      </c>
      <c r="AA11" s="205">
        <f t="shared" si="0"/>
        <v>1149.5747368421053</v>
      </c>
      <c r="AC11" t="s">
        <v>206</v>
      </c>
      <c r="AD11" s="205">
        <f>(((U11+V11+W11)*5/12)*80%)</f>
        <v>1533.9394736842107</v>
      </c>
      <c r="AF11">
        <f>Y11/(SUM($U$11:$W$11))</f>
        <v>0.30679176595522023</v>
      </c>
      <c r="AG11">
        <f>Z11/(SUM($U$11:$W$11))</f>
        <v>0.24339943420535703</v>
      </c>
      <c r="AH11">
        <f t="shared" ref="AH11" si="1">AA11/(SUM($U$11:$W$11))</f>
        <v>0.2498087998394227</v>
      </c>
      <c r="AJ11">
        <v>1764.75</v>
      </c>
      <c r="AK11" s="205">
        <f>U11-AJ11</f>
        <v>0</v>
      </c>
    </row>
    <row r="12" spans="1:37" x14ac:dyDescent="0.35">
      <c r="A12" s="197">
        <v>3301001</v>
      </c>
      <c r="B12" s="197">
        <v>1001</v>
      </c>
      <c r="C12" s="197" t="s">
        <v>181</v>
      </c>
      <c r="D12" s="198" t="s">
        <v>246</v>
      </c>
      <c r="E12" s="198"/>
      <c r="F12" s="197"/>
      <c r="G12" s="199">
        <v>120</v>
      </c>
      <c r="H12" s="199">
        <v>150</v>
      </c>
      <c r="I12" s="199">
        <v>510</v>
      </c>
      <c r="J12" s="199">
        <v>120</v>
      </c>
      <c r="K12" s="199">
        <v>75</v>
      </c>
      <c r="L12" s="199">
        <v>345</v>
      </c>
      <c r="M12" s="200">
        <v>108.94736842105263</v>
      </c>
      <c r="N12" s="200">
        <v>94.73684210526315</v>
      </c>
      <c r="O12" s="200">
        <v>378.9473684210526</v>
      </c>
      <c r="P12" s="201">
        <f t="shared" ref="P12:P75" si="2">(G12*$C$2*$F$2)+(J12*$C$2*$F$3)+(M12*$C$2*$F$4)</f>
        <v>2700.6947368421052</v>
      </c>
      <c r="Q12" s="201">
        <f t="shared" ref="Q12:Q75" si="3">(H12*$C$3*$F$2)+(K12*$C$3*$F$3)+(N12*$C$3*$F$4)</f>
        <v>1177.9342105263158</v>
      </c>
      <c r="R12" s="201">
        <f t="shared" ref="R12:R75" si="4">(I12*$C$4*$F$2)+(L12*$C$4*$F$3)+(O12*$C$4*$F$4)</f>
        <v>1252.9894736842107</v>
      </c>
      <c r="S12" s="202">
        <f t="shared" ref="S12:S75" si="5">R12+Q12+P12</f>
        <v>5131.6184210526317</v>
      </c>
      <c r="T12" s="203"/>
      <c r="U12" s="204">
        <f t="shared" ref="U12:U75" si="6">(G12*$C$2*$F$2)+(H12*$C$3*$F$2)+(I12*$C$4*$F$2)</f>
        <v>2047.5</v>
      </c>
      <c r="V12" s="204">
        <f t="shared" ref="V12:V75" si="7">(J12*$C$2*$F$3)+(K12*$C$3*$F$3)+(L12*$C$4*$F$3)</f>
        <v>1593.1499999999999</v>
      </c>
      <c r="W12" s="204">
        <f t="shared" ref="W12:W75" si="8">(M12*$C$2*$F$4)+(N12*$C$3*$F$4)+(O12*$C$4*$F$4)</f>
        <v>1490.9684210526316</v>
      </c>
      <c r="Y12" s="205">
        <f t="shared" ref="Y12:AA75" si="9">U12*0.8</f>
        <v>1638</v>
      </c>
      <c r="Z12" s="205">
        <f t="shared" si="0"/>
        <v>1274.52</v>
      </c>
      <c r="AA12" s="205">
        <f t="shared" si="0"/>
        <v>1192.7747368421053</v>
      </c>
      <c r="AC12" t="s">
        <v>180</v>
      </c>
      <c r="AJ12">
        <v>2047.5</v>
      </c>
      <c r="AK12" s="205">
        <f t="shared" ref="AK12:AK75" si="10">U12-AJ12</f>
        <v>0</v>
      </c>
    </row>
    <row r="13" spans="1:37" x14ac:dyDescent="0.35">
      <c r="A13" s="197">
        <v>3301002</v>
      </c>
      <c r="B13" s="197">
        <v>1002</v>
      </c>
      <c r="C13" s="197" t="s">
        <v>46</v>
      </c>
      <c r="D13" s="198" t="s">
        <v>27</v>
      </c>
      <c r="E13" s="198"/>
      <c r="F13" s="197"/>
      <c r="G13" s="199">
        <v>1515</v>
      </c>
      <c r="H13" s="199">
        <v>210</v>
      </c>
      <c r="I13" s="199">
        <v>30</v>
      </c>
      <c r="J13" s="199">
        <v>1050</v>
      </c>
      <c r="K13" s="199">
        <v>240</v>
      </c>
      <c r="L13" s="199">
        <v>15</v>
      </c>
      <c r="M13" s="200">
        <v>1113.1578947368421</v>
      </c>
      <c r="N13" s="200">
        <v>189.4736842105263</v>
      </c>
      <c r="O13" s="200">
        <v>28.421052631578945</v>
      </c>
      <c r="P13" s="201">
        <f t="shared" si="2"/>
        <v>28488.76578947368</v>
      </c>
      <c r="Q13" s="201">
        <f t="shared" si="3"/>
        <v>2355.8684210526317</v>
      </c>
      <c r="R13" s="201">
        <f t="shared" si="4"/>
        <v>74.084210526315786</v>
      </c>
      <c r="S13" s="202">
        <f t="shared" si="5"/>
        <v>30918.718421052628</v>
      </c>
      <c r="T13" s="203"/>
      <c r="U13" s="204">
        <f t="shared" si="6"/>
        <v>12836.85</v>
      </c>
      <c r="V13" s="204">
        <f t="shared" si="7"/>
        <v>9246.9</v>
      </c>
      <c r="W13" s="204">
        <f t="shared" si="8"/>
        <v>8834.9684210526302</v>
      </c>
      <c r="Y13" s="205">
        <f t="shared" si="9"/>
        <v>10269.480000000001</v>
      </c>
      <c r="Z13" s="205">
        <f t="shared" si="0"/>
        <v>7397.52</v>
      </c>
      <c r="AA13" s="205">
        <f t="shared" si="0"/>
        <v>7067.9747368421049</v>
      </c>
      <c r="AC13" t="s">
        <v>45</v>
      </c>
      <c r="AJ13">
        <v>12836.85</v>
      </c>
      <c r="AK13" s="205">
        <f t="shared" si="10"/>
        <v>0</v>
      </c>
    </row>
    <row r="14" spans="1:37" x14ac:dyDescent="0.35">
      <c r="A14" s="197">
        <v>3301006</v>
      </c>
      <c r="B14" s="197">
        <v>1006</v>
      </c>
      <c r="C14" s="197" t="s">
        <v>77</v>
      </c>
      <c r="D14" s="198" t="s">
        <v>27</v>
      </c>
      <c r="E14" s="198"/>
      <c r="F14" s="197"/>
      <c r="G14" s="199">
        <v>180</v>
      </c>
      <c r="H14" s="199">
        <v>30</v>
      </c>
      <c r="I14" s="199">
        <v>105</v>
      </c>
      <c r="J14" s="199">
        <v>195</v>
      </c>
      <c r="K14" s="199">
        <v>90</v>
      </c>
      <c r="L14" s="199">
        <v>105</v>
      </c>
      <c r="M14" s="200">
        <v>175.26315789473682</v>
      </c>
      <c r="N14" s="200">
        <v>47.368421052631575</v>
      </c>
      <c r="O14" s="200">
        <v>99.473684210526301</v>
      </c>
      <c r="P14" s="201">
        <f t="shared" si="2"/>
        <v>4256.6763157894729</v>
      </c>
      <c r="Q14" s="201">
        <f t="shared" si="3"/>
        <v>617.24210526315778</v>
      </c>
      <c r="R14" s="201">
        <f t="shared" si="4"/>
        <v>313.89473684210526</v>
      </c>
      <c r="S14" s="202">
        <f t="shared" si="5"/>
        <v>5187.8131578947359</v>
      </c>
      <c r="T14" s="203"/>
      <c r="U14" s="204">
        <f t="shared" si="6"/>
        <v>1649.6999999999998</v>
      </c>
      <c r="V14" s="204">
        <f t="shared" si="7"/>
        <v>1994.8500000000001</v>
      </c>
      <c r="W14" s="204">
        <f t="shared" si="8"/>
        <v>1543.2631578947367</v>
      </c>
      <c r="Y14" s="205">
        <f t="shared" si="9"/>
        <v>1319.76</v>
      </c>
      <c r="Z14" s="205">
        <f t="shared" si="0"/>
        <v>1595.88</v>
      </c>
      <c r="AA14" s="205">
        <f t="shared" si="0"/>
        <v>1234.6105263157895</v>
      </c>
      <c r="AC14" t="s">
        <v>76</v>
      </c>
      <c r="AJ14">
        <v>1649.6999999999998</v>
      </c>
      <c r="AK14" s="205">
        <f t="shared" si="10"/>
        <v>0</v>
      </c>
    </row>
    <row r="15" spans="1:37" x14ac:dyDescent="0.35">
      <c r="A15" s="197">
        <v>3301008</v>
      </c>
      <c r="B15" s="197">
        <v>1008</v>
      </c>
      <c r="C15" s="197" t="s">
        <v>247</v>
      </c>
      <c r="D15" s="198" t="s">
        <v>27</v>
      </c>
      <c r="E15" s="198"/>
      <c r="F15" s="197"/>
      <c r="G15" s="199">
        <v>45</v>
      </c>
      <c r="H15" s="199">
        <v>0</v>
      </c>
      <c r="I15" s="199">
        <v>15</v>
      </c>
      <c r="J15" s="199">
        <v>15</v>
      </c>
      <c r="K15" s="199">
        <v>30</v>
      </c>
      <c r="L15" s="199">
        <v>60</v>
      </c>
      <c r="M15" s="200">
        <v>33.157894736842103</v>
      </c>
      <c r="N15" s="200">
        <v>9.473684210526315</v>
      </c>
      <c r="O15" s="200">
        <v>28.421052631578945</v>
      </c>
      <c r="P15" s="201">
        <f t="shared" si="2"/>
        <v>718.51578947368409</v>
      </c>
      <c r="Q15" s="201">
        <f t="shared" si="3"/>
        <v>146.06842105263158</v>
      </c>
      <c r="R15" s="201">
        <f t="shared" si="4"/>
        <v>105.28421052631579</v>
      </c>
      <c r="S15" s="202">
        <f t="shared" si="5"/>
        <v>969.86842105263145</v>
      </c>
      <c r="T15" s="203"/>
      <c r="U15" s="204">
        <f t="shared" si="6"/>
        <v>372.45</v>
      </c>
      <c r="V15" s="204">
        <f t="shared" si="7"/>
        <v>294.45</v>
      </c>
      <c r="W15" s="204">
        <f t="shared" si="8"/>
        <v>302.96842105263153</v>
      </c>
      <c r="Y15" s="205">
        <f t="shared" si="9"/>
        <v>297.95999999999998</v>
      </c>
      <c r="Z15" s="205">
        <f t="shared" si="0"/>
        <v>235.56</v>
      </c>
      <c r="AA15" s="205">
        <f t="shared" si="0"/>
        <v>242.37473684210522</v>
      </c>
      <c r="AC15" t="s">
        <v>122</v>
      </c>
      <c r="AJ15">
        <v>372.45</v>
      </c>
      <c r="AK15" s="205">
        <f t="shared" si="10"/>
        <v>0</v>
      </c>
    </row>
    <row r="16" spans="1:37" x14ac:dyDescent="0.35">
      <c r="A16" s="197">
        <v>3301009</v>
      </c>
      <c r="B16" s="197">
        <v>1009</v>
      </c>
      <c r="C16" s="197" t="s">
        <v>248</v>
      </c>
      <c r="D16" s="198" t="s">
        <v>245</v>
      </c>
      <c r="E16" s="198"/>
      <c r="F16" s="197"/>
      <c r="G16" s="199">
        <v>840</v>
      </c>
      <c r="H16" s="199">
        <v>195</v>
      </c>
      <c r="I16" s="199">
        <v>105</v>
      </c>
      <c r="J16" s="199">
        <v>615</v>
      </c>
      <c r="K16" s="199">
        <v>90</v>
      </c>
      <c r="L16" s="199">
        <v>15</v>
      </c>
      <c r="M16" s="200">
        <v>596.84210526315792</v>
      </c>
      <c r="N16" s="200">
        <v>113.68421052631578</v>
      </c>
      <c r="O16" s="200">
        <v>66.315789473684205</v>
      </c>
      <c r="P16" s="201">
        <f t="shared" si="2"/>
        <v>15907.034210526315</v>
      </c>
      <c r="Q16" s="201">
        <f t="shared" si="3"/>
        <v>1470.0710526315788</v>
      </c>
      <c r="R16" s="201">
        <f t="shared" si="4"/>
        <v>188.46315789473684</v>
      </c>
      <c r="S16" s="202">
        <f t="shared" si="5"/>
        <v>17565.568421052631</v>
      </c>
      <c r="T16" s="203"/>
      <c r="U16" s="204">
        <f t="shared" si="6"/>
        <v>7505.5499999999993</v>
      </c>
      <c r="V16" s="204">
        <f t="shared" si="7"/>
        <v>5231.8500000000004</v>
      </c>
      <c r="W16" s="204">
        <f t="shared" si="8"/>
        <v>4828.1684210526319</v>
      </c>
      <c r="Y16" s="205">
        <f t="shared" si="9"/>
        <v>6004.44</v>
      </c>
      <c r="Z16" s="205">
        <f t="shared" si="0"/>
        <v>4185.4800000000005</v>
      </c>
      <c r="AA16" s="205">
        <f t="shared" si="0"/>
        <v>3862.5347368421058</v>
      </c>
      <c r="AC16" t="s">
        <v>214</v>
      </c>
      <c r="AJ16">
        <v>7505.5499999999993</v>
      </c>
      <c r="AK16" s="205">
        <f t="shared" si="10"/>
        <v>0</v>
      </c>
    </row>
    <row r="17" spans="1:37" x14ac:dyDescent="0.35">
      <c r="A17" s="197">
        <v>3301010</v>
      </c>
      <c r="B17" s="197">
        <v>1010</v>
      </c>
      <c r="C17" s="197" t="s">
        <v>249</v>
      </c>
      <c r="D17" s="198" t="s">
        <v>27</v>
      </c>
      <c r="E17" s="198"/>
      <c r="F17" s="197"/>
      <c r="G17" s="199">
        <v>45</v>
      </c>
      <c r="H17" s="199">
        <v>615</v>
      </c>
      <c r="I17" s="199">
        <v>1830</v>
      </c>
      <c r="J17" s="199">
        <v>90</v>
      </c>
      <c r="K17" s="199">
        <v>405</v>
      </c>
      <c r="L17" s="199">
        <v>1470</v>
      </c>
      <c r="M17" s="200">
        <v>56.84210526315789</v>
      </c>
      <c r="N17" s="200">
        <v>421.57894736842104</v>
      </c>
      <c r="O17" s="200">
        <v>1402.1052631578946</v>
      </c>
      <c r="P17" s="201">
        <f t="shared" si="2"/>
        <v>1486.6342105263157</v>
      </c>
      <c r="Q17" s="201">
        <f t="shared" si="3"/>
        <v>5312.4947368421044</v>
      </c>
      <c r="R17" s="201">
        <f t="shared" si="4"/>
        <v>4778.0210526315786</v>
      </c>
      <c r="S17" s="202">
        <f t="shared" si="5"/>
        <v>11577.15</v>
      </c>
      <c r="T17" s="203"/>
      <c r="U17" s="204">
        <f t="shared" si="6"/>
        <v>4578.5999999999995</v>
      </c>
      <c r="V17" s="204">
        <f t="shared" si="7"/>
        <v>3769.35</v>
      </c>
      <c r="W17" s="204">
        <f t="shared" si="8"/>
        <v>3229.2</v>
      </c>
      <c r="Y17" s="205">
        <f t="shared" si="9"/>
        <v>3662.8799999999997</v>
      </c>
      <c r="Z17" s="205">
        <f t="shared" si="0"/>
        <v>3015.48</v>
      </c>
      <c r="AA17" s="205">
        <f t="shared" si="0"/>
        <v>2583.36</v>
      </c>
      <c r="AC17" t="s">
        <v>88</v>
      </c>
      <c r="AJ17">
        <v>4578.5999999999995</v>
      </c>
      <c r="AK17" s="205">
        <f t="shared" si="10"/>
        <v>0</v>
      </c>
    </row>
    <row r="18" spans="1:37" x14ac:dyDescent="0.35">
      <c r="A18" s="197">
        <v>3301012</v>
      </c>
      <c r="B18" s="197">
        <v>1012</v>
      </c>
      <c r="C18" s="197" t="s">
        <v>109</v>
      </c>
      <c r="D18" s="198" t="s">
        <v>27</v>
      </c>
      <c r="E18" s="198"/>
      <c r="F18" s="197"/>
      <c r="G18" s="199">
        <v>165</v>
      </c>
      <c r="H18" s="199">
        <v>450</v>
      </c>
      <c r="I18" s="199">
        <v>285</v>
      </c>
      <c r="J18" s="199">
        <v>270</v>
      </c>
      <c r="K18" s="199">
        <v>405</v>
      </c>
      <c r="L18" s="199">
        <v>195</v>
      </c>
      <c r="M18" s="200">
        <v>175.26315789473682</v>
      </c>
      <c r="N18" s="200">
        <v>374.21052631578948</v>
      </c>
      <c r="O18" s="200">
        <v>217.89473684210526</v>
      </c>
      <c r="P18" s="201">
        <f t="shared" si="2"/>
        <v>4732.4763157894731</v>
      </c>
      <c r="Q18" s="201">
        <f t="shared" si="3"/>
        <v>4525.6026315789477</v>
      </c>
      <c r="R18" s="201">
        <f t="shared" si="4"/>
        <v>708.37894736842111</v>
      </c>
      <c r="S18" s="202">
        <f t="shared" si="5"/>
        <v>9966.4578947368427</v>
      </c>
      <c r="T18" s="203"/>
      <c r="U18" s="204">
        <f t="shared" si="6"/>
        <v>3301.35</v>
      </c>
      <c r="V18" s="204">
        <f t="shared" si="7"/>
        <v>3870.75</v>
      </c>
      <c r="W18" s="204">
        <f t="shared" si="8"/>
        <v>2794.3578947368419</v>
      </c>
      <c r="Y18" s="205">
        <f t="shared" si="9"/>
        <v>2641.08</v>
      </c>
      <c r="Z18" s="205">
        <f t="shared" si="0"/>
        <v>3096.6000000000004</v>
      </c>
      <c r="AA18" s="205">
        <f t="shared" si="0"/>
        <v>2235.4863157894738</v>
      </c>
      <c r="AC18" t="s">
        <v>108</v>
      </c>
      <c r="AJ18">
        <v>3301.35</v>
      </c>
      <c r="AK18" s="205">
        <f t="shared" si="10"/>
        <v>0</v>
      </c>
    </row>
    <row r="19" spans="1:37" x14ac:dyDescent="0.35">
      <c r="A19" s="197">
        <v>3301014</v>
      </c>
      <c r="B19" s="197">
        <v>1014</v>
      </c>
      <c r="C19" s="197" t="s">
        <v>167</v>
      </c>
      <c r="D19" s="198" t="s">
        <v>27</v>
      </c>
      <c r="E19" s="198"/>
      <c r="F19" s="197"/>
      <c r="G19" s="199">
        <v>750</v>
      </c>
      <c r="H19" s="199">
        <v>330</v>
      </c>
      <c r="I19" s="199">
        <v>195</v>
      </c>
      <c r="J19" s="199">
        <v>465</v>
      </c>
      <c r="K19" s="199">
        <v>270</v>
      </c>
      <c r="L19" s="199">
        <v>255</v>
      </c>
      <c r="M19" s="200">
        <v>558.94736842105272</v>
      </c>
      <c r="N19" s="200">
        <v>274.73684210526318</v>
      </c>
      <c r="O19" s="200">
        <v>189.4736842105263</v>
      </c>
      <c r="P19" s="201">
        <f t="shared" si="2"/>
        <v>13726.444736842106</v>
      </c>
      <c r="Q19" s="201">
        <f t="shared" si="3"/>
        <v>3218.0842105263159</v>
      </c>
      <c r="R19" s="201">
        <f t="shared" si="4"/>
        <v>649.8947368421052</v>
      </c>
      <c r="S19" s="202">
        <f t="shared" si="5"/>
        <v>17594.423684210527</v>
      </c>
      <c r="T19" s="203"/>
      <c r="U19" s="204">
        <f t="shared" si="6"/>
        <v>7394.4000000000005</v>
      </c>
      <c r="V19" s="204">
        <f t="shared" si="7"/>
        <v>4970.5499999999993</v>
      </c>
      <c r="W19" s="204">
        <f t="shared" si="8"/>
        <v>5229.4736842105267</v>
      </c>
      <c r="Y19" s="205">
        <f t="shared" si="9"/>
        <v>5915.52</v>
      </c>
      <c r="Z19" s="205">
        <f t="shared" si="0"/>
        <v>3976.4399999999996</v>
      </c>
      <c r="AA19" s="205">
        <f t="shared" si="0"/>
        <v>4183.5789473684217</v>
      </c>
      <c r="AC19" t="s">
        <v>166</v>
      </c>
      <c r="AJ19">
        <v>7394.4000000000005</v>
      </c>
      <c r="AK19" s="205">
        <f t="shared" si="10"/>
        <v>0</v>
      </c>
    </row>
    <row r="20" spans="1:37" x14ac:dyDescent="0.35">
      <c r="A20" s="197">
        <v>3301015</v>
      </c>
      <c r="B20" s="197">
        <v>1015</v>
      </c>
      <c r="C20" s="197" t="s">
        <v>250</v>
      </c>
      <c r="D20" s="198" t="s">
        <v>27</v>
      </c>
      <c r="E20" s="198"/>
      <c r="F20" s="197"/>
      <c r="G20" s="199">
        <v>180</v>
      </c>
      <c r="H20" s="199">
        <v>195</v>
      </c>
      <c r="I20" s="199">
        <v>60</v>
      </c>
      <c r="J20" s="199">
        <v>150</v>
      </c>
      <c r="K20" s="199">
        <v>165</v>
      </c>
      <c r="L20" s="199">
        <v>75</v>
      </c>
      <c r="M20" s="200">
        <v>151.57894736842104</v>
      </c>
      <c r="N20" s="200">
        <v>151.57894736842104</v>
      </c>
      <c r="O20" s="200">
        <v>66.315789473684205</v>
      </c>
      <c r="P20" s="201">
        <f t="shared" si="2"/>
        <v>3726.4578947368418</v>
      </c>
      <c r="Q20" s="201">
        <f t="shared" si="3"/>
        <v>1884.6947368421052</v>
      </c>
      <c r="R20" s="201">
        <f t="shared" si="4"/>
        <v>204.06315789473683</v>
      </c>
      <c r="S20" s="202">
        <f t="shared" si="5"/>
        <v>5815.2157894736838</v>
      </c>
      <c r="T20" s="203"/>
      <c r="U20" s="204">
        <f t="shared" si="6"/>
        <v>2224.9499999999998</v>
      </c>
      <c r="V20" s="204">
        <f t="shared" si="7"/>
        <v>1889.55</v>
      </c>
      <c r="W20" s="204">
        <f t="shared" si="8"/>
        <v>1700.7157894736843</v>
      </c>
      <c r="Y20" s="205">
        <f t="shared" si="9"/>
        <v>1779.96</v>
      </c>
      <c r="Z20" s="205">
        <f t="shared" si="0"/>
        <v>1511.64</v>
      </c>
      <c r="AA20" s="205">
        <f t="shared" si="0"/>
        <v>1360.5726315789475</v>
      </c>
      <c r="AC20" t="s">
        <v>78</v>
      </c>
      <c r="AJ20">
        <v>2224.9499999999998</v>
      </c>
      <c r="AK20" s="205">
        <f t="shared" si="10"/>
        <v>0</v>
      </c>
    </row>
    <row r="21" spans="1:37" x14ac:dyDescent="0.35">
      <c r="A21" s="197">
        <v>3301016</v>
      </c>
      <c r="B21" s="197">
        <v>1016</v>
      </c>
      <c r="C21" s="197" t="s">
        <v>101</v>
      </c>
      <c r="D21" s="198" t="s">
        <v>27</v>
      </c>
      <c r="E21" s="198"/>
      <c r="F21" s="197"/>
      <c r="G21" s="199">
        <v>360</v>
      </c>
      <c r="H21" s="199">
        <v>90</v>
      </c>
      <c r="I21" s="199">
        <v>120</v>
      </c>
      <c r="J21" s="199">
        <v>300</v>
      </c>
      <c r="K21" s="199">
        <v>120</v>
      </c>
      <c r="L21" s="199">
        <v>90</v>
      </c>
      <c r="M21" s="200">
        <v>284.21052631578948</v>
      </c>
      <c r="N21" s="200">
        <v>85.26315789473685</v>
      </c>
      <c r="O21" s="200">
        <v>99.473684210526301</v>
      </c>
      <c r="P21" s="201">
        <f t="shared" si="2"/>
        <v>7314.2210526315785</v>
      </c>
      <c r="Q21" s="201">
        <f t="shared" si="3"/>
        <v>1088.4157894736841</v>
      </c>
      <c r="R21" s="201">
        <f t="shared" si="4"/>
        <v>313.89473684210526</v>
      </c>
      <c r="S21" s="202">
        <f t="shared" si="5"/>
        <v>8716.531578947368</v>
      </c>
      <c r="T21" s="203"/>
      <c r="U21" s="204">
        <f t="shared" si="6"/>
        <v>3318.8999999999996</v>
      </c>
      <c r="V21" s="204">
        <f t="shared" si="7"/>
        <v>2925</v>
      </c>
      <c r="W21" s="204">
        <f t="shared" si="8"/>
        <v>2472.6315789473688</v>
      </c>
      <c r="Y21" s="205">
        <f t="shared" si="9"/>
        <v>2655.12</v>
      </c>
      <c r="Z21" s="205">
        <f t="shared" si="0"/>
        <v>2340</v>
      </c>
      <c r="AA21" s="205">
        <f t="shared" si="0"/>
        <v>1978.105263157895</v>
      </c>
      <c r="AC21" t="s">
        <v>100</v>
      </c>
      <c r="AJ21">
        <v>3318.8999999999996</v>
      </c>
      <c r="AK21" s="205">
        <f t="shared" si="10"/>
        <v>0</v>
      </c>
    </row>
    <row r="22" spans="1:37" x14ac:dyDescent="0.35">
      <c r="A22" s="197">
        <v>3301017</v>
      </c>
      <c r="B22" s="197">
        <v>1017</v>
      </c>
      <c r="C22" s="197" t="s">
        <v>29</v>
      </c>
      <c r="D22" s="198" t="s">
        <v>27</v>
      </c>
      <c r="E22" s="198"/>
      <c r="F22" s="197"/>
      <c r="G22" s="199">
        <v>405</v>
      </c>
      <c r="H22" s="199">
        <v>510</v>
      </c>
      <c r="I22" s="199">
        <v>315</v>
      </c>
      <c r="J22" s="199">
        <v>300</v>
      </c>
      <c r="K22" s="199">
        <v>375</v>
      </c>
      <c r="L22" s="199">
        <v>330</v>
      </c>
      <c r="M22" s="200">
        <v>307.89473684210526</v>
      </c>
      <c r="N22" s="200">
        <v>369.47368421052636</v>
      </c>
      <c r="O22" s="200">
        <v>255.78947368421052</v>
      </c>
      <c r="P22" s="201">
        <f t="shared" si="2"/>
        <v>7844.4394736842096</v>
      </c>
      <c r="Q22" s="201">
        <f t="shared" si="3"/>
        <v>4622.2184210526311</v>
      </c>
      <c r="R22" s="201">
        <f t="shared" si="4"/>
        <v>916.35789473684213</v>
      </c>
      <c r="S22" s="202">
        <f t="shared" si="5"/>
        <v>13383.015789473684</v>
      </c>
      <c r="T22" s="203"/>
      <c r="U22" s="204">
        <f t="shared" si="6"/>
        <v>5461.95</v>
      </c>
      <c r="V22" s="204">
        <f t="shared" si="7"/>
        <v>4135.95</v>
      </c>
      <c r="W22" s="204">
        <f t="shared" si="8"/>
        <v>3785.1157894736843</v>
      </c>
      <c r="Y22" s="205">
        <f t="shared" si="9"/>
        <v>4369.5600000000004</v>
      </c>
      <c r="Z22" s="205">
        <f t="shared" si="0"/>
        <v>3308.76</v>
      </c>
      <c r="AA22" s="205">
        <f t="shared" si="0"/>
        <v>3028.0926315789475</v>
      </c>
      <c r="AC22" t="s">
        <v>28</v>
      </c>
      <c r="AJ22">
        <v>5461.95</v>
      </c>
      <c r="AK22" s="205">
        <f t="shared" si="10"/>
        <v>0</v>
      </c>
    </row>
    <row r="23" spans="1:37" x14ac:dyDescent="0.35">
      <c r="A23" s="197">
        <v>3301018</v>
      </c>
      <c r="B23" s="197">
        <v>1018</v>
      </c>
      <c r="C23" s="197" t="s">
        <v>129</v>
      </c>
      <c r="D23" s="198" t="s">
        <v>27</v>
      </c>
      <c r="E23" s="198"/>
      <c r="F23" s="197"/>
      <c r="G23" s="199">
        <v>840</v>
      </c>
      <c r="H23" s="199">
        <v>330</v>
      </c>
      <c r="I23" s="199">
        <v>405</v>
      </c>
      <c r="J23" s="199">
        <v>510</v>
      </c>
      <c r="K23" s="199">
        <v>195</v>
      </c>
      <c r="L23" s="199">
        <v>375</v>
      </c>
      <c r="M23" s="200">
        <v>592.1052631578948</v>
      </c>
      <c r="N23" s="200">
        <v>232.10526315789474</v>
      </c>
      <c r="O23" s="200">
        <v>303.15789473684208</v>
      </c>
      <c r="P23" s="201">
        <f t="shared" si="2"/>
        <v>15039.71052631579</v>
      </c>
      <c r="Q23" s="201">
        <f t="shared" si="3"/>
        <v>2786.9763157894736</v>
      </c>
      <c r="R23" s="201">
        <f t="shared" si="4"/>
        <v>1102.2315789473685</v>
      </c>
      <c r="S23" s="202">
        <f t="shared" si="5"/>
        <v>18928.918421052633</v>
      </c>
      <c r="T23" s="203"/>
      <c r="U23" s="204">
        <f t="shared" si="6"/>
        <v>8326.5</v>
      </c>
      <c r="V23" s="204">
        <f t="shared" si="7"/>
        <v>5169.45</v>
      </c>
      <c r="W23" s="204">
        <f t="shared" si="8"/>
        <v>5432.968421052632</v>
      </c>
      <c r="Y23" s="205">
        <f t="shared" si="9"/>
        <v>6661.2000000000007</v>
      </c>
      <c r="Z23" s="205">
        <f t="shared" si="0"/>
        <v>4135.5600000000004</v>
      </c>
      <c r="AA23" s="205">
        <f t="shared" si="0"/>
        <v>4346.3747368421054</v>
      </c>
      <c r="AC23" t="s">
        <v>128</v>
      </c>
      <c r="AJ23">
        <v>8326.5</v>
      </c>
      <c r="AK23" s="205">
        <f t="shared" si="10"/>
        <v>0</v>
      </c>
    </row>
    <row r="24" spans="1:37" x14ac:dyDescent="0.35">
      <c r="A24" s="197">
        <v>3301019</v>
      </c>
      <c r="B24" s="197">
        <v>1019</v>
      </c>
      <c r="C24" s="197" t="s">
        <v>185</v>
      </c>
      <c r="D24" s="198" t="s">
        <v>246</v>
      </c>
      <c r="E24" s="198"/>
      <c r="F24" s="197"/>
      <c r="G24" s="199">
        <v>315</v>
      </c>
      <c r="H24" s="199">
        <v>330</v>
      </c>
      <c r="I24" s="199">
        <v>945</v>
      </c>
      <c r="J24" s="199">
        <v>285</v>
      </c>
      <c r="K24" s="199">
        <v>270</v>
      </c>
      <c r="L24" s="199">
        <v>540</v>
      </c>
      <c r="M24" s="200">
        <v>251.0526315789474</v>
      </c>
      <c r="N24" s="200">
        <v>270</v>
      </c>
      <c r="O24" s="200">
        <v>701.05263157894728</v>
      </c>
      <c r="P24" s="201">
        <f t="shared" si="2"/>
        <v>6595.7052631578954</v>
      </c>
      <c r="Q24" s="201">
        <f t="shared" si="3"/>
        <v>3201.6</v>
      </c>
      <c r="R24" s="201">
        <f t="shared" si="4"/>
        <v>2217.4105263157894</v>
      </c>
      <c r="S24" s="202">
        <f t="shared" si="5"/>
        <v>12014.715789473685</v>
      </c>
      <c r="T24" s="203"/>
      <c r="U24" s="204">
        <f t="shared" si="6"/>
        <v>4724.8500000000004</v>
      </c>
      <c r="V24" s="204">
        <f t="shared" si="7"/>
        <v>3839.5499999999997</v>
      </c>
      <c r="W24" s="204">
        <f t="shared" si="8"/>
        <v>3450.3157894736842</v>
      </c>
      <c r="Y24" s="205">
        <f t="shared" si="9"/>
        <v>3779.8800000000006</v>
      </c>
      <c r="Z24" s="205">
        <f t="shared" si="0"/>
        <v>3071.64</v>
      </c>
      <c r="AA24" s="205">
        <f t="shared" si="0"/>
        <v>2760.2526315789473</v>
      </c>
      <c r="AC24" t="s">
        <v>184</v>
      </c>
      <c r="AJ24">
        <v>4724.8500000000004</v>
      </c>
      <c r="AK24" s="205">
        <f t="shared" si="10"/>
        <v>0</v>
      </c>
    </row>
    <row r="25" spans="1:37" x14ac:dyDescent="0.35">
      <c r="A25" s="197">
        <v>3301020</v>
      </c>
      <c r="B25" s="197">
        <v>1020</v>
      </c>
      <c r="C25" s="197" t="s">
        <v>219</v>
      </c>
      <c r="D25" s="198" t="s">
        <v>245</v>
      </c>
      <c r="E25" s="198"/>
      <c r="F25" s="197"/>
      <c r="G25" s="199">
        <v>1095</v>
      </c>
      <c r="H25" s="199">
        <v>1065</v>
      </c>
      <c r="I25" s="199">
        <v>435</v>
      </c>
      <c r="J25" s="199">
        <v>810</v>
      </c>
      <c r="K25" s="199">
        <v>705</v>
      </c>
      <c r="L25" s="199">
        <v>585</v>
      </c>
      <c r="M25" s="200">
        <v>781.57894736842104</v>
      </c>
      <c r="N25" s="200">
        <v>753.15789473684208</v>
      </c>
      <c r="O25" s="200">
        <v>407.36842105263156</v>
      </c>
      <c r="P25" s="201">
        <f t="shared" si="2"/>
        <v>20827.807894736841</v>
      </c>
      <c r="Q25" s="201">
        <f t="shared" si="3"/>
        <v>9293.8894736842103</v>
      </c>
      <c r="R25" s="201">
        <f t="shared" si="4"/>
        <v>1451.8736842105263</v>
      </c>
      <c r="S25" s="202">
        <f t="shared" si="5"/>
        <v>31573.571052631578</v>
      </c>
      <c r="T25" s="203"/>
      <c r="U25" s="204">
        <f t="shared" si="6"/>
        <v>13150.799999999997</v>
      </c>
      <c r="V25" s="204">
        <f t="shared" si="7"/>
        <v>9689.5499999999993</v>
      </c>
      <c r="W25" s="204">
        <f t="shared" si="8"/>
        <v>8733.2210526315794</v>
      </c>
      <c r="Y25" s="205">
        <f t="shared" si="9"/>
        <v>10520.64</v>
      </c>
      <c r="Z25" s="205">
        <f t="shared" si="0"/>
        <v>7751.6399999999994</v>
      </c>
      <c r="AA25" s="205">
        <f t="shared" si="0"/>
        <v>6986.5768421052635</v>
      </c>
      <c r="AC25" t="s">
        <v>218</v>
      </c>
      <c r="AJ25">
        <v>13150.799999999997</v>
      </c>
      <c r="AK25" s="205">
        <f t="shared" si="10"/>
        <v>0</v>
      </c>
    </row>
    <row r="26" spans="1:37" x14ac:dyDescent="0.35">
      <c r="A26" s="197">
        <v>3301021</v>
      </c>
      <c r="B26" s="197">
        <v>1021</v>
      </c>
      <c r="C26" s="197" t="s">
        <v>91</v>
      </c>
      <c r="D26" s="198" t="s">
        <v>27</v>
      </c>
      <c r="E26" s="198"/>
      <c r="F26" s="197"/>
      <c r="G26" s="199">
        <v>75</v>
      </c>
      <c r="H26" s="199">
        <v>150</v>
      </c>
      <c r="I26" s="199">
        <v>405</v>
      </c>
      <c r="J26" s="199">
        <v>45</v>
      </c>
      <c r="K26" s="199">
        <v>105</v>
      </c>
      <c r="L26" s="199">
        <v>300</v>
      </c>
      <c r="M26" s="200">
        <v>52.10526315789474</v>
      </c>
      <c r="N26" s="200">
        <v>104.21052631578948</v>
      </c>
      <c r="O26" s="200">
        <v>293.68421052631578</v>
      </c>
      <c r="P26" s="201">
        <f t="shared" si="2"/>
        <v>1333.0105263157893</v>
      </c>
      <c r="Q26" s="201">
        <f t="shared" si="3"/>
        <v>1324.0026315789473</v>
      </c>
      <c r="R26" s="201">
        <f t="shared" si="4"/>
        <v>1015.1368421052632</v>
      </c>
      <c r="S26" s="202">
        <f t="shared" si="5"/>
        <v>3672.1499999999996</v>
      </c>
      <c r="T26" s="203"/>
      <c r="U26" s="204">
        <f t="shared" si="6"/>
        <v>1581.45</v>
      </c>
      <c r="V26" s="204">
        <f t="shared" si="7"/>
        <v>1064.6999999999998</v>
      </c>
      <c r="W26" s="204">
        <f t="shared" si="8"/>
        <v>1026</v>
      </c>
      <c r="Y26" s="205">
        <f t="shared" si="9"/>
        <v>1265.1600000000001</v>
      </c>
      <c r="Z26" s="205">
        <f t="shared" si="0"/>
        <v>851.75999999999988</v>
      </c>
      <c r="AA26" s="205">
        <f t="shared" si="0"/>
        <v>820.80000000000007</v>
      </c>
      <c r="AC26" t="s">
        <v>90</v>
      </c>
      <c r="AJ26">
        <v>1581.45</v>
      </c>
      <c r="AK26" s="205">
        <f t="shared" si="10"/>
        <v>0</v>
      </c>
    </row>
    <row r="27" spans="1:37" x14ac:dyDescent="0.35">
      <c r="A27" s="197">
        <v>3301022</v>
      </c>
      <c r="B27" s="197">
        <v>1022</v>
      </c>
      <c r="C27" s="197" t="s">
        <v>81</v>
      </c>
      <c r="D27" s="198" t="s">
        <v>27</v>
      </c>
      <c r="E27" s="198"/>
      <c r="F27" s="197"/>
      <c r="G27" s="199">
        <v>315</v>
      </c>
      <c r="H27" s="199">
        <v>360</v>
      </c>
      <c r="I27" s="199">
        <v>690</v>
      </c>
      <c r="J27" s="199">
        <v>270</v>
      </c>
      <c r="K27" s="199">
        <v>195</v>
      </c>
      <c r="L27" s="199">
        <v>450</v>
      </c>
      <c r="M27" s="200">
        <v>241.57894736842104</v>
      </c>
      <c r="N27" s="200">
        <v>265.26315789473682</v>
      </c>
      <c r="O27" s="200">
        <v>530.52631578947364</v>
      </c>
      <c r="P27" s="201">
        <f t="shared" si="2"/>
        <v>6407.4078947368425</v>
      </c>
      <c r="Q27" s="201">
        <f t="shared" si="3"/>
        <v>3015.4657894736838</v>
      </c>
      <c r="R27" s="201">
        <f t="shared" si="4"/>
        <v>1694.9052631578948</v>
      </c>
      <c r="S27" s="202">
        <f t="shared" si="5"/>
        <v>11117.778947368421</v>
      </c>
      <c r="T27" s="203"/>
      <c r="U27" s="204">
        <f t="shared" si="6"/>
        <v>4572.75</v>
      </c>
      <c r="V27" s="204">
        <f t="shared" si="7"/>
        <v>3344.25</v>
      </c>
      <c r="W27" s="204">
        <f t="shared" si="8"/>
        <v>3200.7789473684211</v>
      </c>
      <c r="Y27" s="205">
        <f t="shared" si="9"/>
        <v>3658.2000000000003</v>
      </c>
      <c r="Z27" s="205">
        <f t="shared" si="9"/>
        <v>2675.4</v>
      </c>
      <c r="AA27" s="205">
        <f t="shared" si="9"/>
        <v>2560.6231578947372</v>
      </c>
      <c r="AC27" t="s">
        <v>80</v>
      </c>
      <c r="AJ27">
        <v>4572.75</v>
      </c>
      <c r="AK27" s="205">
        <f t="shared" si="10"/>
        <v>0</v>
      </c>
    </row>
    <row r="28" spans="1:37" x14ac:dyDescent="0.35">
      <c r="A28" s="197">
        <v>3301023</v>
      </c>
      <c r="B28" s="197">
        <v>1023</v>
      </c>
      <c r="C28" s="197" t="s">
        <v>97</v>
      </c>
      <c r="D28" s="198" t="s">
        <v>27</v>
      </c>
      <c r="E28" s="198"/>
      <c r="F28" s="197"/>
      <c r="G28" s="199">
        <v>165</v>
      </c>
      <c r="H28" s="199">
        <v>390</v>
      </c>
      <c r="I28" s="199">
        <v>825</v>
      </c>
      <c r="J28" s="199">
        <v>90</v>
      </c>
      <c r="K28" s="199">
        <v>255</v>
      </c>
      <c r="L28" s="199">
        <v>495</v>
      </c>
      <c r="M28" s="200">
        <v>104.21052631578948</v>
      </c>
      <c r="N28" s="200">
        <v>279.47368421052636</v>
      </c>
      <c r="O28" s="200">
        <v>577.8947368421052</v>
      </c>
      <c r="P28" s="201">
        <f t="shared" si="2"/>
        <v>2784.9710526315785</v>
      </c>
      <c r="Q28" s="201">
        <f t="shared" si="3"/>
        <v>3404.2184210526311</v>
      </c>
      <c r="R28" s="201">
        <f t="shared" si="4"/>
        <v>1927.5789473684213</v>
      </c>
      <c r="S28" s="202">
        <f t="shared" si="5"/>
        <v>8116.7684210526304</v>
      </c>
      <c r="T28" s="203"/>
      <c r="U28" s="204">
        <f t="shared" si="6"/>
        <v>3636.75</v>
      </c>
      <c r="V28" s="204">
        <f t="shared" si="7"/>
        <v>2189.85</v>
      </c>
      <c r="W28" s="204">
        <f t="shared" si="8"/>
        <v>2290.1684210526319</v>
      </c>
      <c r="Y28" s="205">
        <f t="shared" si="9"/>
        <v>2909.4</v>
      </c>
      <c r="Z28" s="205">
        <f t="shared" si="9"/>
        <v>1751.88</v>
      </c>
      <c r="AA28" s="205">
        <f t="shared" si="9"/>
        <v>1832.1347368421057</v>
      </c>
      <c r="AC28" t="s">
        <v>96</v>
      </c>
      <c r="AJ28">
        <v>3636.75</v>
      </c>
      <c r="AK28" s="205">
        <f t="shared" si="10"/>
        <v>0</v>
      </c>
    </row>
    <row r="29" spans="1:37" x14ac:dyDescent="0.35">
      <c r="A29" s="197">
        <v>3301024</v>
      </c>
      <c r="B29" s="197">
        <v>1024</v>
      </c>
      <c r="C29" s="197" t="s">
        <v>251</v>
      </c>
      <c r="D29" s="198" t="s">
        <v>245</v>
      </c>
      <c r="E29" s="198"/>
      <c r="F29" s="197"/>
      <c r="G29" s="199">
        <v>630</v>
      </c>
      <c r="H29" s="199">
        <v>180</v>
      </c>
      <c r="I29" s="199">
        <v>315</v>
      </c>
      <c r="J29" s="199">
        <v>510</v>
      </c>
      <c r="K29" s="199">
        <v>150</v>
      </c>
      <c r="L29" s="199">
        <v>225</v>
      </c>
      <c r="M29" s="200">
        <v>506.84210526315792</v>
      </c>
      <c r="N29" s="200">
        <v>118.42105263157895</v>
      </c>
      <c r="O29" s="200">
        <v>246.31578947368422</v>
      </c>
      <c r="P29" s="201">
        <f t="shared" si="2"/>
        <v>12750.284210526317</v>
      </c>
      <c r="Q29" s="201">
        <f t="shared" si="3"/>
        <v>1656.2052631578945</v>
      </c>
      <c r="R29" s="201">
        <f t="shared" si="4"/>
        <v>798.06315789473683</v>
      </c>
      <c r="S29" s="202">
        <f t="shared" si="5"/>
        <v>15204.552631578948</v>
      </c>
      <c r="T29" s="203"/>
      <c r="U29" s="204">
        <f t="shared" si="6"/>
        <v>6002.1</v>
      </c>
      <c r="V29" s="204">
        <f t="shared" si="7"/>
        <v>4843.7999999999993</v>
      </c>
      <c r="W29" s="204">
        <f t="shared" si="8"/>
        <v>4358.6526315789479</v>
      </c>
      <c r="Y29" s="205">
        <f t="shared" si="9"/>
        <v>4801.68</v>
      </c>
      <c r="Z29" s="205">
        <f t="shared" si="9"/>
        <v>3875.0399999999995</v>
      </c>
      <c r="AA29" s="205">
        <f t="shared" si="9"/>
        <v>3486.9221052631583</v>
      </c>
      <c r="AC29" t="s">
        <v>194</v>
      </c>
      <c r="AJ29">
        <v>6002.1</v>
      </c>
      <c r="AK29" s="205">
        <f t="shared" si="10"/>
        <v>0</v>
      </c>
    </row>
    <row r="30" spans="1:37" x14ac:dyDescent="0.35">
      <c r="A30" s="197">
        <v>3301025</v>
      </c>
      <c r="B30" s="197">
        <v>1025</v>
      </c>
      <c r="C30" s="197" t="s">
        <v>40</v>
      </c>
      <c r="D30" s="198" t="s">
        <v>27</v>
      </c>
      <c r="E30" s="198"/>
      <c r="F30" s="197"/>
      <c r="G30" s="199">
        <v>1140</v>
      </c>
      <c r="H30" s="199">
        <v>840</v>
      </c>
      <c r="I30" s="199">
        <v>195</v>
      </c>
      <c r="J30" s="199">
        <v>825</v>
      </c>
      <c r="K30" s="199">
        <v>600</v>
      </c>
      <c r="L30" s="199">
        <v>135</v>
      </c>
      <c r="M30" s="200">
        <v>819.47368421052624</v>
      </c>
      <c r="N30" s="200">
        <v>606.31578947368416</v>
      </c>
      <c r="O30" s="200">
        <v>132.63157894736841</v>
      </c>
      <c r="P30" s="201">
        <f t="shared" si="2"/>
        <v>21580.997368421049</v>
      </c>
      <c r="Q30" s="201">
        <f t="shared" si="3"/>
        <v>7538.7789473684206</v>
      </c>
      <c r="R30" s="201">
        <f t="shared" si="4"/>
        <v>470.52631578947364</v>
      </c>
      <c r="S30" s="202">
        <f t="shared" si="5"/>
        <v>29590.302631578943</v>
      </c>
      <c r="T30" s="203"/>
      <c r="U30" s="204">
        <f t="shared" si="6"/>
        <v>12409.799999999997</v>
      </c>
      <c r="V30" s="204">
        <f t="shared" si="7"/>
        <v>8944.65</v>
      </c>
      <c r="W30" s="204">
        <f t="shared" si="8"/>
        <v>8235.8526315789477</v>
      </c>
      <c r="Y30" s="205">
        <f t="shared" si="9"/>
        <v>9927.8399999999983</v>
      </c>
      <c r="Z30" s="205">
        <f t="shared" si="9"/>
        <v>7155.72</v>
      </c>
      <c r="AA30" s="205">
        <f t="shared" si="9"/>
        <v>6588.6821052631585</v>
      </c>
      <c r="AC30" t="s">
        <v>39</v>
      </c>
      <c r="AJ30">
        <v>12409.799999999997</v>
      </c>
      <c r="AK30" s="205">
        <f t="shared" si="10"/>
        <v>0</v>
      </c>
    </row>
    <row r="31" spans="1:37" x14ac:dyDescent="0.35">
      <c r="A31" s="197">
        <v>3301026</v>
      </c>
      <c r="B31" s="197">
        <v>1026</v>
      </c>
      <c r="C31" s="197" t="s">
        <v>73</v>
      </c>
      <c r="D31" s="198" t="s">
        <v>27</v>
      </c>
      <c r="E31" s="198"/>
      <c r="F31" s="197"/>
      <c r="G31" s="199">
        <v>135</v>
      </c>
      <c r="H31" s="199">
        <v>255</v>
      </c>
      <c r="I31" s="199">
        <v>330</v>
      </c>
      <c r="J31" s="199">
        <v>105</v>
      </c>
      <c r="K31" s="199">
        <v>180</v>
      </c>
      <c r="L31" s="199">
        <v>300</v>
      </c>
      <c r="M31" s="200">
        <v>113.68421052631578</v>
      </c>
      <c r="N31" s="200">
        <v>217.89473684210526</v>
      </c>
      <c r="O31" s="200">
        <v>265.26315789473682</v>
      </c>
      <c r="P31" s="201">
        <f t="shared" si="2"/>
        <v>2735.3684210526312</v>
      </c>
      <c r="Q31" s="201">
        <f t="shared" si="3"/>
        <v>2398.2236842105258</v>
      </c>
      <c r="R31" s="201">
        <f t="shared" si="4"/>
        <v>909.85263157894747</v>
      </c>
      <c r="S31" s="202">
        <f t="shared" si="5"/>
        <v>6043.4447368421042</v>
      </c>
      <c r="T31" s="203"/>
      <c r="U31" s="204">
        <f t="shared" si="6"/>
        <v>2375.1</v>
      </c>
      <c r="V31" s="204">
        <f t="shared" si="7"/>
        <v>1823.25</v>
      </c>
      <c r="W31" s="204">
        <f t="shared" si="8"/>
        <v>1845.094736842105</v>
      </c>
      <c r="Y31" s="205">
        <f t="shared" si="9"/>
        <v>1900.08</v>
      </c>
      <c r="Z31" s="205">
        <f t="shared" si="9"/>
        <v>1458.6000000000001</v>
      </c>
      <c r="AA31" s="205">
        <f t="shared" si="9"/>
        <v>1476.0757894736842</v>
      </c>
      <c r="AC31" t="s">
        <v>72</v>
      </c>
      <c r="AJ31">
        <v>2375.1</v>
      </c>
      <c r="AK31" s="205">
        <f t="shared" si="10"/>
        <v>0</v>
      </c>
    </row>
    <row r="32" spans="1:37" x14ac:dyDescent="0.35">
      <c r="A32" s="197">
        <v>3301027</v>
      </c>
      <c r="B32" s="197">
        <v>1027</v>
      </c>
      <c r="C32" s="197" t="s">
        <v>25</v>
      </c>
      <c r="D32" s="198" t="s">
        <v>27</v>
      </c>
      <c r="E32" s="198"/>
      <c r="F32" s="197"/>
      <c r="G32" s="199">
        <v>105</v>
      </c>
      <c r="H32" s="199">
        <v>1035</v>
      </c>
      <c r="I32" s="199">
        <v>585</v>
      </c>
      <c r="J32" s="199">
        <v>45</v>
      </c>
      <c r="K32" s="199">
        <v>615</v>
      </c>
      <c r="L32" s="199">
        <v>330</v>
      </c>
      <c r="M32" s="200">
        <v>75.78947368421052</v>
      </c>
      <c r="N32" s="200">
        <v>738.94736842105272</v>
      </c>
      <c r="O32" s="200">
        <v>421.57894736842104</v>
      </c>
      <c r="P32" s="201">
        <f>(G32*$C$2*$F$2)+(J32*$C$2*$F$3)+(M32*$C$2*$F$4)</f>
        <v>1744.2789473684211</v>
      </c>
      <c r="Q32" s="201">
        <f t="shared" si="3"/>
        <v>8792.0368421052626</v>
      </c>
      <c r="R32" s="201">
        <f t="shared" si="4"/>
        <v>1356.3157894736842</v>
      </c>
      <c r="S32" s="202">
        <f t="shared" si="5"/>
        <v>11892.631578947367</v>
      </c>
      <c r="T32" s="203"/>
      <c r="U32" s="204">
        <f t="shared" si="6"/>
        <v>5343</v>
      </c>
      <c r="V32" s="204">
        <f t="shared" si="7"/>
        <v>3018.5999999999995</v>
      </c>
      <c r="W32" s="204">
        <f t="shared" si="8"/>
        <v>3531.0315789473684</v>
      </c>
      <c r="Y32" s="205">
        <f t="shared" si="9"/>
        <v>4274.4000000000005</v>
      </c>
      <c r="Z32" s="205">
        <f t="shared" si="9"/>
        <v>2414.8799999999997</v>
      </c>
      <c r="AA32" s="205">
        <f t="shared" si="9"/>
        <v>2824.8252631578948</v>
      </c>
      <c r="AC32" t="s">
        <v>24</v>
      </c>
      <c r="AJ32">
        <v>5343</v>
      </c>
      <c r="AK32" s="205">
        <f t="shared" si="10"/>
        <v>0</v>
      </c>
    </row>
    <row r="33" spans="1:37" x14ac:dyDescent="0.35">
      <c r="A33" s="197">
        <v>3301028</v>
      </c>
      <c r="B33" s="197">
        <v>1028</v>
      </c>
      <c r="C33" s="197" t="s">
        <v>201</v>
      </c>
      <c r="D33" s="198" t="s">
        <v>245</v>
      </c>
      <c r="E33" s="198"/>
      <c r="F33" s="197"/>
      <c r="G33" s="199">
        <v>825</v>
      </c>
      <c r="H33" s="199">
        <v>270</v>
      </c>
      <c r="I33" s="199">
        <v>210</v>
      </c>
      <c r="J33" s="199">
        <v>615</v>
      </c>
      <c r="K33" s="199">
        <v>135</v>
      </c>
      <c r="L33" s="199">
        <v>210</v>
      </c>
      <c r="M33" s="200">
        <v>615.78947368421052</v>
      </c>
      <c r="N33" s="200">
        <v>180</v>
      </c>
      <c r="O33" s="200">
        <v>156.31578947368422</v>
      </c>
      <c r="P33" s="201">
        <f t="shared" si="2"/>
        <v>15926.778947368421</v>
      </c>
      <c r="Q33" s="201">
        <f t="shared" si="3"/>
        <v>2153.25</v>
      </c>
      <c r="R33" s="201">
        <f t="shared" si="4"/>
        <v>586.8631578947369</v>
      </c>
      <c r="S33" s="202">
        <f t="shared" si="5"/>
        <v>18666.892105263156</v>
      </c>
      <c r="T33" s="203"/>
      <c r="U33" s="204">
        <f t="shared" si="6"/>
        <v>7778.5499999999993</v>
      </c>
      <c r="V33" s="204">
        <f t="shared" si="7"/>
        <v>5604.2999999999993</v>
      </c>
      <c r="W33" s="204">
        <f t="shared" si="8"/>
        <v>5284.0421052631573</v>
      </c>
      <c r="Y33" s="205">
        <f t="shared" si="9"/>
        <v>6222.84</v>
      </c>
      <c r="Z33" s="205">
        <f t="shared" si="9"/>
        <v>4483.4399999999996</v>
      </c>
      <c r="AA33" s="205">
        <f t="shared" si="9"/>
        <v>4227.233684210526</v>
      </c>
      <c r="AC33" t="s">
        <v>200</v>
      </c>
      <c r="AJ33">
        <v>7778.5499999999993</v>
      </c>
      <c r="AK33" s="205">
        <f t="shared" si="10"/>
        <v>0</v>
      </c>
    </row>
    <row r="34" spans="1:37" x14ac:dyDescent="0.35">
      <c r="A34" s="197">
        <v>3301038</v>
      </c>
      <c r="B34" s="197">
        <v>1038</v>
      </c>
      <c r="C34" s="197" t="s">
        <v>252</v>
      </c>
      <c r="D34" s="198" t="s">
        <v>27</v>
      </c>
      <c r="E34" s="198"/>
      <c r="F34" s="197"/>
      <c r="G34" s="199">
        <v>1080</v>
      </c>
      <c r="H34" s="199">
        <v>405</v>
      </c>
      <c r="I34" s="199">
        <v>345</v>
      </c>
      <c r="J34" s="199">
        <v>810</v>
      </c>
      <c r="K34" s="199">
        <v>285</v>
      </c>
      <c r="L34" s="199">
        <v>435</v>
      </c>
      <c r="M34" s="200">
        <v>824.21052631578959</v>
      </c>
      <c r="N34" s="200">
        <v>288.9473684210526</v>
      </c>
      <c r="O34" s="200">
        <v>303.15789473684208</v>
      </c>
      <c r="P34" s="201">
        <f t="shared" si="2"/>
        <v>21020.92105263158</v>
      </c>
      <c r="Q34" s="201">
        <f t="shared" si="3"/>
        <v>3606.8368421052628</v>
      </c>
      <c r="R34" s="201">
        <f t="shared" si="4"/>
        <v>1102.2315789473685</v>
      </c>
      <c r="S34" s="202">
        <f t="shared" si="5"/>
        <v>25729.989473684211</v>
      </c>
      <c r="T34" s="203"/>
      <c r="U34" s="204">
        <f t="shared" si="6"/>
        <v>10450.049999999999</v>
      </c>
      <c r="V34" s="204">
        <f t="shared" si="7"/>
        <v>7950.1499999999987</v>
      </c>
      <c r="W34" s="204">
        <f t="shared" si="8"/>
        <v>7329.78947368421</v>
      </c>
      <c r="Y34" s="205">
        <f t="shared" si="9"/>
        <v>8360.0399999999991</v>
      </c>
      <c r="Z34" s="205">
        <f t="shared" si="9"/>
        <v>6360.119999999999</v>
      </c>
      <c r="AA34" s="205">
        <f t="shared" si="9"/>
        <v>5863.8315789473681</v>
      </c>
      <c r="AC34" t="s">
        <v>134</v>
      </c>
      <c r="AJ34">
        <v>10450.049999999999</v>
      </c>
      <c r="AK34" s="205">
        <f t="shared" si="10"/>
        <v>0</v>
      </c>
    </row>
    <row r="35" spans="1:37" x14ac:dyDescent="0.35">
      <c r="A35" s="197">
        <v>3301048</v>
      </c>
      <c r="B35" s="197">
        <v>1048</v>
      </c>
      <c r="C35" s="197" t="s">
        <v>53</v>
      </c>
      <c r="D35" s="198" t="s">
        <v>27</v>
      </c>
      <c r="E35" s="198"/>
      <c r="F35" s="197"/>
      <c r="G35" s="199">
        <v>1515</v>
      </c>
      <c r="H35" s="199">
        <v>30</v>
      </c>
      <c r="I35" s="199">
        <v>240</v>
      </c>
      <c r="J35" s="199">
        <v>1170</v>
      </c>
      <c r="K35" s="199">
        <v>15</v>
      </c>
      <c r="L35" s="199">
        <v>210</v>
      </c>
      <c r="M35" s="200">
        <v>1174.7368421052631</v>
      </c>
      <c r="N35" s="200">
        <v>23.684210526315788</v>
      </c>
      <c r="O35" s="200">
        <v>208.42105263157896</v>
      </c>
      <c r="P35" s="201">
        <f t="shared" si="2"/>
        <v>29891.123684210521</v>
      </c>
      <c r="Q35" s="201">
        <f t="shared" si="3"/>
        <v>252.07105263157891</v>
      </c>
      <c r="R35" s="201">
        <f t="shared" si="4"/>
        <v>668.08421052631581</v>
      </c>
      <c r="S35" s="202">
        <f t="shared" si="5"/>
        <v>30811.278947368417</v>
      </c>
      <c r="T35" s="203"/>
      <c r="U35" s="204">
        <f t="shared" si="6"/>
        <v>12376.65</v>
      </c>
      <c r="V35" s="204">
        <f t="shared" si="7"/>
        <v>9553.0499999999975</v>
      </c>
      <c r="W35" s="204">
        <f t="shared" si="8"/>
        <v>8881.5789473684199</v>
      </c>
      <c r="Y35" s="205">
        <f t="shared" si="9"/>
        <v>9901.32</v>
      </c>
      <c r="Z35" s="205">
        <f t="shared" si="9"/>
        <v>7642.4399999999987</v>
      </c>
      <c r="AA35" s="205">
        <f t="shared" si="9"/>
        <v>7105.2631578947367</v>
      </c>
      <c r="AC35" t="s">
        <v>52</v>
      </c>
      <c r="AJ35">
        <v>12376.65</v>
      </c>
      <c r="AK35" s="205">
        <f t="shared" si="10"/>
        <v>0</v>
      </c>
    </row>
    <row r="36" spans="1:37" x14ac:dyDescent="0.35">
      <c r="A36" s="197">
        <v>3301049</v>
      </c>
      <c r="B36" s="197">
        <v>1049</v>
      </c>
      <c r="C36" s="197" t="s">
        <v>117</v>
      </c>
      <c r="D36" s="198" t="s">
        <v>27</v>
      </c>
      <c r="E36" s="198"/>
      <c r="F36" s="197"/>
      <c r="G36" s="199">
        <v>1095</v>
      </c>
      <c r="H36" s="199">
        <v>105</v>
      </c>
      <c r="I36" s="199">
        <v>405</v>
      </c>
      <c r="J36" s="199">
        <v>825</v>
      </c>
      <c r="K36" s="199">
        <v>15</v>
      </c>
      <c r="L36" s="199">
        <v>300</v>
      </c>
      <c r="M36" s="200">
        <v>819.47368421052624</v>
      </c>
      <c r="N36" s="200">
        <v>71.05263157894737</v>
      </c>
      <c r="O36" s="200">
        <v>336.31578947368422</v>
      </c>
      <c r="P36" s="201">
        <f t="shared" si="2"/>
        <v>21224.14736842105</v>
      </c>
      <c r="Q36" s="201">
        <f t="shared" si="3"/>
        <v>699.66315789473674</v>
      </c>
      <c r="R36" s="201">
        <f t="shared" si="4"/>
        <v>1056.0631578947368</v>
      </c>
      <c r="S36" s="202">
        <f t="shared" si="5"/>
        <v>22979.873684210525</v>
      </c>
      <c r="T36" s="203"/>
      <c r="U36" s="204">
        <f t="shared" si="6"/>
        <v>9500.4</v>
      </c>
      <c r="V36" s="204">
        <f t="shared" si="7"/>
        <v>6910.8</v>
      </c>
      <c r="W36" s="204">
        <f t="shared" si="8"/>
        <v>6568.6736842105256</v>
      </c>
      <c r="Y36" s="205">
        <f t="shared" si="9"/>
        <v>7600.32</v>
      </c>
      <c r="Z36" s="205">
        <f t="shared" si="9"/>
        <v>5528.64</v>
      </c>
      <c r="AA36" s="205">
        <f t="shared" si="9"/>
        <v>5254.9389473684205</v>
      </c>
      <c r="AC36" t="s">
        <v>116</v>
      </c>
      <c r="AJ36">
        <v>9500.4</v>
      </c>
      <c r="AK36" s="205">
        <f t="shared" si="10"/>
        <v>0</v>
      </c>
    </row>
    <row r="37" spans="1:37" x14ac:dyDescent="0.35">
      <c r="A37" s="197">
        <v>3301802</v>
      </c>
      <c r="B37" s="197">
        <v>1802</v>
      </c>
      <c r="C37" s="197" t="s">
        <v>189</v>
      </c>
      <c r="D37" s="198" t="s">
        <v>245</v>
      </c>
      <c r="E37" s="198"/>
      <c r="F37" s="197"/>
      <c r="G37" s="199">
        <v>525</v>
      </c>
      <c r="H37" s="199">
        <v>510</v>
      </c>
      <c r="I37" s="199">
        <v>120</v>
      </c>
      <c r="J37" s="199">
        <v>360</v>
      </c>
      <c r="K37" s="199">
        <v>390</v>
      </c>
      <c r="L37" s="199">
        <v>90</v>
      </c>
      <c r="M37" s="200">
        <v>355.26315789473682</v>
      </c>
      <c r="N37" s="200">
        <v>360</v>
      </c>
      <c r="O37" s="200">
        <v>99.473684210526301</v>
      </c>
      <c r="P37" s="201">
        <f t="shared" si="2"/>
        <v>9618.5763157894726</v>
      </c>
      <c r="Q37" s="201">
        <f t="shared" si="3"/>
        <v>4645.8</v>
      </c>
      <c r="R37" s="201">
        <f t="shared" si="4"/>
        <v>313.89473684210526</v>
      </c>
      <c r="S37" s="202">
        <f t="shared" si="5"/>
        <v>14578.271052631579</v>
      </c>
      <c r="T37" s="203"/>
      <c r="U37" s="204">
        <f t="shared" si="6"/>
        <v>6210.75</v>
      </c>
      <c r="V37" s="204">
        <f t="shared" si="7"/>
        <v>4418.7</v>
      </c>
      <c r="W37" s="204">
        <f t="shared" si="8"/>
        <v>3948.8210526315788</v>
      </c>
      <c r="Y37" s="205">
        <f t="shared" si="9"/>
        <v>4968.6000000000004</v>
      </c>
      <c r="Z37" s="205">
        <f t="shared" si="9"/>
        <v>3534.96</v>
      </c>
      <c r="AA37" s="205">
        <f t="shared" si="9"/>
        <v>3159.0568421052631</v>
      </c>
      <c r="AC37" t="s">
        <v>188</v>
      </c>
      <c r="AJ37">
        <v>6210.75</v>
      </c>
      <c r="AK37" s="205">
        <f t="shared" si="10"/>
        <v>0</v>
      </c>
    </row>
    <row r="38" spans="1:37" x14ac:dyDescent="0.35">
      <c r="A38" s="197">
        <v>3302003</v>
      </c>
      <c r="B38" s="197">
        <v>2003</v>
      </c>
      <c r="C38" s="197" t="s">
        <v>253</v>
      </c>
      <c r="D38" s="198" t="s">
        <v>49</v>
      </c>
      <c r="E38" s="198"/>
      <c r="F38" s="197"/>
      <c r="G38" s="199">
        <v>15</v>
      </c>
      <c r="H38" s="199">
        <v>405</v>
      </c>
      <c r="I38" s="199">
        <v>450</v>
      </c>
      <c r="J38" s="199">
        <v>15</v>
      </c>
      <c r="K38" s="199">
        <v>345</v>
      </c>
      <c r="L38" s="199">
        <v>405</v>
      </c>
      <c r="M38" s="200">
        <v>14.210526315789473</v>
      </c>
      <c r="N38" s="200">
        <v>364.73684210526318</v>
      </c>
      <c r="O38" s="200">
        <v>416.84210526315792</v>
      </c>
      <c r="P38" s="201">
        <f t="shared" si="2"/>
        <v>341.92105263157896</v>
      </c>
      <c r="Q38" s="201">
        <f t="shared" si="3"/>
        <v>4096.7842105263153</v>
      </c>
      <c r="R38" s="201">
        <f t="shared" si="4"/>
        <v>1289.3684210526317</v>
      </c>
      <c r="S38" s="202">
        <f t="shared" si="5"/>
        <v>5728.0736842105262</v>
      </c>
      <c r="T38" s="203"/>
      <c r="U38" s="204">
        <f t="shared" si="6"/>
        <v>2113.8000000000002</v>
      </c>
      <c r="V38" s="204">
        <f t="shared" si="7"/>
        <v>1840.8</v>
      </c>
      <c r="W38" s="204">
        <f t="shared" si="8"/>
        <v>1773.4736842105262</v>
      </c>
      <c r="Y38" s="205">
        <f t="shared" si="9"/>
        <v>1691.0400000000002</v>
      </c>
      <c r="Z38" s="205">
        <f t="shared" si="9"/>
        <v>1472.64</v>
      </c>
      <c r="AA38" s="205">
        <f t="shared" si="9"/>
        <v>1418.7789473684211</v>
      </c>
      <c r="AC38">
        <v>2113.8000000000002</v>
      </c>
      <c r="AD38" s="205">
        <f>AC38-U38</f>
        <v>0</v>
      </c>
      <c r="AJ38">
        <v>2113.8000000000002</v>
      </c>
      <c r="AK38" s="205">
        <f t="shared" si="10"/>
        <v>0</v>
      </c>
    </row>
    <row r="39" spans="1:37" x14ac:dyDescent="0.35">
      <c r="A39" s="197">
        <v>3302004</v>
      </c>
      <c r="B39" s="197">
        <v>2004</v>
      </c>
      <c r="C39" s="197" t="s">
        <v>197</v>
      </c>
      <c r="D39" s="198" t="s">
        <v>245</v>
      </c>
      <c r="E39" s="198"/>
      <c r="F39" s="197"/>
      <c r="G39" s="199">
        <v>15</v>
      </c>
      <c r="H39" s="199">
        <v>0</v>
      </c>
      <c r="I39" s="199">
        <v>60</v>
      </c>
      <c r="J39" s="199">
        <v>30</v>
      </c>
      <c r="K39" s="199">
        <v>0</v>
      </c>
      <c r="L39" s="199">
        <v>105</v>
      </c>
      <c r="M39" s="200">
        <v>18.94736842105263</v>
      </c>
      <c r="N39" s="200">
        <v>0</v>
      </c>
      <c r="O39" s="200">
        <v>71.05263157894737</v>
      </c>
      <c r="P39" s="201">
        <f t="shared" si="2"/>
        <v>495.54473684210529</v>
      </c>
      <c r="Q39" s="201">
        <f t="shared" si="3"/>
        <v>0</v>
      </c>
      <c r="R39" s="201">
        <f t="shared" si="4"/>
        <v>239.81052631578947</v>
      </c>
      <c r="S39" s="202">
        <f t="shared" si="5"/>
        <v>735.3552631578948</v>
      </c>
      <c r="T39" s="203"/>
      <c r="U39" s="204">
        <f t="shared" si="6"/>
        <v>181.35</v>
      </c>
      <c r="V39" s="204">
        <f t="shared" si="7"/>
        <v>347.1</v>
      </c>
      <c r="W39" s="204">
        <f t="shared" si="8"/>
        <v>206.90526315789475</v>
      </c>
      <c r="Y39" s="205">
        <f t="shared" si="9"/>
        <v>145.08000000000001</v>
      </c>
      <c r="Z39" s="205">
        <f t="shared" si="9"/>
        <v>277.68</v>
      </c>
      <c r="AA39" s="205">
        <f t="shared" si="9"/>
        <v>165.52421052631581</v>
      </c>
      <c r="AC39" t="s">
        <v>196</v>
      </c>
      <c r="AJ39">
        <v>181.35</v>
      </c>
      <c r="AK39" s="205">
        <f t="shared" si="10"/>
        <v>0</v>
      </c>
    </row>
    <row r="40" spans="1:37" x14ac:dyDescent="0.35">
      <c r="A40" s="197">
        <v>3302005</v>
      </c>
      <c r="B40" s="197">
        <v>2005</v>
      </c>
      <c r="C40" s="197" t="s">
        <v>193</v>
      </c>
      <c r="D40" s="198" t="s">
        <v>245</v>
      </c>
      <c r="E40" s="198"/>
      <c r="F40" s="197"/>
      <c r="G40" s="199">
        <v>15</v>
      </c>
      <c r="H40" s="199">
        <v>0</v>
      </c>
      <c r="I40" s="199">
        <v>30</v>
      </c>
      <c r="J40" s="199">
        <v>15</v>
      </c>
      <c r="K40" s="199">
        <v>0</v>
      </c>
      <c r="L40" s="199">
        <v>15</v>
      </c>
      <c r="M40" s="200">
        <v>14.210526315789473</v>
      </c>
      <c r="N40" s="200">
        <v>0</v>
      </c>
      <c r="O40" s="200">
        <v>23.684210526315788</v>
      </c>
      <c r="P40" s="201">
        <f t="shared" si="2"/>
        <v>341.92105263157896</v>
      </c>
      <c r="Q40" s="201">
        <f t="shared" si="3"/>
        <v>0</v>
      </c>
      <c r="R40" s="201">
        <f t="shared" si="4"/>
        <v>69.536842105263162</v>
      </c>
      <c r="S40" s="202">
        <f t="shared" si="5"/>
        <v>411.45789473684215</v>
      </c>
      <c r="T40" s="203"/>
      <c r="U40" s="204">
        <f t="shared" si="6"/>
        <v>150.15</v>
      </c>
      <c r="V40" s="204">
        <f t="shared" si="7"/>
        <v>134.55000000000001</v>
      </c>
      <c r="W40" s="204">
        <f t="shared" si="8"/>
        <v>126.75789473684208</v>
      </c>
      <c r="Y40" s="205">
        <f t="shared" si="9"/>
        <v>120.12</v>
      </c>
      <c r="Z40" s="205">
        <f t="shared" si="9"/>
        <v>107.64000000000001</v>
      </c>
      <c r="AA40" s="205">
        <f t="shared" si="9"/>
        <v>101.40631578947367</v>
      </c>
      <c r="AC40" t="s">
        <v>192</v>
      </c>
      <c r="AJ40">
        <v>150.15</v>
      </c>
      <c r="AK40" s="205">
        <f t="shared" si="10"/>
        <v>0</v>
      </c>
    </row>
    <row r="41" spans="1:37" x14ac:dyDescent="0.35">
      <c r="A41" s="197">
        <v>3302008</v>
      </c>
      <c r="B41" s="197">
        <v>2008</v>
      </c>
      <c r="C41" s="197" t="s">
        <v>133</v>
      </c>
      <c r="D41" s="198" t="s">
        <v>27</v>
      </c>
      <c r="E41" s="198"/>
      <c r="F41" s="197"/>
      <c r="G41" s="199">
        <v>150</v>
      </c>
      <c r="H41" s="199">
        <v>15</v>
      </c>
      <c r="I41" s="199">
        <v>345</v>
      </c>
      <c r="J41" s="199">
        <v>105</v>
      </c>
      <c r="K41" s="199">
        <v>0</v>
      </c>
      <c r="L41" s="199">
        <v>300</v>
      </c>
      <c r="M41" s="200">
        <v>142.10526315789474</v>
      </c>
      <c r="N41" s="200">
        <v>9.473684210526315</v>
      </c>
      <c r="O41" s="200">
        <v>307.89473684210526</v>
      </c>
      <c r="P41" s="201">
        <f t="shared" si="2"/>
        <v>3062.3605263157897</v>
      </c>
      <c r="Q41" s="201">
        <f t="shared" si="3"/>
        <v>89.518421052631567</v>
      </c>
      <c r="R41" s="201">
        <f t="shared" si="4"/>
        <v>966.378947368421</v>
      </c>
      <c r="S41" s="202">
        <f t="shared" si="5"/>
        <v>4118.257894736842</v>
      </c>
      <c r="T41" s="203"/>
      <c r="U41" s="204">
        <f t="shared" si="6"/>
        <v>1604.85</v>
      </c>
      <c r="V41" s="204">
        <f t="shared" si="7"/>
        <v>1144.6500000000001</v>
      </c>
      <c r="W41" s="204">
        <f t="shared" si="8"/>
        <v>1368.7578947368422</v>
      </c>
      <c r="Y41" s="205">
        <f t="shared" si="9"/>
        <v>1283.8800000000001</v>
      </c>
      <c r="Z41" s="205">
        <f t="shared" si="9"/>
        <v>915.72000000000014</v>
      </c>
      <c r="AA41" s="205">
        <f t="shared" si="9"/>
        <v>1095.0063157894738</v>
      </c>
      <c r="AC41" t="s">
        <v>132</v>
      </c>
      <c r="AJ41">
        <v>1604.85</v>
      </c>
      <c r="AK41" s="205">
        <f t="shared" si="10"/>
        <v>0</v>
      </c>
    </row>
    <row r="42" spans="1:37" x14ac:dyDescent="0.35">
      <c r="A42" s="197">
        <v>3302011</v>
      </c>
      <c r="B42" s="197">
        <v>2011</v>
      </c>
      <c r="C42" s="197" t="s">
        <v>169</v>
      </c>
      <c r="D42" s="198" t="s">
        <v>27</v>
      </c>
      <c r="E42" s="198"/>
      <c r="F42" s="197"/>
      <c r="G42" s="199">
        <v>30</v>
      </c>
      <c r="H42" s="199">
        <v>15</v>
      </c>
      <c r="I42" s="199">
        <v>30</v>
      </c>
      <c r="J42" s="199">
        <v>165</v>
      </c>
      <c r="K42" s="199">
        <v>30</v>
      </c>
      <c r="L42" s="199">
        <v>45</v>
      </c>
      <c r="M42" s="200">
        <v>71.05263157894737</v>
      </c>
      <c r="N42" s="200">
        <v>18.94736842105263</v>
      </c>
      <c r="O42" s="200">
        <v>37.89473684210526</v>
      </c>
      <c r="P42" s="201">
        <f t="shared" si="2"/>
        <v>2066.4552631578945</v>
      </c>
      <c r="Q42" s="201">
        <f t="shared" si="3"/>
        <v>235.58684210526314</v>
      </c>
      <c r="R42" s="201">
        <f t="shared" si="4"/>
        <v>114.37894736842105</v>
      </c>
      <c r="S42" s="202">
        <f t="shared" si="5"/>
        <v>2416.4210526315787</v>
      </c>
      <c r="T42" s="203"/>
      <c r="U42" s="204">
        <f t="shared" si="6"/>
        <v>325.64999999999998</v>
      </c>
      <c r="V42" s="204">
        <f t="shared" si="7"/>
        <v>1468.3499999999997</v>
      </c>
      <c r="W42" s="204">
        <f t="shared" si="8"/>
        <v>622.42105263157896</v>
      </c>
      <c r="Y42" s="205">
        <f t="shared" si="9"/>
        <v>260.52</v>
      </c>
      <c r="Z42" s="205">
        <f t="shared" si="9"/>
        <v>1174.6799999999998</v>
      </c>
      <c r="AA42" s="205">
        <f t="shared" si="9"/>
        <v>497.93684210526317</v>
      </c>
      <c r="AC42" t="s">
        <v>168</v>
      </c>
      <c r="AJ42">
        <v>325.64999999999998</v>
      </c>
      <c r="AK42" s="205">
        <f t="shared" si="10"/>
        <v>0</v>
      </c>
    </row>
    <row r="43" spans="1:37" x14ac:dyDescent="0.35">
      <c r="A43" s="197">
        <v>3302014</v>
      </c>
      <c r="B43" s="197">
        <v>2014</v>
      </c>
      <c r="C43" s="197" t="s">
        <v>187</v>
      </c>
      <c r="D43" s="198" t="s">
        <v>245</v>
      </c>
      <c r="E43" s="198"/>
      <c r="F43" s="197"/>
      <c r="G43" s="199">
        <v>45</v>
      </c>
      <c r="H43" s="199">
        <v>255</v>
      </c>
      <c r="I43" s="199">
        <v>15</v>
      </c>
      <c r="J43" s="199">
        <v>75</v>
      </c>
      <c r="K43" s="199">
        <v>300</v>
      </c>
      <c r="L43" s="199">
        <v>30</v>
      </c>
      <c r="M43" s="200">
        <v>47.368421052631575</v>
      </c>
      <c r="N43" s="200">
        <v>241.57894736842104</v>
      </c>
      <c r="O43" s="200">
        <v>28.421052631578945</v>
      </c>
      <c r="P43" s="201">
        <f t="shared" si="2"/>
        <v>1298.336842105263</v>
      </c>
      <c r="Q43" s="201">
        <f t="shared" si="3"/>
        <v>2933.0447368421051</v>
      </c>
      <c r="R43" s="201">
        <f t="shared" si="4"/>
        <v>74.084210526315786</v>
      </c>
      <c r="S43" s="202">
        <f t="shared" si="5"/>
        <v>4305.4657894736838</v>
      </c>
      <c r="T43" s="203"/>
      <c r="U43" s="204">
        <f t="shared" si="6"/>
        <v>1333.7999999999997</v>
      </c>
      <c r="V43" s="204">
        <f t="shared" si="7"/>
        <v>1756.95</v>
      </c>
      <c r="W43" s="204">
        <f t="shared" si="8"/>
        <v>1214.715789473684</v>
      </c>
      <c r="Y43" s="205">
        <f t="shared" si="9"/>
        <v>1067.0399999999997</v>
      </c>
      <c r="Z43" s="205">
        <f t="shared" si="9"/>
        <v>1405.5600000000002</v>
      </c>
      <c r="AA43" s="205">
        <f t="shared" si="9"/>
        <v>971.77263157894731</v>
      </c>
      <c r="AC43" t="s">
        <v>186</v>
      </c>
      <c r="AJ43">
        <v>1333.7999999999997</v>
      </c>
      <c r="AK43" s="205">
        <f t="shared" si="10"/>
        <v>0</v>
      </c>
    </row>
    <row r="44" spans="1:37" x14ac:dyDescent="0.35">
      <c r="A44" s="197">
        <v>3302015</v>
      </c>
      <c r="B44" s="197">
        <v>2015</v>
      </c>
      <c r="C44" s="197" t="s">
        <v>99</v>
      </c>
      <c r="D44" s="198" t="s">
        <v>27</v>
      </c>
      <c r="E44" s="198"/>
      <c r="F44" s="197"/>
      <c r="G44" s="199">
        <v>135</v>
      </c>
      <c r="H44" s="199">
        <v>105</v>
      </c>
      <c r="I44" s="199">
        <v>150</v>
      </c>
      <c r="J44" s="199">
        <v>195</v>
      </c>
      <c r="K44" s="199">
        <v>150</v>
      </c>
      <c r="L44" s="199">
        <v>270</v>
      </c>
      <c r="M44" s="200">
        <v>151.57894736842104</v>
      </c>
      <c r="N44" s="200">
        <v>118.42105263157895</v>
      </c>
      <c r="O44" s="200">
        <v>189.4736842105263</v>
      </c>
      <c r="P44" s="201">
        <f t="shared" si="2"/>
        <v>3726.4578947368423</v>
      </c>
      <c r="Q44" s="201">
        <f t="shared" si="3"/>
        <v>1373.4552631578945</v>
      </c>
      <c r="R44" s="201">
        <f t="shared" si="4"/>
        <v>618.69473684210527</v>
      </c>
      <c r="S44" s="202">
        <f t="shared" si="5"/>
        <v>5718.6078947368424</v>
      </c>
      <c r="T44" s="203"/>
      <c r="U44" s="204">
        <f t="shared" si="6"/>
        <v>1622.3999999999999</v>
      </c>
      <c r="V44" s="204">
        <f t="shared" si="7"/>
        <v>2392.6500000000005</v>
      </c>
      <c r="W44" s="204">
        <f t="shared" si="8"/>
        <v>1703.5578947368419</v>
      </c>
      <c r="Y44" s="205">
        <f t="shared" si="9"/>
        <v>1297.92</v>
      </c>
      <c r="Z44" s="205">
        <f t="shared" si="9"/>
        <v>1914.1200000000006</v>
      </c>
      <c r="AA44" s="205">
        <f t="shared" si="9"/>
        <v>1362.8463157894737</v>
      </c>
      <c r="AC44" t="s">
        <v>98</v>
      </c>
      <c r="AJ44">
        <v>1622.3999999999999</v>
      </c>
      <c r="AK44" s="205">
        <f t="shared" si="10"/>
        <v>0</v>
      </c>
    </row>
    <row r="45" spans="1:37" x14ac:dyDescent="0.35">
      <c r="A45" s="197">
        <v>3302018</v>
      </c>
      <c r="B45" s="197">
        <v>2018</v>
      </c>
      <c r="C45" s="197" t="s">
        <v>254</v>
      </c>
      <c r="D45" s="198" t="s">
        <v>49</v>
      </c>
      <c r="E45" s="198"/>
      <c r="F45" s="197"/>
      <c r="G45" s="199">
        <v>765</v>
      </c>
      <c r="H45" s="199">
        <v>105</v>
      </c>
      <c r="I45" s="199">
        <v>15</v>
      </c>
      <c r="J45" s="199">
        <v>510</v>
      </c>
      <c r="K45" s="199">
        <v>90</v>
      </c>
      <c r="L45" s="199">
        <v>0</v>
      </c>
      <c r="M45" s="200">
        <v>544.73684210526312</v>
      </c>
      <c r="N45" s="200">
        <v>80.526315789473685</v>
      </c>
      <c r="O45" s="200">
        <v>9.473684210526315</v>
      </c>
      <c r="P45" s="201">
        <f t="shared" si="2"/>
        <v>14098.223684210527</v>
      </c>
      <c r="Q45" s="201">
        <f t="shared" si="3"/>
        <v>1015.3815789473683</v>
      </c>
      <c r="R45" s="201">
        <f t="shared" si="4"/>
        <v>24.694736842105264</v>
      </c>
      <c r="S45" s="202">
        <f t="shared" si="5"/>
        <v>15138.3</v>
      </c>
      <c r="T45" s="203"/>
      <c r="U45" s="204">
        <f t="shared" si="6"/>
        <v>6477.9000000000005</v>
      </c>
      <c r="V45" s="204">
        <f t="shared" si="7"/>
        <v>4383.5999999999995</v>
      </c>
      <c r="W45" s="204">
        <f t="shared" si="8"/>
        <v>4276.8</v>
      </c>
      <c r="Y45" s="205">
        <f t="shared" si="9"/>
        <v>5182.3200000000006</v>
      </c>
      <c r="Z45" s="205">
        <f t="shared" si="9"/>
        <v>3506.8799999999997</v>
      </c>
      <c r="AA45" s="205">
        <f t="shared" si="9"/>
        <v>3421.4400000000005</v>
      </c>
      <c r="AC45">
        <v>6477.9000000000005</v>
      </c>
      <c r="AD45" s="205">
        <f t="shared" ref="AD45:AD47" si="11">AC45-U45</f>
        <v>0</v>
      </c>
      <c r="AJ45">
        <v>6477.9000000000005</v>
      </c>
      <c r="AK45" s="205">
        <f t="shared" si="10"/>
        <v>0</v>
      </c>
    </row>
    <row r="46" spans="1:37" x14ac:dyDescent="0.35">
      <c r="A46" s="197">
        <v>3302020</v>
      </c>
      <c r="B46" s="197">
        <v>2020</v>
      </c>
      <c r="C46" s="197" t="s">
        <v>255</v>
      </c>
      <c r="D46" s="198" t="s">
        <v>49</v>
      </c>
      <c r="E46" s="198"/>
      <c r="F46" s="197"/>
      <c r="G46" s="199">
        <v>0</v>
      </c>
      <c r="H46" s="199">
        <v>105</v>
      </c>
      <c r="I46" s="199">
        <v>270</v>
      </c>
      <c r="J46" s="199">
        <v>0</v>
      </c>
      <c r="K46" s="199">
        <v>105</v>
      </c>
      <c r="L46" s="199">
        <v>240</v>
      </c>
      <c r="M46" s="200">
        <v>0</v>
      </c>
      <c r="N46" s="200">
        <v>99.473684210526301</v>
      </c>
      <c r="O46" s="200">
        <v>251.0526315789474</v>
      </c>
      <c r="P46" s="201">
        <f t="shared" si="2"/>
        <v>0</v>
      </c>
      <c r="Q46" s="201">
        <f t="shared" si="3"/>
        <v>1137.8684210526314</v>
      </c>
      <c r="R46" s="201">
        <f t="shared" si="4"/>
        <v>771.41052631578953</v>
      </c>
      <c r="S46" s="202">
        <f t="shared" si="5"/>
        <v>1909.2789473684211</v>
      </c>
      <c r="T46" s="203"/>
      <c r="U46" s="204">
        <f t="shared" si="6"/>
        <v>676.65</v>
      </c>
      <c r="V46" s="204">
        <f t="shared" si="7"/>
        <v>645.44999999999993</v>
      </c>
      <c r="W46" s="204">
        <f t="shared" si="8"/>
        <v>587.17894736842106</v>
      </c>
      <c r="Y46" s="205">
        <f t="shared" si="9"/>
        <v>541.32000000000005</v>
      </c>
      <c r="Z46" s="205">
        <f t="shared" si="9"/>
        <v>516.36</v>
      </c>
      <c r="AA46" s="205">
        <f t="shared" si="9"/>
        <v>469.7431578947369</v>
      </c>
      <c r="AC46">
        <v>676.65</v>
      </c>
      <c r="AD46" s="205">
        <f t="shared" si="11"/>
        <v>0</v>
      </c>
      <c r="AJ46">
        <v>676.65</v>
      </c>
      <c r="AK46" s="205">
        <f t="shared" si="10"/>
        <v>0</v>
      </c>
    </row>
    <row r="47" spans="1:37" x14ac:dyDescent="0.35">
      <c r="A47" s="197">
        <v>3302021</v>
      </c>
      <c r="B47" s="197">
        <v>2021</v>
      </c>
      <c r="C47" s="197" t="s">
        <v>256</v>
      </c>
      <c r="D47" s="198" t="s">
        <v>49</v>
      </c>
      <c r="E47" s="198"/>
      <c r="F47" s="197"/>
      <c r="G47" s="199">
        <v>90</v>
      </c>
      <c r="H47" s="199">
        <v>120</v>
      </c>
      <c r="I47" s="199">
        <v>75</v>
      </c>
      <c r="J47" s="199">
        <v>0</v>
      </c>
      <c r="K47" s="199">
        <v>165</v>
      </c>
      <c r="L47" s="199">
        <v>30</v>
      </c>
      <c r="M47" s="200">
        <v>47.368421052631575</v>
      </c>
      <c r="N47" s="200">
        <v>137.36842105263159</v>
      </c>
      <c r="O47" s="200">
        <v>52.10526315789474</v>
      </c>
      <c r="P47" s="201">
        <f t="shared" si="2"/>
        <v>1060.4368421052632</v>
      </c>
      <c r="Q47" s="201">
        <f t="shared" si="3"/>
        <v>1552.4921052631578</v>
      </c>
      <c r="R47" s="201">
        <f t="shared" si="4"/>
        <v>159.22105263157897</v>
      </c>
      <c r="S47" s="202">
        <f t="shared" si="5"/>
        <v>2772.1499999999996</v>
      </c>
      <c r="T47" s="203"/>
      <c r="U47" s="204">
        <f t="shared" si="6"/>
        <v>1244.0999999999999</v>
      </c>
      <c r="V47" s="204">
        <f t="shared" si="7"/>
        <v>653.25</v>
      </c>
      <c r="W47" s="204">
        <f t="shared" si="8"/>
        <v>874.80000000000007</v>
      </c>
      <c r="Y47" s="205">
        <f t="shared" si="9"/>
        <v>995.28</v>
      </c>
      <c r="Z47" s="205">
        <f t="shared" si="9"/>
        <v>522.6</v>
      </c>
      <c r="AA47" s="205">
        <f t="shared" si="9"/>
        <v>699.84000000000015</v>
      </c>
      <c r="AC47">
        <v>1244.0999999999999</v>
      </c>
      <c r="AD47" s="205">
        <f t="shared" si="11"/>
        <v>0</v>
      </c>
      <c r="AJ47">
        <v>1244.0999999999999</v>
      </c>
      <c r="AK47" s="205">
        <f t="shared" si="10"/>
        <v>0</v>
      </c>
    </row>
    <row r="48" spans="1:37" x14ac:dyDescent="0.35">
      <c r="A48" s="197">
        <v>3302030</v>
      </c>
      <c r="B48" s="197">
        <v>2030</v>
      </c>
      <c r="C48" s="197" t="s">
        <v>44</v>
      </c>
      <c r="D48" s="198" t="s">
        <v>27</v>
      </c>
      <c r="E48" s="198"/>
      <c r="F48" s="197"/>
      <c r="G48" s="199">
        <v>15</v>
      </c>
      <c r="H48" s="199">
        <v>135</v>
      </c>
      <c r="I48" s="199">
        <v>540</v>
      </c>
      <c r="J48" s="199">
        <v>30</v>
      </c>
      <c r="K48" s="199">
        <v>60</v>
      </c>
      <c r="L48" s="199">
        <v>525</v>
      </c>
      <c r="M48" s="200">
        <v>18.94736842105263</v>
      </c>
      <c r="N48" s="200">
        <v>108.94736842105263</v>
      </c>
      <c r="O48" s="200">
        <v>506.84210526315792</v>
      </c>
      <c r="P48" s="201">
        <f t="shared" si="2"/>
        <v>495.54473684210529</v>
      </c>
      <c r="Q48" s="201">
        <f t="shared" si="3"/>
        <v>1114.2868421052631</v>
      </c>
      <c r="R48" s="201">
        <f t="shared" si="4"/>
        <v>1594.1684210526314</v>
      </c>
      <c r="S48" s="202">
        <f t="shared" si="5"/>
        <v>3204</v>
      </c>
      <c r="T48" s="203"/>
      <c r="U48" s="204">
        <f t="shared" si="6"/>
        <v>1189.5</v>
      </c>
      <c r="V48" s="204">
        <f t="shared" si="7"/>
        <v>1010.1</v>
      </c>
      <c r="W48" s="204">
        <f t="shared" si="8"/>
        <v>1004.4</v>
      </c>
      <c r="Y48" s="205">
        <f t="shared" si="9"/>
        <v>951.6</v>
      </c>
      <c r="Z48" s="205">
        <f t="shared" si="9"/>
        <v>808.08</v>
      </c>
      <c r="AA48" s="205">
        <f t="shared" si="9"/>
        <v>803.52</v>
      </c>
      <c r="AC48" t="s">
        <v>43</v>
      </c>
      <c r="AJ48">
        <v>1189.5</v>
      </c>
      <c r="AK48" s="205">
        <f t="shared" si="10"/>
        <v>0</v>
      </c>
    </row>
    <row r="49" spans="1:37" x14ac:dyDescent="0.35">
      <c r="A49" s="197">
        <v>3302036</v>
      </c>
      <c r="B49" s="197">
        <v>2036</v>
      </c>
      <c r="C49" s="197" t="s">
        <v>257</v>
      </c>
      <c r="D49" s="198" t="s">
        <v>49</v>
      </c>
      <c r="E49" s="198"/>
      <c r="F49" s="197"/>
      <c r="G49" s="199">
        <v>15</v>
      </c>
      <c r="H49" s="199">
        <v>210</v>
      </c>
      <c r="I49" s="199">
        <v>30</v>
      </c>
      <c r="J49" s="199">
        <v>15</v>
      </c>
      <c r="K49" s="199">
        <v>135</v>
      </c>
      <c r="L49" s="199">
        <v>45</v>
      </c>
      <c r="M49" s="200">
        <v>14.210526315789473</v>
      </c>
      <c r="N49" s="200">
        <v>184.73684210526318</v>
      </c>
      <c r="O49" s="200">
        <v>33.157894736842103</v>
      </c>
      <c r="P49" s="201">
        <f t="shared" si="2"/>
        <v>341.92105263157896</v>
      </c>
      <c r="Q49" s="201">
        <f t="shared" si="3"/>
        <v>1943.5342105263157</v>
      </c>
      <c r="R49" s="201">
        <f t="shared" si="4"/>
        <v>109.83157894736843</v>
      </c>
      <c r="S49" s="202">
        <f t="shared" si="5"/>
        <v>2395.2868421052635</v>
      </c>
      <c r="T49" s="203"/>
      <c r="U49" s="204">
        <f t="shared" si="6"/>
        <v>941.85</v>
      </c>
      <c r="V49" s="204">
        <f t="shared" si="7"/>
        <v>674.69999999999993</v>
      </c>
      <c r="W49" s="204">
        <f t="shared" si="8"/>
        <v>778.73684210526312</v>
      </c>
      <c r="Y49" s="205">
        <f t="shared" si="9"/>
        <v>753.48</v>
      </c>
      <c r="Z49" s="205">
        <f t="shared" si="9"/>
        <v>539.76</v>
      </c>
      <c r="AA49" s="205">
        <f t="shared" si="9"/>
        <v>622.98947368421057</v>
      </c>
      <c r="AC49">
        <v>941.85</v>
      </c>
      <c r="AD49" s="205">
        <f t="shared" ref="AD49:AD52" si="12">AC49-U49</f>
        <v>0</v>
      </c>
      <c r="AJ49">
        <v>941.85</v>
      </c>
      <c r="AK49" s="205">
        <f t="shared" si="10"/>
        <v>0</v>
      </c>
    </row>
    <row r="50" spans="1:37" x14ac:dyDescent="0.35">
      <c r="A50" s="197">
        <v>3302037</v>
      </c>
      <c r="B50" s="197">
        <v>2037</v>
      </c>
      <c r="C50" s="197" t="s">
        <v>258</v>
      </c>
      <c r="D50" s="198" t="s">
        <v>49</v>
      </c>
      <c r="E50" s="198"/>
      <c r="F50" s="197"/>
      <c r="G50" s="199">
        <v>0</v>
      </c>
      <c r="H50" s="199">
        <v>45</v>
      </c>
      <c r="I50" s="199">
        <v>240</v>
      </c>
      <c r="J50" s="199">
        <v>0</v>
      </c>
      <c r="K50" s="199">
        <v>60</v>
      </c>
      <c r="L50" s="199">
        <v>135</v>
      </c>
      <c r="M50" s="200">
        <v>0</v>
      </c>
      <c r="N50" s="200">
        <v>47.368421052631575</v>
      </c>
      <c r="O50" s="200">
        <v>194.21052631578948</v>
      </c>
      <c r="P50" s="201">
        <f t="shared" si="2"/>
        <v>0</v>
      </c>
      <c r="Q50" s="201">
        <f t="shared" si="3"/>
        <v>560.69210526315783</v>
      </c>
      <c r="R50" s="201">
        <f t="shared" si="4"/>
        <v>576.44210526315783</v>
      </c>
      <c r="S50" s="202">
        <f t="shared" si="5"/>
        <v>1137.1342105263157</v>
      </c>
      <c r="T50" s="203"/>
      <c r="U50" s="204">
        <f t="shared" si="6"/>
        <v>419.25</v>
      </c>
      <c r="V50" s="204">
        <f t="shared" si="7"/>
        <v>366.6</v>
      </c>
      <c r="W50" s="204">
        <f t="shared" si="8"/>
        <v>351.28421052631575</v>
      </c>
      <c r="Y50" s="205">
        <f t="shared" si="9"/>
        <v>335.40000000000003</v>
      </c>
      <c r="Z50" s="205">
        <f t="shared" si="9"/>
        <v>293.28000000000003</v>
      </c>
      <c r="AA50" s="205">
        <f t="shared" si="9"/>
        <v>281.02736842105259</v>
      </c>
      <c r="AC50">
        <v>419.25</v>
      </c>
      <c r="AD50" s="205">
        <f t="shared" si="12"/>
        <v>0</v>
      </c>
      <c r="AJ50">
        <v>419.25</v>
      </c>
      <c r="AK50" s="205">
        <f t="shared" si="10"/>
        <v>0</v>
      </c>
    </row>
    <row r="51" spans="1:37" x14ac:dyDescent="0.35">
      <c r="A51" s="197">
        <v>3302038</v>
      </c>
      <c r="B51" s="197">
        <v>2038</v>
      </c>
      <c r="C51" s="197" t="s">
        <v>259</v>
      </c>
      <c r="D51" s="198" t="s">
        <v>49</v>
      </c>
      <c r="E51" s="198"/>
      <c r="F51" s="197"/>
      <c r="G51" s="199">
        <v>15</v>
      </c>
      <c r="H51" s="199">
        <v>15</v>
      </c>
      <c r="I51" s="199">
        <v>0</v>
      </c>
      <c r="J51" s="199">
        <v>75</v>
      </c>
      <c r="K51" s="199">
        <v>0</v>
      </c>
      <c r="L51" s="199">
        <v>180</v>
      </c>
      <c r="M51" s="200">
        <v>33.157894736842103</v>
      </c>
      <c r="N51" s="200">
        <v>4.7368421052631575</v>
      </c>
      <c r="O51" s="200">
        <v>61.578947368421055</v>
      </c>
      <c r="P51" s="201">
        <f t="shared" si="2"/>
        <v>956.41578947368419</v>
      </c>
      <c r="Q51" s="201">
        <f t="shared" si="3"/>
        <v>73.034210526315789</v>
      </c>
      <c r="R51" s="201">
        <f t="shared" si="4"/>
        <v>246.31578947368422</v>
      </c>
      <c r="S51" s="202">
        <f t="shared" si="5"/>
        <v>1275.7657894736842</v>
      </c>
      <c r="T51" s="203"/>
      <c r="U51" s="204">
        <f t="shared" si="6"/>
        <v>175.5</v>
      </c>
      <c r="V51" s="204">
        <f t="shared" si="7"/>
        <v>781.95</v>
      </c>
      <c r="W51" s="204">
        <f t="shared" si="8"/>
        <v>318.31578947368416</v>
      </c>
      <c r="Y51" s="205">
        <f t="shared" si="9"/>
        <v>140.4</v>
      </c>
      <c r="Z51" s="205">
        <f t="shared" si="9"/>
        <v>625.56000000000006</v>
      </c>
      <c r="AA51" s="205">
        <f t="shared" si="9"/>
        <v>254.65263157894734</v>
      </c>
      <c r="AC51">
        <v>175.5</v>
      </c>
      <c r="AD51" s="205">
        <f t="shared" si="12"/>
        <v>0</v>
      </c>
      <c r="AJ51">
        <v>175.5</v>
      </c>
      <c r="AK51" s="205">
        <f t="shared" si="10"/>
        <v>0</v>
      </c>
    </row>
    <row r="52" spans="1:37" x14ac:dyDescent="0.35">
      <c r="A52" s="197">
        <v>3302039</v>
      </c>
      <c r="B52" s="197">
        <v>2039</v>
      </c>
      <c r="C52" s="197" t="s">
        <v>260</v>
      </c>
      <c r="D52" s="198" t="s">
        <v>49</v>
      </c>
      <c r="E52" s="198"/>
      <c r="F52" s="197"/>
      <c r="G52" s="199">
        <v>0</v>
      </c>
      <c r="H52" s="199">
        <v>60</v>
      </c>
      <c r="I52" s="199">
        <v>315</v>
      </c>
      <c r="J52" s="199">
        <v>0</v>
      </c>
      <c r="K52" s="199">
        <v>30</v>
      </c>
      <c r="L52" s="199">
        <v>450</v>
      </c>
      <c r="M52" s="200">
        <v>0</v>
      </c>
      <c r="N52" s="200">
        <v>47.368421052631575</v>
      </c>
      <c r="O52" s="200">
        <v>360</v>
      </c>
      <c r="P52" s="201">
        <f t="shared" si="2"/>
        <v>0</v>
      </c>
      <c r="Q52" s="201">
        <f t="shared" si="3"/>
        <v>504.14210526315782</v>
      </c>
      <c r="R52" s="201">
        <f t="shared" si="4"/>
        <v>1141.1999999999998</v>
      </c>
      <c r="S52" s="202">
        <f t="shared" si="5"/>
        <v>1645.3421052631577</v>
      </c>
      <c r="T52" s="203"/>
      <c r="U52" s="204">
        <f t="shared" si="6"/>
        <v>553.79999999999995</v>
      </c>
      <c r="V52" s="204">
        <f t="shared" si="7"/>
        <v>581.1</v>
      </c>
      <c r="W52" s="204">
        <f t="shared" si="8"/>
        <v>510.44210526315788</v>
      </c>
      <c r="Y52" s="205">
        <f t="shared" si="9"/>
        <v>443.03999999999996</v>
      </c>
      <c r="Z52" s="205">
        <f t="shared" si="9"/>
        <v>464.88000000000005</v>
      </c>
      <c r="AA52" s="205">
        <f t="shared" si="9"/>
        <v>408.35368421052635</v>
      </c>
      <c r="AC52">
        <v>553.79999999999995</v>
      </c>
      <c r="AD52" s="205">
        <f t="shared" si="12"/>
        <v>0</v>
      </c>
      <c r="AJ52">
        <v>553.79999999999995</v>
      </c>
      <c r="AK52" s="205">
        <f t="shared" si="10"/>
        <v>0</v>
      </c>
    </row>
    <row r="53" spans="1:37" x14ac:dyDescent="0.35">
      <c r="A53" s="197">
        <v>3302040</v>
      </c>
      <c r="B53" s="197">
        <v>2040</v>
      </c>
      <c r="C53" s="197" t="s">
        <v>55</v>
      </c>
      <c r="D53" s="198" t="s">
        <v>27</v>
      </c>
      <c r="E53" s="198"/>
      <c r="F53" s="197"/>
      <c r="G53" s="199">
        <v>0</v>
      </c>
      <c r="H53" s="199">
        <v>0</v>
      </c>
      <c r="I53" s="199">
        <v>0</v>
      </c>
      <c r="J53" s="199">
        <v>0</v>
      </c>
      <c r="K53" s="199">
        <v>15</v>
      </c>
      <c r="L53" s="199">
        <v>30</v>
      </c>
      <c r="M53" s="200">
        <v>0</v>
      </c>
      <c r="N53" s="200">
        <v>4.7368421052631575</v>
      </c>
      <c r="O53" s="200">
        <v>9.473684210526315</v>
      </c>
      <c r="P53" s="201">
        <f t="shared" si="2"/>
        <v>0</v>
      </c>
      <c r="Q53" s="201">
        <f t="shared" si="3"/>
        <v>73.034210526315789</v>
      </c>
      <c r="R53" s="201">
        <f t="shared" si="4"/>
        <v>40.294736842105266</v>
      </c>
      <c r="S53" s="202">
        <f t="shared" si="5"/>
        <v>113.32894736842105</v>
      </c>
      <c r="T53" s="203"/>
      <c r="U53" s="204">
        <f t="shared" si="6"/>
        <v>0</v>
      </c>
      <c r="V53" s="204">
        <f t="shared" si="7"/>
        <v>87.75</v>
      </c>
      <c r="W53" s="204">
        <f t="shared" si="8"/>
        <v>25.578947368421051</v>
      </c>
      <c r="Y53" s="205">
        <f t="shared" si="9"/>
        <v>0</v>
      </c>
      <c r="Z53" s="205">
        <f t="shared" si="9"/>
        <v>70.2</v>
      </c>
      <c r="AA53" s="205">
        <f t="shared" si="9"/>
        <v>20.463157894736842</v>
      </c>
      <c r="AC53" t="s">
        <v>54</v>
      </c>
      <c r="AJ53">
        <v>0</v>
      </c>
      <c r="AK53" s="205">
        <f t="shared" si="10"/>
        <v>0</v>
      </c>
    </row>
    <row r="54" spans="1:37" x14ac:dyDescent="0.35">
      <c r="A54" s="197">
        <v>3302048</v>
      </c>
      <c r="B54" s="197">
        <v>2048</v>
      </c>
      <c r="C54" s="197" t="s">
        <v>261</v>
      </c>
      <c r="D54" s="198" t="s">
        <v>49</v>
      </c>
      <c r="E54" s="198"/>
      <c r="F54" s="197"/>
      <c r="G54" s="199">
        <v>0</v>
      </c>
      <c r="H54" s="199">
        <v>105</v>
      </c>
      <c r="I54" s="199">
        <v>0</v>
      </c>
      <c r="J54" s="199">
        <v>15</v>
      </c>
      <c r="K54" s="199">
        <v>75</v>
      </c>
      <c r="L54" s="199">
        <v>15</v>
      </c>
      <c r="M54" s="200">
        <v>4.7368421052631575</v>
      </c>
      <c r="N54" s="200">
        <v>90</v>
      </c>
      <c r="O54" s="200">
        <v>4.7368421052631575</v>
      </c>
      <c r="P54" s="201">
        <f t="shared" si="2"/>
        <v>153.62368421052633</v>
      </c>
      <c r="Q54" s="201">
        <f t="shared" si="3"/>
        <v>991.8</v>
      </c>
      <c r="R54" s="201">
        <f t="shared" si="4"/>
        <v>20.147368421052633</v>
      </c>
      <c r="S54" s="202">
        <f t="shared" si="5"/>
        <v>1165.5710526315788</v>
      </c>
      <c r="T54" s="203"/>
      <c r="U54" s="204">
        <f t="shared" si="6"/>
        <v>395.84999999999997</v>
      </c>
      <c r="V54" s="204">
        <f t="shared" si="7"/>
        <v>417.3</v>
      </c>
      <c r="W54" s="204">
        <f t="shared" si="8"/>
        <v>352.42105263157896</v>
      </c>
      <c r="Y54" s="205">
        <f t="shared" si="9"/>
        <v>316.68</v>
      </c>
      <c r="Z54" s="205">
        <f t="shared" si="9"/>
        <v>333.84000000000003</v>
      </c>
      <c r="AA54" s="205">
        <f t="shared" si="9"/>
        <v>281.93684210526317</v>
      </c>
      <c r="AC54">
        <v>395.84999999999997</v>
      </c>
      <c r="AD54" s="205">
        <f>AC54-U54</f>
        <v>0</v>
      </c>
      <c r="AJ54">
        <v>395.84999999999997</v>
      </c>
      <c r="AK54" s="205">
        <f t="shared" si="10"/>
        <v>0</v>
      </c>
    </row>
    <row r="55" spans="1:37" x14ac:dyDescent="0.35">
      <c r="A55" s="197">
        <v>3302054</v>
      </c>
      <c r="B55" s="197">
        <v>2054</v>
      </c>
      <c r="C55" s="197" t="s">
        <v>67</v>
      </c>
      <c r="D55" s="198" t="s">
        <v>27</v>
      </c>
      <c r="E55" s="198"/>
      <c r="F55" s="197"/>
      <c r="G55" s="199">
        <v>30</v>
      </c>
      <c r="H55" s="199">
        <v>45</v>
      </c>
      <c r="I55" s="199">
        <v>135</v>
      </c>
      <c r="J55" s="199">
        <v>120</v>
      </c>
      <c r="K55" s="199">
        <v>45</v>
      </c>
      <c r="L55" s="199">
        <v>45</v>
      </c>
      <c r="M55" s="200">
        <v>66.315789473684205</v>
      </c>
      <c r="N55" s="200">
        <v>42.631578947368425</v>
      </c>
      <c r="O55" s="200">
        <v>99.473684210526301</v>
      </c>
      <c r="P55" s="201">
        <f t="shared" si="2"/>
        <v>1674.9315789473683</v>
      </c>
      <c r="Q55" s="201">
        <f t="shared" si="3"/>
        <v>487.65789473684208</v>
      </c>
      <c r="R55" s="201">
        <f t="shared" si="4"/>
        <v>282.69473684210527</v>
      </c>
      <c r="S55" s="202">
        <f t="shared" si="5"/>
        <v>2445.2842105263157</v>
      </c>
      <c r="T55" s="203"/>
      <c r="U55" s="204">
        <f t="shared" si="6"/>
        <v>547.94999999999993</v>
      </c>
      <c r="V55" s="204">
        <f t="shared" si="7"/>
        <v>1168.05</v>
      </c>
      <c r="W55" s="204">
        <f t="shared" si="8"/>
        <v>729.28421052631563</v>
      </c>
      <c r="Y55" s="205">
        <f t="shared" si="9"/>
        <v>438.35999999999996</v>
      </c>
      <c r="Z55" s="205">
        <f t="shared" si="9"/>
        <v>934.44</v>
      </c>
      <c r="AA55" s="205">
        <f t="shared" si="9"/>
        <v>583.42736842105251</v>
      </c>
      <c r="AC55" t="s">
        <v>66</v>
      </c>
      <c r="AJ55">
        <v>547.94999999999993</v>
      </c>
      <c r="AK55" s="205">
        <f t="shared" si="10"/>
        <v>0</v>
      </c>
    </row>
    <row r="56" spans="1:37" x14ac:dyDescent="0.35">
      <c r="A56" s="197">
        <v>3302055</v>
      </c>
      <c r="B56" s="197">
        <v>2055</v>
      </c>
      <c r="C56" s="197" t="s">
        <v>69</v>
      </c>
      <c r="D56" s="198" t="s">
        <v>27</v>
      </c>
      <c r="E56" s="198"/>
      <c r="F56" s="197"/>
      <c r="G56" s="199">
        <v>0</v>
      </c>
      <c r="H56" s="199">
        <v>60</v>
      </c>
      <c r="I56" s="199">
        <v>57</v>
      </c>
      <c r="J56" s="199">
        <v>30</v>
      </c>
      <c r="K56" s="199">
        <v>45</v>
      </c>
      <c r="L56" s="199">
        <v>120</v>
      </c>
      <c r="M56" s="200">
        <v>9.473684210526315</v>
      </c>
      <c r="N56" s="200">
        <v>52.10526315789474</v>
      </c>
      <c r="O56" s="200">
        <v>73.89473684210526</v>
      </c>
      <c r="P56" s="201">
        <f t="shared" si="2"/>
        <v>307.24736842105267</v>
      </c>
      <c r="Q56" s="201">
        <f t="shared" si="3"/>
        <v>577.17631578947362</v>
      </c>
      <c r="R56" s="201">
        <f t="shared" si="4"/>
        <v>255.01894736842107</v>
      </c>
      <c r="S56" s="202">
        <f t="shared" si="5"/>
        <v>1139.4426315789474</v>
      </c>
      <c r="T56" s="203"/>
      <c r="U56" s="204">
        <f t="shared" si="6"/>
        <v>285.48</v>
      </c>
      <c r="V56" s="204">
        <f t="shared" si="7"/>
        <v>532.34999999999991</v>
      </c>
      <c r="W56" s="204">
        <f t="shared" si="8"/>
        <v>321.61263157894734</v>
      </c>
      <c r="Y56" s="205">
        <f t="shared" si="9"/>
        <v>228.38400000000001</v>
      </c>
      <c r="Z56" s="205">
        <f t="shared" si="9"/>
        <v>425.87999999999994</v>
      </c>
      <c r="AA56" s="205">
        <f t="shared" si="9"/>
        <v>257.2901052631579</v>
      </c>
      <c r="AC56" t="s">
        <v>68</v>
      </c>
      <c r="AJ56">
        <v>285.48</v>
      </c>
      <c r="AK56" s="205">
        <f t="shared" si="10"/>
        <v>0</v>
      </c>
    </row>
    <row r="57" spans="1:37" x14ac:dyDescent="0.35">
      <c r="A57" s="197">
        <v>3302056</v>
      </c>
      <c r="B57" s="197">
        <v>2056</v>
      </c>
      <c r="C57" s="197" t="s">
        <v>262</v>
      </c>
      <c r="D57" s="198" t="s">
        <v>49</v>
      </c>
      <c r="E57" s="198"/>
      <c r="F57" s="197"/>
      <c r="G57" s="199">
        <v>105</v>
      </c>
      <c r="H57" s="199">
        <v>210</v>
      </c>
      <c r="I57" s="199">
        <v>90</v>
      </c>
      <c r="J57" s="199">
        <v>150</v>
      </c>
      <c r="K57" s="199">
        <v>165</v>
      </c>
      <c r="L57" s="199">
        <v>165</v>
      </c>
      <c r="M57" s="200">
        <v>113.68421052631578</v>
      </c>
      <c r="N57" s="200">
        <v>180</v>
      </c>
      <c r="O57" s="200">
        <v>113.68421052631578</v>
      </c>
      <c r="P57" s="201">
        <f t="shared" si="2"/>
        <v>2854.3184210526315</v>
      </c>
      <c r="Q57" s="201">
        <f t="shared" si="3"/>
        <v>2040.15</v>
      </c>
      <c r="R57" s="201">
        <f t="shared" si="4"/>
        <v>374.3368421052632</v>
      </c>
      <c r="S57" s="202">
        <f t="shared" si="5"/>
        <v>5268.8052631578948</v>
      </c>
      <c r="T57" s="203"/>
      <c r="U57" s="204">
        <f t="shared" si="6"/>
        <v>1717.9499999999998</v>
      </c>
      <c r="V57" s="204">
        <f t="shared" si="7"/>
        <v>1983.15</v>
      </c>
      <c r="W57" s="204">
        <f t="shared" si="8"/>
        <v>1567.7052631578947</v>
      </c>
      <c r="Y57" s="205">
        <f t="shared" si="9"/>
        <v>1374.36</v>
      </c>
      <c r="Z57" s="205">
        <f t="shared" si="9"/>
        <v>1586.5200000000002</v>
      </c>
      <c r="AA57" s="205">
        <f t="shared" si="9"/>
        <v>1254.1642105263159</v>
      </c>
      <c r="AC57">
        <v>1717.9499999999998</v>
      </c>
      <c r="AD57" s="205">
        <f t="shared" ref="AD57:AD61" si="13">AC57-U57</f>
        <v>0</v>
      </c>
      <c r="AJ57">
        <v>1717.9499999999998</v>
      </c>
      <c r="AK57" s="205">
        <f t="shared" si="10"/>
        <v>0</v>
      </c>
    </row>
    <row r="58" spans="1:37" x14ac:dyDescent="0.35">
      <c r="A58" s="197">
        <v>3302057</v>
      </c>
      <c r="B58" s="197">
        <v>2057</v>
      </c>
      <c r="C58" s="197" t="s">
        <v>263</v>
      </c>
      <c r="D58" s="198" t="s">
        <v>49</v>
      </c>
      <c r="E58" s="198"/>
      <c r="F58" s="197"/>
      <c r="G58" s="199">
        <v>90</v>
      </c>
      <c r="H58" s="199">
        <v>240</v>
      </c>
      <c r="I58" s="199">
        <v>180</v>
      </c>
      <c r="J58" s="199">
        <v>150</v>
      </c>
      <c r="K58" s="199">
        <v>165</v>
      </c>
      <c r="L58" s="199">
        <v>195</v>
      </c>
      <c r="M58" s="200">
        <v>104.21052631578948</v>
      </c>
      <c r="N58" s="200">
        <v>198.9473684210526</v>
      </c>
      <c r="O58" s="200">
        <v>165.78947368421052</v>
      </c>
      <c r="P58" s="201">
        <f t="shared" si="2"/>
        <v>2666.0210526315786</v>
      </c>
      <c r="Q58" s="201">
        <f t="shared" si="3"/>
        <v>2219.1868421052632</v>
      </c>
      <c r="R58" s="201">
        <f t="shared" si="4"/>
        <v>549.15789473684208</v>
      </c>
      <c r="S58" s="202">
        <f t="shared" si="5"/>
        <v>5434.3657894736843</v>
      </c>
      <c r="T58" s="203"/>
      <c r="U58" s="204">
        <f t="shared" si="6"/>
        <v>1805.7</v>
      </c>
      <c r="V58" s="204">
        <f t="shared" si="7"/>
        <v>2014.35</v>
      </c>
      <c r="W58" s="204">
        <f t="shared" si="8"/>
        <v>1614.3157894736842</v>
      </c>
      <c r="Y58" s="205">
        <f t="shared" si="9"/>
        <v>1444.5600000000002</v>
      </c>
      <c r="Z58" s="205">
        <f t="shared" si="9"/>
        <v>1611.48</v>
      </c>
      <c r="AA58" s="205">
        <f t="shared" si="9"/>
        <v>1291.4526315789474</v>
      </c>
      <c r="AC58">
        <v>1805.7</v>
      </c>
      <c r="AD58" s="205">
        <f t="shared" si="13"/>
        <v>0</v>
      </c>
      <c r="AJ58">
        <v>1805.7</v>
      </c>
      <c r="AK58" s="205">
        <f t="shared" si="10"/>
        <v>0</v>
      </c>
    </row>
    <row r="59" spans="1:37" x14ac:dyDescent="0.35">
      <c r="A59" s="197">
        <v>3302058</v>
      </c>
      <c r="B59" s="197">
        <v>2058</v>
      </c>
      <c r="C59" s="197" t="s">
        <v>264</v>
      </c>
      <c r="D59" s="198" t="s">
        <v>49</v>
      </c>
      <c r="E59" s="198"/>
      <c r="F59" s="197"/>
      <c r="G59" s="199">
        <v>75</v>
      </c>
      <c r="H59" s="199">
        <v>195</v>
      </c>
      <c r="I59" s="199">
        <v>105</v>
      </c>
      <c r="J59" s="199">
        <v>75</v>
      </c>
      <c r="K59" s="199">
        <v>270</v>
      </c>
      <c r="L59" s="199">
        <v>120</v>
      </c>
      <c r="M59" s="200">
        <v>71.05263157894737</v>
      </c>
      <c r="N59" s="200">
        <v>203.68421052631578</v>
      </c>
      <c r="O59" s="200">
        <v>108.94736842105263</v>
      </c>
      <c r="P59" s="201">
        <f t="shared" si="2"/>
        <v>1709.6052631578948</v>
      </c>
      <c r="Q59" s="201">
        <f t="shared" si="3"/>
        <v>2461.871052631579</v>
      </c>
      <c r="R59" s="201">
        <f t="shared" si="4"/>
        <v>338.58947368421053</v>
      </c>
      <c r="S59" s="202">
        <f t="shared" si="5"/>
        <v>4510.0657894736842</v>
      </c>
      <c r="T59" s="203"/>
      <c r="U59" s="204">
        <f t="shared" si="6"/>
        <v>1439.1000000000001</v>
      </c>
      <c r="V59" s="204">
        <f t="shared" si="7"/>
        <v>1737.45</v>
      </c>
      <c r="W59" s="204">
        <f t="shared" si="8"/>
        <v>1333.5157894736842</v>
      </c>
      <c r="Y59" s="205">
        <f t="shared" si="9"/>
        <v>1151.2800000000002</v>
      </c>
      <c r="Z59" s="205">
        <f t="shared" si="9"/>
        <v>1389.96</v>
      </c>
      <c r="AA59" s="205">
        <f t="shared" si="9"/>
        <v>1066.8126315789475</v>
      </c>
      <c r="AC59">
        <v>1439.1000000000001</v>
      </c>
      <c r="AD59" s="205">
        <f t="shared" si="13"/>
        <v>0</v>
      </c>
      <c r="AJ59">
        <v>1439.1000000000001</v>
      </c>
      <c r="AK59" s="205">
        <f t="shared" si="10"/>
        <v>0</v>
      </c>
    </row>
    <row r="60" spans="1:37" x14ac:dyDescent="0.35">
      <c r="A60" s="197">
        <v>3302059</v>
      </c>
      <c r="B60" s="197">
        <v>2059</v>
      </c>
      <c r="C60" s="197" t="s">
        <v>265</v>
      </c>
      <c r="D60" s="198" t="s">
        <v>49</v>
      </c>
      <c r="E60" s="198"/>
      <c r="F60" s="197"/>
      <c r="G60" s="199">
        <v>0</v>
      </c>
      <c r="H60" s="199">
        <v>165</v>
      </c>
      <c r="I60" s="199">
        <v>0</v>
      </c>
      <c r="J60" s="199">
        <v>15</v>
      </c>
      <c r="K60" s="199">
        <v>135</v>
      </c>
      <c r="L60" s="199">
        <v>0</v>
      </c>
      <c r="M60" s="200">
        <v>4.7368421052631575</v>
      </c>
      <c r="N60" s="200">
        <v>151.57894736842104</v>
      </c>
      <c r="O60" s="200">
        <v>0</v>
      </c>
      <c r="P60" s="201">
        <f t="shared" si="2"/>
        <v>153.62368421052633</v>
      </c>
      <c r="Q60" s="201">
        <f t="shared" si="3"/>
        <v>1658.4947368421053</v>
      </c>
      <c r="R60" s="201">
        <f t="shared" si="4"/>
        <v>0</v>
      </c>
      <c r="S60" s="202">
        <f t="shared" si="5"/>
        <v>1812.1184210526317</v>
      </c>
      <c r="T60" s="203"/>
      <c r="U60" s="204">
        <f t="shared" si="6"/>
        <v>622.04999999999995</v>
      </c>
      <c r="V60" s="204">
        <f t="shared" si="7"/>
        <v>627.9</v>
      </c>
      <c r="W60" s="204">
        <f t="shared" si="8"/>
        <v>562.16842105263152</v>
      </c>
      <c r="Y60" s="205">
        <f t="shared" si="9"/>
        <v>497.64</v>
      </c>
      <c r="Z60" s="205">
        <f t="shared" si="9"/>
        <v>502.32</v>
      </c>
      <c r="AA60" s="205">
        <f t="shared" si="9"/>
        <v>449.73473684210524</v>
      </c>
      <c r="AC60">
        <v>622.04999999999995</v>
      </c>
      <c r="AD60" s="205">
        <f t="shared" si="13"/>
        <v>0</v>
      </c>
      <c r="AJ60">
        <v>622.04999999999995</v>
      </c>
      <c r="AK60" s="205">
        <f t="shared" si="10"/>
        <v>0</v>
      </c>
    </row>
    <row r="61" spans="1:37" x14ac:dyDescent="0.35">
      <c r="A61" s="197">
        <v>3302060</v>
      </c>
      <c r="B61" s="197">
        <v>2060</v>
      </c>
      <c r="C61" s="197" t="s">
        <v>266</v>
      </c>
      <c r="D61" s="198" t="s">
        <v>49</v>
      </c>
      <c r="E61" s="198"/>
      <c r="F61" s="197"/>
      <c r="G61" s="199">
        <v>360</v>
      </c>
      <c r="H61" s="199">
        <v>75</v>
      </c>
      <c r="I61" s="199">
        <v>0</v>
      </c>
      <c r="J61" s="199">
        <v>255</v>
      </c>
      <c r="K61" s="199">
        <v>15</v>
      </c>
      <c r="L61" s="199">
        <v>0</v>
      </c>
      <c r="M61" s="200">
        <v>312.63157894736844</v>
      </c>
      <c r="N61" s="200">
        <v>52.10526315789474</v>
      </c>
      <c r="O61" s="200">
        <v>0</v>
      </c>
      <c r="P61" s="201">
        <f t="shared" si="2"/>
        <v>7165.4131578947363</v>
      </c>
      <c r="Q61" s="201">
        <f t="shared" si="3"/>
        <v>520.62631578947367</v>
      </c>
      <c r="R61" s="201">
        <f t="shared" si="4"/>
        <v>0</v>
      </c>
      <c r="S61" s="202">
        <f t="shared" si="5"/>
        <v>7686.03947368421</v>
      </c>
      <c r="T61" s="203"/>
      <c r="U61" s="204">
        <f t="shared" si="6"/>
        <v>3137.5499999999997</v>
      </c>
      <c r="V61" s="204">
        <f t="shared" si="7"/>
        <v>2078.6999999999998</v>
      </c>
      <c r="W61" s="204">
        <f t="shared" si="8"/>
        <v>2469.7894736842104</v>
      </c>
      <c r="Y61" s="205">
        <f t="shared" si="9"/>
        <v>2510.04</v>
      </c>
      <c r="Z61" s="205">
        <f t="shared" si="9"/>
        <v>1662.96</v>
      </c>
      <c r="AA61" s="205">
        <f t="shared" si="9"/>
        <v>1975.8315789473684</v>
      </c>
      <c r="AC61">
        <v>3137.5499999999997</v>
      </c>
      <c r="AD61" s="205">
        <f t="shared" si="13"/>
        <v>0</v>
      </c>
      <c r="AJ61">
        <v>3137.5499999999997</v>
      </c>
      <c r="AK61" s="205">
        <f t="shared" si="10"/>
        <v>0</v>
      </c>
    </row>
    <row r="62" spans="1:37" x14ac:dyDescent="0.35">
      <c r="A62" s="197">
        <v>3302062</v>
      </c>
      <c r="B62" s="197">
        <v>2062</v>
      </c>
      <c r="C62" s="197" t="s">
        <v>31</v>
      </c>
      <c r="D62" s="198" t="s">
        <v>27</v>
      </c>
      <c r="E62" s="198"/>
      <c r="F62" s="197"/>
      <c r="G62" s="199">
        <v>165</v>
      </c>
      <c r="H62" s="199">
        <v>105</v>
      </c>
      <c r="I62" s="199">
        <v>210</v>
      </c>
      <c r="J62" s="199">
        <v>75</v>
      </c>
      <c r="K62" s="199">
        <v>105</v>
      </c>
      <c r="L62" s="199">
        <v>75</v>
      </c>
      <c r="M62" s="200">
        <v>108.94736842105263</v>
      </c>
      <c r="N62" s="200">
        <v>108.94736842105263</v>
      </c>
      <c r="O62" s="200">
        <v>142.10526315789474</v>
      </c>
      <c r="P62" s="201">
        <f t="shared" si="2"/>
        <v>2700.6947368421052</v>
      </c>
      <c r="Q62" s="201">
        <f t="shared" si="3"/>
        <v>1170.836842105263</v>
      </c>
      <c r="R62" s="201">
        <f t="shared" si="4"/>
        <v>432.82105263157894</v>
      </c>
      <c r="S62" s="202">
        <f t="shared" si="5"/>
        <v>4304.3526315789477</v>
      </c>
      <c r="T62" s="203"/>
      <c r="U62" s="204">
        <f t="shared" si="6"/>
        <v>1922.6999999999998</v>
      </c>
      <c r="V62" s="204">
        <f t="shared" si="7"/>
        <v>1068.5999999999999</v>
      </c>
      <c r="W62" s="204">
        <f t="shared" si="8"/>
        <v>1313.0526315789473</v>
      </c>
      <c r="Y62" s="205">
        <f t="shared" si="9"/>
        <v>1538.1599999999999</v>
      </c>
      <c r="Z62" s="205">
        <f t="shared" si="9"/>
        <v>854.88</v>
      </c>
      <c r="AA62" s="205">
        <f t="shared" si="9"/>
        <v>1050.4421052631578</v>
      </c>
      <c r="AC62" t="s">
        <v>30</v>
      </c>
      <c r="AJ62">
        <v>1922.6999999999998</v>
      </c>
      <c r="AK62" s="205">
        <f t="shared" si="10"/>
        <v>0</v>
      </c>
    </row>
    <row r="63" spans="1:37" x14ac:dyDescent="0.35">
      <c r="A63" s="197">
        <v>3302063</v>
      </c>
      <c r="B63" s="197">
        <v>2063</v>
      </c>
      <c r="C63" s="197" t="s">
        <v>127</v>
      </c>
      <c r="D63" s="198" t="s">
        <v>27</v>
      </c>
      <c r="E63" s="198"/>
      <c r="F63" s="197"/>
      <c r="G63" s="199">
        <v>255</v>
      </c>
      <c r="H63" s="199">
        <v>30</v>
      </c>
      <c r="I63" s="199">
        <v>180</v>
      </c>
      <c r="J63" s="199">
        <v>225</v>
      </c>
      <c r="K63" s="199">
        <v>0</v>
      </c>
      <c r="L63" s="199">
        <v>225</v>
      </c>
      <c r="M63" s="200">
        <v>227.36842105263156</v>
      </c>
      <c r="N63" s="200">
        <v>14.210526315789473</v>
      </c>
      <c r="O63" s="200">
        <v>184.73684210526318</v>
      </c>
      <c r="P63" s="201">
        <f t="shared" si="2"/>
        <v>5470.7368421052624</v>
      </c>
      <c r="Q63" s="201">
        <f t="shared" si="3"/>
        <v>162.55263157894734</v>
      </c>
      <c r="R63" s="201">
        <f t="shared" si="4"/>
        <v>598.54736842105262</v>
      </c>
      <c r="S63" s="202">
        <f t="shared" si="5"/>
        <v>6231.8368421052619</v>
      </c>
      <c r="T63" s="203"/>
      <c r="U63" s="204">
        <f t="shared" si="6"/>
        <v>2322.4499999999998</v>
      </c>
      <c r="V63" s="204">
        <f t="shared" si="7"/>
        <v>2018.25</v>
      </c>
      <c r="W63" s="204">
        <f t="shared" si="8"/>
        <v>1891.1368421052628</v>
      </c>
      <c r="Y63" s="205">
        <f t="shared" si="9"/>
        <v>1857.96</v>
      </c>
      <c r="Z63" s="205">
        <f t="shared" si="9"/>
        <v>1614.6000000000001</v>
      </c>
      <c r="AA63" s="205">
        <f t="shared" si="9"/>
        <v>1512.9094736842103</v>
      </c>
      <c r="AC63" t="s">
        <v>126</v>
      </c>
      <c r="AJ63">
        <v>2322.4499999999998</v>
      </c>
      <c r="AK63" s="205">
        <f t="shared" si="10"/>
        <v>0</v>
      </c>
    </row>
    <row r="64" spans="1:37" x14ac:dyDescent="0.35">
      <c r="A64" s="197">
        <v>3302064</v>
      </c>
      <c r="B64" s="197">
        <v>2064</v>
      </c>
      <c r="C64" s="197" t="s">
        <v>267</v>
      </c>
      <c r="D64" s="198" t="s">
        <v>49</v>
      </c>
      <c r="E64" s="198"/>
      <c r="F64" s="197"/>
      <c r="G64" s="199">
        <v>0</v>
      </c>
      <c r="H64" s="199">
        <v>300</v>
      </c>
      <c r="I64" s="199">
        <v>0</v>
      </c>
      <c r="J64" s="199">
        <v>15</v>
      </c>
      <c r="K64" s="199">
        <v>255</v>
      </c>
      <c r="L64" s="199">
        <v>15</v>
      </c>
      <c r="M64" s="200">
        <v>4.7368421052631575</v>
      </c>
      <c r="N64" s="200">
        <v>274.73684210526318</v>
      </c>
      <c r="O64" s="200">
        <v>4.7368421052631575</v>
      </c>
      <c r="P64" s="201">
        <f t="shared" si="2"/>
        <v>153.62368421052633</v>
      </c>
      <c r="Q64" s="201">
        <f t="shared" si="3"/>
        <v>3048.4342105263158</v>
      </c>
      <c r="R64" s="201">
        <f t="shared" si="4"/>
        <v>20.147368421052633</v>
      </c>
      <c r="S64" s="202">
        <f t="shared" si="5"/>
        <v>3222.2052631578949</v>
      </c>
      <c r="T64" s="203"/>
      <c r="U64" s="204">
        <f t="shared" si="6"/>
        <v>1131</v>
      </c>
      <c r="V64" s="204">
        <f t="shared" si="7"/>
        <v>1095.8999999999999</v>
      </c>
      <c r="W64" s="204">
        <f t="shared" si="8"/>
        <v>995.30526315789473</v>
      </c>
      <c r="Y64" s="205">
        <f t="shared" si="9"/>
        <v>904.80000000000007</v>
      </c>
      <c r="Z64" s="205">
        <f t="shared" si="9"/>
        <v>876.71999999999991</v>
      </c>
      <c r="AA64" s="205">
        <f t="shared" si="9"/>
        <v>796.24421052631578</v>
      </c>
      <c r="AC64">
        <v>1131</v>
      </c>
      <c r="AD64" s="205">
        <f t="shared" ref="AD64:AD73" si="14">AC64-U64</f>
        <v>0</v>
      </c>
      <c r="AJ64">
        <v>1131</v>
      </c>
      <c r="AK64" s="205">
        <f t="shared" si="10"/>
        <v>0</v>
      </c>
    </row>
    <row r="65" spans="1:37" x14ac:dyDescent="0.35">
      <c r="A65" s="197">
        <v>3302065</v>
      </c>
      <c r="B65" s="197">
        <v>2065</v>
      </c>
      <c r="C65" s="197" t="s">
        <v>268</v>
      </c>
      <c r="D65" s="198" t="s">
        <v>49</v>
      </c>
      <c r="E65" s="198"/>
      <c r="F65" s="197"/>
      <c r="G65" s="199">
        <v>0</v>
      </c>
      <c r="H65" s="199">
        <v>0</v>
      </c>
      <c r="I65" s="199">
        <v>30</v>
      </c>
      <c r="J65" s="199">
        <v>0</v>
      </c>
      <c r="K65" s="199">
        <v>15</v>
      </c>
      <c r="L65" s="199">
        <v>30</v>
      </c>
      <c r="M65" s="200">
        <v>0</v>
      </c>
      <c r="N65" s="200">
        <v>4.7368421052631575</v>
      </c>
      <c r="O65" s="200">
        <v>28.421052631578945</v>
      </c>
      <c r="P65" s="201">
        <f t="shared" si="2"/>
        <v>0</v>
      </c>
      <c r="Q65" s="201">
        <f t="shared" si="3"/>
        <v>73.034210526315789</v>
      </c>
      <c r="R65" s="201">
        <f t="shared" si="4"/>
        <v>89.68421052631578</v>
      </c>
      <c r="S65" s="202">
        <f t="shared" si="5"/>
        <v>162.71842105263158</v>
      </c>
      <c r="T65" s="203"/>
      <c r="U65" s="204">
        <f t="shared" si="6"/>
        <v>31.2</v>
      </c>
      <c r="V65" s="204">
        <f t="shared" si="7"/>
        <v>87.75</v>
      </c>
      <c r="W65" s="204">
        <f t="shared" si="8"/>
        <v>43.768421052631581</v>
      </c>
      <c r="Y65" s="205">
        <f t="shared" si="9"/>
        <v>24.96</v>
      </c>
      <c r="Z65" s="205">
        <f t="shared" si="9"/>
        <v>70.2</v>
      </c>
      <c r="AA65" s="205">
        <f t="shared" si="9"/>
        <v>35.014736842105265</v>
      </c>
      <c r="AC65">
        <v>31.2</v>
      </c>
      <c r="AD65" s="205">
        <f t="shared" si="14"/>
        <v>0</v>
      </c>
      <c r="AJ65">
        <v>31.2</v>
      </c>
      <c r="AK65" s="205">
        <f t="shared" si="10"/>
        <v>0</v>
      </c>
    </row>
    <row r="66" spans="1:37" x14ac:dyDescent="0.35">
      <c r="A66" s="197">
        <v>3302068</v>
      </c>
      <c r="B66" s="197">
        <v>2068</v>
      </c>
      <c r="C66" s="197" t="s">
        <v>270</v>
      </c>
      <c r="D66" s="198" t="s">
        <v>49</v>
      </c>
      <c r="E66" s="198"/>
      <c r="F66" s="197"/>
      <c r="G66" s="199">
        <v>210</v>
      </c>
      <c r="H66" s="199">
        <v>210</v>
      </c>
      <c r="I66" s="199">
        <v>15</v>
      </c>
      <c r="J66" s="199">
        <v>120</v>
      </c>
      <c r="K66" s="199">
        <v>165</v>
      </c>
      <c r="L66" s="199">
        <v>30</v>
      </c>
      <c r="M66" s="200">
        <v>170.5263157894737</v>
      </c>
      <c r="N66" s="200">
        <v>175.26315789473682</v>
      </c>
      <c r="O66" s="200">
        <v>18.94736842105263</v>
      </c>
      <c r="P66" s="201">
        <f t="shared" si="2"/>
        <v>3865.1526315789474</v>
      </c>
      <c r="Q66" s="201">
        <f t="shared" si="3"/>
        <v>2023.6657894736841</v>
      </c>
      <c r="R66" s="201">
        <f t="shared" si="4"/>
        <v>64.989473684210523</v>
      </c>
      <c r="S66" s="202">
        <f t="shared" si="5"/>
        <v>5953.8078947368422</v>
      </c>
      <c r="T66" s="203"/>
      <c r="U66" s="204">
        <f t="shared" si="6"/>
        <v>2472.6</v>
      </c>
      <c r="V66" s="204">
        <f t="shared" si="7"/>
        <v>1604.8500000000001</v>
      </c>
      <c r="W66" s="204">
        <f t="shared" si="8"/>
        <v>1876.3578947368419</v>
      </c>
      <c r="Y66" s="205">
        <f t="shared" si="9"/>
        <v>1978.08</v>
      </c>
      <c r="Z66" s="205">
        <f t="shared" si="9"/>
        <v>1283.8800000000001</v>
      </c>
      <c r="AA66" s="205">
        <f t="shared" si="9"/>
        <v>1501.0863157894737</v>
      </c>
      <c r="AC66">
        <v>2472.6</v>
      </c>
      <c r="AD66" s="205">
        <f t="shared" si="14"/>
        <v>0</v>
      </c>
      <c r="AJ66">
        <v>2472.6</v>
      </c>
      <c r="AK66" s="205">
        <f t="shared" si="10"/>
        <v>0</v>
      </c>
    </row>
    <row r="67" spans="1:37" x14ac:dyDescent="0.35">
      <c r="A67" s="197">
        <v>3302070</v>
      </c>
      <c r="B67" s="197">
        <v>2070</v>
      </c>
      <c r="C67" s="197" t="s">
        <v>271</v>
      </c>
      <c r="D67" s="198" t="s">
        <v>49</v>
      </c>
      <c r="E67" s="198"/>
      <c r="F67" s="197"/>
      <c r="G67" s="199">
        <v>135</v>
      </c>
      <c r="H67" s="199">
        <v>60</v>
      </c>
      <c r="I67" s="199">
        <v>120</v>
      </c>
      <c r="J67" s="199">
        <v>75</v>
      </c>
      <c r="K67" s="199">
        <v>75</v>
      </c>
      <c r="L67" s="199">
        <v>45</v>
      </c>
      <c r="M67" s="200">
        <v>99.473684210526301</v>
      </c>
      <c r="N67" s="200">
        <v>52.10526315789474</v>
      </c>
      <c r="O67" s="200">
        <v>80.526315789473685</v>
      </c>
      <c r="P67" s="201">
        <f t="shared" si="2"/>
        <v>2393.4473684210525</v>
      </c>
      <c r="Q67" s="201">
        <f t="shared" si="3"/>
        <v>690.27631578947364</v>
      </c>
      <c r="R67" s="201">
        <f t="shared" si="4"/>
        <v>248.90526315789475</v>
      </c>
      <c r="S67" s="202">
        <f t="shared" si="5"/>
        <v>3332.628947368421</v>
      </c>
      <c r="T67" s="203"/>
      <c r="U67" s="204">
        <f t="shared" si="6"/>
        <v>1421.55</v>
      </c>
      <c r="V67" s="204">
        <f t="shared" si="7"/>
        <v>924.3</v>
      </c>
      <c r="W67" s="204">
        <f t="shared" si="8"/>
        <v>986.77894736842097</v>
      </c>
      <c r="Y67" s="205">
        <f t="shared" si="9"/>
        <v>1137.24</v>
      </c>
      <c r="Z67" s="205">
        <f t="shared" si="9"/>
        <v>739.44</v>
      </c>
      <c r="AA67" s="205">
        <f t="shared" si="9"/>
        <v>789.42315789473685</v>
      </c>
      <c r="AC67">
        <v>1421.55</v>
      </c>
      <c r="AD67" s="205">
        <f t="shared" si="14"/>
        <v>0</v>
      </c>
      <c r="AJ67">
        <v>1421.55</v>
      </c>
      <c r="AK67" s="205">
        <f t="shared" si="10"/>
        <v>0</v>
      </c>
    </row>
    <row r="68" spans="1:37" x14ac:dyDescent="0.35">
      <c r="A68" s="197">
        <v>3302072</v>
      </c>
      <c r="B68" s="197">
        <v>2072</v>
      </c>
      <c r="C68" s="197" t="s">
        <v>272</v>
      </c>
      <c r="D68" s="198" t="s">
        <v>49</v>
      </c>
      <c r="E68" s="198"/>
      <c r="F68" s="197"/>
      <c r="G68" s="199">
        <v>270</v>
      </c>
      <c r="H68" s="199">
        <v>150</v>
      </c>
      <c r="I68" s="199">
        <v>165</v>
      </c>
      <c r="J68" s="199">
        <v>180</v>
      </c>
      <c r="K68" s="199">
        <v>180</v>
      </c>
      <c r="L68" s="199">
        <v>210</v>
      </c>
      <c r="M68" s="200">
        <v>227.36842105263156</v>
      </c>
      <c r="N68" s="200">
        <v>151.57894736842104</v>
      </c>
      <c r="O68" s="200">
        <v>175.26315789473682</v>
      </c>
      <c r="P68" s="201">
        <f t="shared" si="2"/>
        <v>5232.8368421052628</v>
      </c>
      <c r="Q68" s="201">
        <f t="shared" si="3"/>
        <v>1771.5947368421052</v>
      </c>
      <c r="R68" s="201">
        <f t="shared" si="4"/>
        <v>558.25263157894733</v>
      </c>
      <c r="S68" s="202">
        <f t="shared" si="5"/>
        <v>7562.6842105263149</v>
      </c>
      <c r="T68" s="203"/>
      <c r="U68" s="204">
        <f t="shared" si="6"/>
        <v>2878.2</v>
      </c>
      <c r="V68" s="204">
        <f t="shared" si="7"/>
        <v>2324.4</v>
      </c>
      <c r="W68" s="204">
        <f t="shared" si="8"/>
        <v>2360.0842105263155</v>
      </c>
      <c r="Y68" s="205">
        <f t="shared" si="9"/>
        <v>2302.56</v>
      </c>
      <c r="Z68" s="205">
        <f t="shared" si="9"/>
        <v>1859.5200000000002</v>
      </c>
      <c r="AA68" s="205">
        <f t="shared" si="9"/>
        <v>1888.0673684210524</v>
      </c>
      <c r="AC68">
        <v>2878.2</v>
      </c>
      <c r="AD68" s="205">
        <f t="shared" si="14"/>
        <v>0</v>
      </c>
      <c r="AJ68">
        <v>2878.2</v>
      </c>
      <c r="AK68" s="205">
        <f t="shared" si="10"/>
        <v>0</v>
      </c>
    </row>
    <row r="69" spans="1:37" x14ac:dyDescent="0.35">
      <c r="A69" s="197">
        <v>3302073</v>
      </c>
      <c r="B69" s="197">
        <v>2073</v>
      </c>
      <c r="C69" s="197" t="s">
        <v>273</v>
      </c>
      <c r="D69" s="198" t="s">
        <v>49</v>
      </c>
      <c r="E69" s="198"/>
      <c r="F69" s="197"/>
      <c r="G69" s="199">
        <v>495</v>
      </c>
      <c r="H69" s="199">
        <v>120</v>
      </c>
      <c r="I69" s="199">
        <v>15</v>
      </c>
      <c r="J69" s="199">
        <v>240</v>
      </c>
      <c r="K69" s="199">
        <v>105</v>
      </c>
      <c r="L69" s="199">
        <v>15</v>
      </c>
      <c r="M69" s="200">
        <v>369.47368421052636</v>
      </c>
      <c r="N69" s="200">
        <v>99.473684210526301</v>
      </c>
      <c r="O69" s="200">
        <v>9.473684210526315</v>
      </c>
      <c r="P69" s="201">
        <f t="shared" si="2"/>
        <v>8533.097368421053</v>
      </c>
      <c r="Q69" s="201">
        <f t="shared" si="3"/>
        <v>1194.4184210526314</v>
      </c>
      <c r="R69" s="201">
        <f t="shared" si="4"/>
        <v>40.294736842105266</v>
      </c>
      <c r="S69" s="202">
        <f t="shared" si="5"/>
        <v>9767.8105263157904</v>
      </c>
      <c r="T69" s="203"/>
      <c r="U69" s="204">
        <f t="shared" si="6"/>
        <v>4393.3500000000004</v>
      </c>
      <c r="V69" s="204">
        <f t="shared" si="7"/>
        <v>2314.65</v>
      </c>
      <c r="W69" s="204">
        <f t="shared" si="8"/>
        <v>3059.8105263157895</v>
      </c>
      <c r="Y69" s="205">
        <f t="shared" si="9"/>
        <v>3514.6800000000003</v>
      </c>
      <c r="Z69" s="205">
        <f t="shared" si="9"/>
        <v>1851.7200000000003</v>
      </c>
      <c r="AA69" s="205">
        <f t="shared" si="9"/>
        <v>2447.8484210526317</v>
      </c>
      <c r="AC69">
        <v>4393.3500000000004</v>
      </c>
      <c r="AD69" s="205">
        <f t="shared" si="14"/>
        <v>0</v>
      </c>
      <c r="AJ69">
        <v>4393.3500000000004</v>
      </c>
      <c r="AK69" s="205">
        <f t="shared" si="10"/>
        <v>0</v>
      </c>
    </row>
    <row r="70" spans="1:37" x14ac:dyDescent="0.35">
      <c r="A70" s="197">
        <v>3302075</v>
      </c>
      <c r="B70" s="197">
        <v>2075</v>
      </c>
      <c r="C70" s="197" t="s">
        <v>274</v>
      </c>
      <c r="D70" s="198" t="s">
        <v>49</v>
      </c>
      <c r="E70" s="198"/>
      <c r="F70" s="197"/>
      <c r="G70" s="199">
        <v>15</v>
      </c>
      <c r="H70" s="199">
        <v>270</v>
      </c>
      <c r="I70" s="199">
        <v>240</v>
      </c>
      <c r="J70" s="199">
        <v>0</v>
      </c>
      <c r="K70" s="199">
        <v>165</v>
      </c>
      <c r="L70" s="199">
        <v>45</v>
      </c>
      <c r="M70" s="200">
        <v>9.473684210526315</v>
      </c>
      <c r="N70" s="200">
        <v>203.68421052631578</v>
      </c>
      <c r="O70" s="200">
        <v>165.78947368421052</v>
      </c>
      <c r="P70" s="201">
        <f t="shared" si="2"/>
        <v>188.29736842105262</v>
      </c>
      <c r="Q70" s="201">
        <f t="shared" si="3"/>
        <v>2348.7710526315786</v>
      </c>
      <c r="R70" s="201">
        <f t="shared" si="4"/>
        <v>455.55789473684206</v>
      </c>
      <c r="S70" s="202">
        <f t="shared" si="5"/>
        <v>2992.6263157894737</v>
      </c>
      <c r="T70" s="203"/>
      <c r="U70" s="204">
        <f t="shared" si="6"/>
        <v>1386.4499999999998</v>
      </c>
      <c r="V70" s="204">
        <f t="shared" si="7"/>
        <v>668.84999999999991</v>
      </c>
      <c r="W70" s="204">
        <f t="shared" si="8"/>
        <v>937.32631578947348</v>
      </c>
      <c r="Y70" s="205">
        <f t="shared" si="9"/>
        <v>1109.1599999999999</v>
      </c>
      <c r="Z70" s="205">
        <f t="shared" si="9"/>
        <v>535.07999999999993</v>
      </c>
      <c r="AA70" s="205">
        <f t="shared" si="9"/>
        <v>749.86105263157879</v>
      </c>
      <c r="AC70">
        <v>1386.4499999999998</v>
      </c>
      <c r="AD70" s="205">
        <f t="shared" si="14"/>
        <v>0</v>
      </c>
      <c r="AJ70">
        <v>1386.4499999999998</v>
      </c>
      <c r="AK70" s="205">
        <f t="shared" si="10"/>
        <v>0</v>
      </c>
    </row>
    <row r="71" spans="1:37" x14ac:dyDescent="0.35">
      <c r="A71" s="197">
        <v>3302078</v>
      </c>
      <c r="B71" s="197">
        <v>2078</v>
      </c>
      <c r="C71" s="197" t="s">
        <v>275</v>
      </c>
      <c r="D71" s="198" t="s">
        <v>49</v>
      </c>
      <c r="E71" s="198"/>
      <c r="F71" s="197"/>
      <c r="G71" s="199">
        <v>15</v>
      </c>
      <c r="H71" s="199">
        <v>30</v>
      </c>
      <c r="I71" s="199">
        <v>208</v>
      </c>
      <c r="J71" s="199">
        <v>15</v>
      </c>
      <c r="K71" s="199">
        <v>0</v>
      </c>
      <c r="L71" s="199">
        <v>150</v>
      </c>
      <c r="M71" s="200">
        <v>14.210526315789473</v>
      </c>
      <c r="N71" s="200">
        <v>18.94736842105263</v>
      </c>
      <c r="O71" s="200">
        <v>178.73684210526318</v>
      </c>
      <c r="P71" s="201">
        <f t="shared" si="2"/>
        <v>341.92105263157896</v>
      </c>
      <c r="Q71" s="201">
        <f t="shared" si="3"/>
        <v>179.03684210526313</v>
      </c>
      <c r="R71" s="201">
        <f t="shared" si="4"/>
        <v>543.90736842105264</v>
      </c>
      <c r="S71" s="202">
        <f t="shared" si="5"/>
        <v>1064.8652631578948</v>
      </c>
      <c r="T71" s="203"/>
      <c r="U71" s="204">
        <f t="shared" si="6"/>
        <v>448.37</v>
      </c>
      <c r="V71" s="204">
        <f t="shared" si="7"/>
        <v>274.95</v>
      </c>
      <c r="W71" s="204">
        <f t="shared" si="8"/>
        <v>341.54526315789474</v>
      </c>
      <c r="Y71" s="205">
        <f t="shared" si="9"/>
        <v>358.69600000000003</v>
      </c>
      <c r="Z71" s="205">
        <f t="shared" si="9"/>
        <v>219.96</v>
      </c>
      <c r="AA71" s="205">
        <f t="shared" si="9"/>
        <v>273.2362105263158</v>
      </c>
      <c r="AC71">
        <v>448.37</v>
      </c>
      <c r="AD71" s="205">
        <f t="shared" si="14"/>
        <v>0</v>
      </c>
      <c r="AJ71">
        <v>448.37</v>
      </c>
      <c r="AK71" s="205">
        <f t="shared" si="10"/>
        <v>0</v>
      </c>
    </row>
    <row r="72" spans="1:37" x14ac:dyDescent="0.35">
      <c r="A72" s="197">
        <v>3302082</v>
      </c>
      <c r="B72" s="197">
        <v>2082</v>
      </c>
      <c r="C72" s="197" t="s">
        <v>276</v>
      </c>
      <c r="D72" s="198" t="s">
        <v>49</v>
      </c>
      <c r="E72" s="198"/>
      <c r="F72" s="197"/>
      <c r="G72" s="199">
        <v>180</v>
      </c>
      <c r="H72" s="199">
        <v>120</v>
      </c>
      <c r="I72" s="199">
        <v>90</v>
      </c>
      <c r="J72" s="199">
        <v>120</v>
      </c>
      <c r="K72" s="199">
        <v>75</v>
      </c>
      <c r="L72" s="199">
        <v>90</v>
      </c>
      <c r="M72" s="200">
        <v>146.84210526315789</v>
      </c>
      <c r="N72" s="200">
        <v>99.473684210526301</v>
      </c>
      <c r="O72" s="200">
        <v>85.26315789473685</v>
      </c>
      <c r="P72" s="201">
        <f t="shared" si="2"/>
        <v>3453.8842105263157</v>
      </c>
      <c r="Q72" s="201">
        <f t="shared" si="3"/>
        <v>1081.3184210526315</v>
      </c>
      <c r="R72" s="201">
        <f t="shared" si="4"/>
        <v>269.0526315789474</v>
      </c>
      <c r="S72" s="202">
        <f t="shared" si="5"/>
        <v>4804.2552631578947</v>
      </c>
      <c r="T72" s="203"/>
      <c r="U72" s="204">
        <f t="shared" si="6"/>
        <v>1973.3999999999996</v>
      </c>
      <c r="V72" s="204">
        <f t="shared" si="7"/>
        <v>1327.9499999999998</v>
      </c>
      <c r="W72" s="204">
        <f t="shared" si="8"/>
        <v>1502.9052631578945</v>
      </c>
      <c r="Y72" s="205">
        <f t="shared" si="9"/>
        <v>1578.7199999999998</v>
      </c>
      <c r="Z72" s="205">
        <f t="shared" si="9"/>
        <v>1062.3599999999999</v>
      </c>
      <c r="AA72" s="205">
        <f t="shared" si="9"/>
        <v>1202.3242105263157</v>
      </c>
      <c r="AC72">
        <v>1973.3999999999996</v>
      </c>
      <c r="AD72" s="205">
        <f t="shared" si="14"/>
        <v>0</v>
      </c>
      <c r="AJ72">
        <v>1973.3999999999996</v>
      </c>
      <c r="AK72" s="205">
        <f t="shared" si="10"/>
        <v>0</v>
      </c>
    </row>
    <row r="73" spans="1:37" x14ac:dyDescent="0.35">
      <c r="A73" s="197">
        <v>3302086</v>
      </c>
      <c r="B73" s="197">
        <v>2086</v>
      </c>
      <c r="C73" s="197" t="s">
        <v>277</v>
      </c>
      <c r="D73" s="198" t="s">
        <v>49</v>
      </c>
      <c r="E73" s="198"/>
      <c r="F73" s="197"/>
      <c r="G73" s="199">
        <v>0</v>
      </c>
      <c r="H73" s="199">
        <v>105</v>
      </c>
      <c r="I73" s="199">
        <v>465</v>
      </c>
      <c r="J73" s="199">
        <v>0</v>
      </c>
      <c r="K73" s="199">
        <v>90</v>
      </c>
      <c r="L73" s="199">
        <v>255</v>
      </c>
      <c r="M73" s="200">
        <v>0</v>
      </c>
      <c r="N73" s="200">
        <v>94.73684210526315</v>
      </c>
      <c r="O73" s="200">
        <v>364.73684210526318</v>
      </c>
      <c r="P73" s="201">
        <f t="shared" si="2"/>
        <v>0</v>
      </c>
      <c r="Q73" s="201">
        <f t="shared" si="3"/>
        <v>1064.8342105263155</v>
      </c>
      <c r="R73" s="201">
        <f t="shared" si="4"/>
        <v>1098.9473684210527</v>
      </c>
      <c r="S73" s="202">
        <f t="shared" si="5"/>
        <v>2163.781578947368</v>
      </c>
      <c r="T73" s="203"/>
      <c r="U73" s="204">
        <f t="shared" si="6"/>
        <v>879.45</v>
      </c>
      <c r="V73" s="204">
        <f t="shared" si="7"/>
        <v>604.5</v>
      </c>
      <c r="W73" s="204">
        <f t="shared" si="8"/>
        <v>679.83157894736837</v>
      </c>
      <c r="Y73" s="205">
        <f t="shared" si="9"/>
        <v>703.56000000000006</v>
      </c>
      <c r="Z73" s="205">
        <f t="shared" si="9"/>
        <v>483.6</v>
      </c>
      <c r="AA73" s="205">
        <f t="shared" si="9"/>
        <v>543.86526315789467</v>
      </c>
      <c r="AC73">
        <v>879.45</v>
      </c>
      <c r="AD73" s="205">
        <f t="shared" si="14"/>
        <v>0</v>
      </c>
      <c r="AJ73">
        <v>879.45</v>
      </c>
      <c r="AK73" s="205">
        <f t="shared" si="10"/>
        <v>0</v>
      </c>
    </row>
    <row r="74" spans="1:37" x14ac:dyDescent="0.35">
      <c r="A74" s="197">
        <v>3302093</v>
      </c>
      <c r="B74" s="197">
        <v>2093</v>
      </c>
      <c r="C74" s="197" t="s">
        <v>278</v>
      </c>
      <c r="D74" s="198" t="s">
        <v>27</v>
      </c>
      <c r="E74" s="198"/>
      <c r="F74" s="197"/>
      <c r="G74" s="199">
        <v>0</v>
      </c>
      <c r="H74" s="199">
        <v>15</v>
      </c>
      <c r="I74" s="199">
        <v>60</v>
      </c>
      <c r="J74" s="199">
        <v>15</v>
      </c>
      <c r="K74" s="199">
        <v>15</v>
      </c>
      <c r="L74" s="199">
        <v>45</v>
      </c>
      <c r="M74" s="200">
        <v>4.7368421052631575</v>
      </c>
      <c r="N74" s="200">
        <v>14.210526315789473</v>
      </c>
      <c r="O74" s="200">
        <v>42.631578947368425</v>
      </c>
      <c r="P74" s="201">
        <f t="shared" si="2"/>
        <v>153.62368421052633</v>
      </c>
      <c r="Q74" s="201">
        <f t="shared" si="3"/>
        <v>162.55263157894734</v>
      </c>
      <c r="R74" s="201">
        <f t="shared" si="4"/>
        <v>150.12631578947369</v>
      </c>
      <c r="S74" s="202">
        <f t="shared" si="5"/>
        <v>466.3026315789474</v>
      </c>
      <c r="T74" s="203"/>
      <c r="U74" s="204">
        <f t="shared" si="6"/>
        <v>118.94999999999999</v>
      </c>
      <c r="V74" s="204">
        <f t="shared" si="7"/>
        <v>222.3</v>
      </c>
      <c r="W74" s="204">
        <f t="shared" si="8"/>
        <v>125.05263157894737</v>
      </c>
      <c r="Y74" s="205">
        <f t="shared" si="9"/>
        <v>95.16</v>
      </c>
      <c r="Z74" s="205">
        <f t="shared" si="9"/>
        <v>177.84000000000003</v>
      </c>
      <c r="AA74" s="205">
        <f t="shared" si="9"/>
        <v>100.04210526315791</v>
      </c>
      <c r="AC74" t="s">
        <v>84</v>
      </c>
      <c r="AJ74">
        <v>118.94999999999999</v>
      </c>
      <c r="AK74" s="205">
        <f t="shared" si="10"/>
        <v>0</v>
      </c>
    </row>
    <row r="75" spans="1:37" x14ac:dyDescent="0.35">
      <c r="A75" s="197">
        <v>3302096</v>
      </c>
      <c r="B75" s="197">
        <v>2096</v>
      </c>
      <c r="C75" s="197" t="s">
        <v>279</v>
      </c>
      <c r="D75" s="198" t="s">
        <v>49</v>
      </c>
      <c r="E75" s="198"/>
      <c r="F75" s="197"/>
      <c r="G75" s="199">
        <v>150</v>
      </c>
      <c r="H75" s="199">
        <v>165</v>
      </c>
      <c r="I75" s="199">
        <v>15</v>
      </c>
      <c r="J75" s="199">
        <v>180</v>
      </c>
      <c r="K75" s="199">
        <v>150</v>
      </c>
      <c r="L75" s="199">
        <v>0</v>
      </c>
      <c r="M75" s="200">
        <v>151.57894736842104</v>
      </c>
      <c r="N75" s="200">
        <v>146.84210526315789</v>
      </c>
      <c r="O75" s="200">
        <v>9.473684210526315</v>
      </c>
      <c r="P75" s="201">
        <f t="shared" si="2"/>
        <v>3726.4578947368418</v>
      </c>
      <c r="Q75" s="201">
        <f t="shared" si="3"/>
        <v>1698.5605263157895</v>
      </c>
      <c r="R75" s="201">
        <f t="shared" si="4"/>
        <v>24.694736842105264</v>
      </c>
      <c r="S75" s="202">
        <f t="shared" si="5"/>
        <v>5449.7131578947365</v>
      </c>
      <c r="T75" s="203"/>
      <c r="U75" s="204">
        <f t="shared" si="6"/>
        <v>1827.1499999999999</v>
      </c>
      <c r="V75" s="204">
        <f t="shared" si="7"/>
        <v>1992.8999999999999</v>
      </c>
      <c r="W75" s="204">
        <f t="shared" si="8"/>
        <v>1629.6631578947367</v>
      </c>
      <c r="Y75" s="205">
        <f t="shared" si="9"/>
        <v>1461.72</v>
      </c>
      <c r="Z75" s="205">
        <f t="shared" si="9"/>
        <v>1594.32</v>
      </c>
      <c r="AA75" s="205">
        <f t="shared" si="9"/>
        <v>1303.7305263157896</v>
      </c>
      <c r="AC75">
        <v>1827.1499999999999</v>
      </c>
      <c r="AD75" s="205">
        <f t="shared" ref="AD75:AD77" si="15">AC75-U75</f>
        <v>0</v>
      </c>
      <c r="AJ75">
        <v>1827.1499999999999</v>
      </c>
      <c r="AK75" s="205">
        <f t="shared" si="10"/>
        <v>0</v>
      </c>
    </row>
    <row r="76" spans="1:37" x14ac:dyDescent="0.35">
      <c r="A76" s="197">
        <v>3302097</v>
      </c>
      <c r="B76" s="197">
        <v>2097</v>
      </c>
      <c r="C76" s="197" t="s">
        <v>280</v>
      </c>
      <c r="D76" s="198" t="s">
        <v>49</v>
      </c>
      <c r="E76" s="198"/>
      <c r="F76" s="197"/>
      <c r="G76" s="199">
        <v>30</v>
      </c>
      <c r="H76" s="199">
        <v>135</v>
      </c>
      <c r="I76" s="199">
        <v>105</v>
      </c>
      <c r="J76" s="199">
        <v>45</v>
      </c>
      <c r="K76" s="199">
        <v>150</v>
      </c>
      <c r="L76" s="199">
        <v>90</v>
      </c>
      <c r="M76" s="200">
        <v>33.157894736842103</v>
      </c>
      <c r="N76" s="200">
        <v>137.36842105263159</v>
      </c>
      <c r="O76" s="200">
        <v>90</v>
      </c>
      <c r="P76" s="201">
        <f t="shared" ref="P76:P139" si="16">(G76*$C$2*$F$2)+(J76*$C$2*$F$3)+(M76*$C$2*$F$4)</f>
        <v>837.46578947368414</v>
      </c>
      <c r="Q76" s="201">
        <f t="shared" ref="Q76:Q139" si="17">(H76*$C$3*$F$2)+(K76*$C$3*$F$3)+(N76*$C$3*$F$4)</f>
        <v>1552.492105263158</v>
      </c>
      <c r="R76" s="201">
        <f t="shared" ref="R76:R139" si="18">(I76*$C$4*$F$2)+(L76*$C$4*$F$3)+(O76*$C$4*$F$4)</f>
        <v>289.20000000000005</v>
      </c>
      <c r="S76" s="202">
        <f t="shared" ref="S76:S139" si="19">R76+Q76+P76</f>
        <v>2679.1578947368421</v>
      </c>
      <c r="T76" s="203"/>
      <c r="U76" s="204">
        <f t="shared" ref="U76:U139" si="20">(G76*$C$2*$F$2)+(H76*$C$3*$F$2)+(I76*$C$4*$F$2)</f>
        <v>856.05000000000007</v>
      </c>
      <c r="V76" s="204">
        <f t="shared" ref="V76:V139" si="21">(J76*$C$2*$F$3)+(K76*$C$3*$F$3)+(L76*$C$4*$F$3)</f>
        <v>1015.9499999999999</v>
      </c>
      <c r="W76" s="204">
        <f t="shared" ref="W76:W139" si="22">(M76*$C$2*$F$4)+(N76*$C$3*$F$4)+(O76*$C$4*$F$4)</f>
        <v>807.15789473684208</v>
      </c>
      <c r="Y76" s="205">
        <f t="shared" ref="Y76:AA139" si="23">U76*0.8</f>
        <v>684.84000000000015</v>
      </c>
      <c r="Z76" s="205">
        <f t="shared" si="23"/>
        <v>812.76</v>
      </c>
      <c r="AA76" s="205">
        <f t="shared" si="23"/>
        <v>645.72631578947369</v>
      </c>
      <c r="AC76">
        <v>856.05000000000007</v>
      </c>
      <c r="AD76" s="205">
        <f t="shared" si="15"/>
        <v>0</v>
      </c>
      <c r="AJ76">
        <v>856.05000000000007</v>
      </c>
      <c r="AK76" s="205">
        <f t="shared" ref="AK76:AK139" si="24">U76-AJ76</f>
        <v>0</v>
      </c>
    </row>
    <row r="77" spans="1:37" x14ac:dyDescent="0.35">
      <c r="A77" s="197">
        <v>3302098</v>
      </c>
      <c r="B77" s="197">
        <v>2098</v>
      </c>
      <c r="C77" s="197" t="s">
        <v>281</v>
      </c>
      <c r="D77" s="198" t="s">
        <v>49</v>
      </c>
      <c r="E77" s="198"/>
      <c r="F77" s="197"/>
      <c r="G77" s="199">
        <v>120</v>
      </c>
      <c r="H77" s="199">
        <v>45</v>
      </c>
      <c r="I77" s="199">
        <v>180</v>
      </c>
      <c r="J77" s="199">
        <v>90</v>
      </c>
      <c r="K77" s="199">
        <v>30</v>
      </c>
      <c r="L77" s="199">
        <v>150</v>
      </c>
      <c r="M77" s="200">
        <v>108.94736842105263</v>
      </c>
      <c r="N77" s="200">
        <v>33.157894736842103</v>
      </c>
      <c r="O77" s="200">
        <v>156.31578947368422</v>
      </c>
      <c r="P77" s="201">
        <f t="shared" si="16"/>
        <v>2462.7947368421055</v>
      </c>
      <c r="Q77" s="201">
        <f t="shared" si="17"/>
        <v>398.13947368421054</v>
      </c>
      <c r="R77" s="201">
        <f t="shared" si="18"/>
        <v>493.26315789473688</v>
      </c>
      <c r="S77" s="202">
        <f t="shared" si="19"/>
        <v>3354.1973684210529</v>
      </c>
      <c r="T77" s="203"/>
      <c r="U77" s="204">
        <f t="shared" si="20"/>
        <v>1308.45</v>
      </c>
      <c r="V77" s="204">
        <f t="shared" si="21"/>
        <v>982.8</v>
      </c>
      <c r="W77" s="204">
        <f t="shared" si="22"/>
        <v>1062.9473684210527</v>
      </c>
      <c r="Y77" s="205">
        <f t="shared" si="23"/>
        <v>1046.76</v>
      </c>
      <c r="Z77" s="205">
        <f t="shared" si="23"/>
        <v>786.24</v>
      </c>
      <c r="AA77" s="205">
        <f t="shared" si="23"/>
        <v>850.35789473684224</v>
      </c>
      <c r="AC77">
        <v>1308.45</v>
      </c>
      <c r="AD77" s="205">
        <f t="shared" si="15"/>
        <v>0</v>
      </c>
      <c r="AJ77">
        <v>1308.45</v>
      </c>
      <c r="AK77" s="205">
        <f t="shared" si="24"/>
        <v>0</v>
      </c>
    </row>
    <row r="78" spans="1:37" x14ac:dyDescent="0.35">
      <c r="A78" s="197">
        <v>3302099</v>
      </c>
      <c r="B78" s="197">
        <v>2099</v>
      </c>
      <c r="C78" s="197" t="s">
        <v>87</v>
      </c>
      <c r="D78" s="198" t="s">
        <v>27</v>
      </c>
      <c r="E78" s="198"/>
      <c r="F78" s="197"/>
      <c r="G78" s="199">
        <v>90</v>
      </c>
      <c r="H78" s="199">
        <v>45</v>
      </c>
      <c r="I78" s="199">
        <v>120</v>
      </c>
      <c r="J78" s="199">
        <v>180</v>
      </c>
      <c r="K78" s="199">
        <v>45</v>
      </c>
      <c r="L78" s="199">
        <v>90</v>
      </c>
      <c r="M78" s="200">
        <v>113.68421052631578</v>
      </c>
      <c r="N78" s="200">
        <v>47.368421052631575</v>
      </c>
      <c r="O78" s="200">
        <v>104.21052631578948</v>
      </c>
      <c r="P78" s="201">
        <f t="shared" si="16"/>
        <v>2973.2684210526313</v>
      </c>
      <c r="Q78" s="201">
        <f t="shared" si="17"/>
        <v>504.14210526315782</v>
      </c>
      <c r="R78" s="201">
        <f t="shared" si="18"/>
        <v>318.44210526315794</v>
      </c>
      <c r="S78" s="202">
        <f t="shared" si="19"/>
        <v>3795.8526315789468</v>
      </c>
      <c r="T78" s="203"/>
      <c r="U78" s="204">
        <f t="shared" si="20"/>
        <v>1008.1499999999999</v>
      </c>
      <c r="V78" s="204">
        <f t="shared" si="21"/>
        <v>1690.6499999999996</v>
      </c>
      <c r="W78" s="204">
        <f t="shared" si="22"/>
        <v>1097.0526315789473</v>
      </c>
      <c r="Y78" s="205">
        <f t="shared" si="23"/>
        <v>806.52</v>
      </c>
      <c r="Z78" s="205">
        <f t="shared" si="23"/>
        <v>1352.5199999999998</v>
      </c>
      <c r="AA78" s="205">
        <f t="shared" si="23"/>
        <v>877.64210526315787</v>
      </c>
      <c r="AC78" t="s">
        <v>86</v>
      </c>
      <c r="AJ78">
        <v>1008.1499999999999</v>
      </c>
      <c r="AK78" s="205">
        <f t="shared" si="24"/>
        <v>0</v>
      </c>
    </row>
    <row r="79" spans="1:37" x14ac:dyDescent="0.35">
      <c r="A79" s="197">
        <v>3302100</v>
      </c>
      <c r="B79" s="197">
        <v>2100</v>
      </c>
      <c r="C79" s="197" t="s">
        <v>282</v>
      </c>
      <c r="D79" s="198" t="s">
        <v>49</v>
      </c>
      <c r="E79" s="198"/>
      <c r="F79" s="197"/>
      <c r="G79" s="199">
        <v>210</v>
      </c>
      <c r="H79" s="199">
        <v>135</v>
      </c>
      <c r="I79" s="199">
        <v>0</v>
      </c>
      <c r="J79" s="199">
        <v>165</v>
      </c>
      <c r="K79" s="199">
        <v>135</v>
      </c>
      <c r="L79" s="199">
        <v>0</v>
      </c>
      <c r="M79" s="200">
        <v>180</v>
      </c>
      <c r="N79" s="200">
        <v>118.42105263157895</v>
      </c>
      <c r="O79" s="200">
        <v>0</v>
      </c>
      <c r="P79" s="201">
        <f t="shared" si="16"/>
        <v>4291.3500000000004</v>
      </c>
      <c r="Q79" s="201">
        <f t="shared" si="17"/>
        <v>1430.0052631578947</v>
      </c>
      <c r="R79" s="201">
        <f t="shared" si="18"/>
        <v>0</v>
      </c>
      <c r="S79" s="202">
        <f t="shared" si="19"/>
        <v>5721.355263157895</v>
      </c>
      <c r="T79" s="203"/>
      <c r="U79" s="204">
        <f t="shared" si="20"/>
        <v>2174.25</v>
      </c>
      <c r="V79" s="204">
        <f t="shared" si="21"/>
        <v>1817.3999999999999</v>
      </c>
      <c r="W79" s="204">
        <f t="shared" si="22"/>
        <v>1729.7052631578945</v>
      </c>
      <c r="Y79" s="205">
        <f t="shared" si="23"/>
        <v>1739.4</v>
      </c>
      <c r="Z79" s="205">
        <f t="shared" si="23"/>
        <v>1453.92</v>
      </c>
      <c r="AA79" s="205">
        <f t="shared" si="23"/>
        <v>1383.7642105263158</v>
      </c>
      <c r="AC79">
        <v>2174.25</v>
      </c>
      <c r="AD79" s="205">
        <f t="shared" ref="AD79:AD81" si="25">AC79-U79</f>
        <v>0</v>
      </c>
      <c r="AJ79">
        <v>2174.25</v>
      </c>
      <c r="AK79" s="205">
        <f t="shared" si="24"/>
        <v>0</v>
      </c>
    </row>
    <row r="80" spans="1:37" x14ac:dyDescent="0.35">
      <c r="A80" s="197">
        <v>3302102</v>
      </c>
      <c r="B80" s="197">
        <v>2102</v>
      </c>
      <c r="C80" s="197" t="s">
        <v>283</v>
      </c>
      <c r="D80" s="198" t="s">
        <v>49</v>
      </c>
      <c r="E80" s="198"/>
      <c r="F80" s="197"/>
      <c r="G80" s="199">
        <v>165</v>
      </c>
      <c r="H80" s="199">
        <v>210</v>
      </c>
      <c r="I80" s="199">
        <v>30</v>
      </c>
      <c r="J80" s="199">
        <v>345</v>
      </c>
      <c r="K80" s="199">
        <v>150</v>
      </c>
      <c r="L80" s="199">
        <v>0</v>
      </c>
      <c r="M80" s="200">
        <v>213.15789473684211</v>
      </c>
      <c r="N80" s="200">
        <v>189.4736842105263</v>
      </c>
      <c r="O80" s="200">
        <v>18.94736842105263</v>
      </c>
      <c r="P80" s="201">
        <f t="shared" si="16"/>
        <v>5604.6157894736843</v>
      </c>
      <c r="Q80" s="201">
        <f t="shared" si="17"/>
        <v>2016.5684210526313</v>
      </c>
      <c r="R80" s="201">
        <f t="shared" si="18"/>
        <v>49.389473684210529</v>
      </c>
      <c r="S80" s="202">
        <f t="shared" si="19"/>
        <v>7670.5736842105262</v>
      </c>
      <c r="T80" s="203"/>
      <c r="U80" s="204">
        <f t="shared" si="20"/>
        <v>2131.3499999999995</v>
      </c>
      <c r="V80" s="204">
        <f t="shared" si="21"/>
        <v>3301.35</v>
      </c>
      <c r="W80" s="204">
        <f t="shared" si="22"/>
        <v>2237.8736842105263</v>
      </c>
      <c r="Y80" s="205">
        <f t="shared" si="23"/>
        <v>1705.0799999999997</v>
      </c>
      <c r="Z80" s="205">
        <f t="shared" si="23"/>
        <v>2641.08</v>
      </c>
      <c r="AA80" s="205">
        <f t="shared" si="23"/>
        <v>1790.2989473684211</v>
      </c>
      <c r="AC80">
        <v>2131.3499999999995</v>
      </c>
      <c r="AD80" s="205">
        <f t="shared" si="25"/>
        <v>0</v>
      </c>
      <c r="AJ80">
        <v>2131.3499999999995</v>
      </c>
      <c r="AK80" s="205">
        <f t="shared" si="24"/>
        <v>0</v>
      </c>
    </row>
    <row r="81" spans="1:37" x14ac:dyDescent="0.35">
      <c r="A81" s="197">
        <v>3302103</v>
      </c>
      <c r="B81" s="197">
        <v>2103</v>
      </c>
      <c r="C81" s="197" t="s">
        <v>284</v>
      </c>
      <c r="D81" s="198" t="s">
        <v>49</v>
      </c>
      <c r="E81" s="198"/>
      <c r="F81" s="197"/>
      <c r="G81" s="199">
        <v>30</v>
      </c>
      <c r="H81" s="199">
        <v>135</v>
      </c>
      <c r="I81" s="199">
        <v>150</v>
      </c>
      <c r="J81" s="199">
        <v>45</v>
      </c>
      <c r="K81" s="199">
        <v>150</v>
      </c>
      <c r="L81" s="199">
        <v>225</v>
      </c>
      <c r="M81" s="200">
        <v>33.157894736842103</v>
      </c>
      <c r="N81" s="200">
        <v>132.63157894736841</v>
      </c>
      <c r="O81" s="200">
        <v>165.78947368421052</v>
      </c>
      <c r="P81" s="201">
        <f t="shared" si="16"/>
        <v>837.46578947368414</v>
      </c>
      <c r="Q81" s="201">
        <f t="shared" si="17"/>
        <v>1536.007894736842</v>
      </c>
      <c r="R81" s="201">
        <f t="shared" si="18"/>
        <v>549.15789473684208</v>
      </c>
      <c r="S81" s="202">
        <f t="shared" si="19"/>
        <v>2922.6315789473683</v>
      </c>
      <c r="T81" s="203"/>
      <c r="U81" s="204">
        <f t="shared" si="20"/>
        <v>902.85</v>
      </c>
      <c r="V81" s="204">
        <f t="shared" si="21"/>
        <v>1156.3499999999999</v>
      </c>
      <c r="W81" s="204">
        <f t="shared" si="22"/>
        <v>863.43157894736828</v>
      </c>
      <c r="Y81" s="205">
        <f t="shared" si="23"/>
        <v>722.28000000000009</v>
      </c>
      <c r="Z81" s="205">
        <f t="shared" si="23"/>
        <v>925.07999999999993</v>
      </c>
      <c r="AA81" s="205">
        <f t="shared" si="23"/>
        <v>690.74526315789467</v>
      </c>
      <c r="AC81">
        <v>902.85</v>
      </c>
      <c r="AD81" s="205">
        <f t="shared" si="25"/>
        <v>0</v>
      </c>
      <c r="AJ81">
        <v>902.85</v>
      </c>
      <c r="AK81" s="205">
        <f t="shared" si="24"/>
        <v>0</v>
      </c>
    </row>
    <row r="82" spans="1:37" x14ac:dyDescent="0.35">
      <c r="A82" s="197">
        <v>3302108</v>
      </c>
      <c r="B82" s="197">
        <v>2108</v>
      </c>
      <c r="C82" s="197" t="s">
        <v>161</v>
      </c>
      <c r="D82" s="198" t="s">
        <v>27</v>
      </c>
      <c r="E82" s="198"/>
      <c r="F82" s="197"/>
      <c r="G82" s="199">
        <v>15</v>
      </c>
      <c r="H82" s="199">
        <v>495</v>
      </c>
      <c r="I82" s="199">
        <v>180</v>
      </c>
      <c r="J82" s="199">
        <v>0</v>
      </c>
      <c r="K82" s="199">
        <v>435</v>
      </c>
      <c r="L82" s="199">
        <v>135</v>
      </c>
      <c r="M82" s="200">
        <v>9.473684210526315</v>
      </c>
      <c r="N82" s="200">
        <v>454.73684210526312</v>
      </c>
      <c r="O82" s="200">
        <v>151.57894736842104</v>
      </c>
      <c r="P82" s="201">
        <f t="shared" si="16"/>
        <v>188.29736842105262</v>
      </c>
      <c r="Q82" s="201">
        <f t="shared" si="17"/>
        <v>5088.5842105263146</v>
      </c>
      <c r="R82" s="201">
        <f t="shared" si="18"/>
        <v>473.11578947368423</v>
      </c>
      <c r="S82" s="202">
        <f t="shared" si="19"/>
        <v>5749.9973684210518</v>
      </c>
      <c r="T82" s="203"/>
      <c r="U82" s="204">
        <f t="shared" si="20"/>
        <v>2172.2999999999997</v>
      </c>
      <c r="V82" s="204">
        <f t="shared" si="21"/>
        <v>1780.35</v>
      </c>
      <c r="W82" s="204">
        <f t="shared" si="22"/>
        <v>1797.3473684210524</v>
      </c>
      <c r="Y82" s="205">
        <f t="shared" si="23"/>
        <v>1737.84</v>
      </c>
      <c r="Z82" s="205">
        <f t="shared" si="23"/>
        <v>1424.28</v>
      </c>
      <c r="AA82" s="205">
        <f t="shared" si="23"/>
        <v>1437.8778947368419</v>
      </c>
      <c r="AC82" t="s">
        <v>160</v>
      </c>
      <c r="AJ82">
        <v>2172.2999999999997</v>
      </c>
      <c r="AK82" s="205">
        <f t="shared" si="24"/>
        <v>0</v>
      </c>
    </row>
    <row r="83" spans="1:37" x14ac:dyDescent="0.35">
      <c r="A83" s="197">
        <v>3302109</v>
      </c>
      <c r="B83" s="197">
        <v>2109</v>
      </c>
      <c r="C83" s="197" t="s">
        <v>285</v>
      </c>
      <c r="D83" s="198" t="s">
        <v>49</v>
      </c>
      <c r="E83" s="198"/>
      <c r="F83" s="197"/>
      <c r="G83" s="199">
        <v>120</v>
      </c>
      <c r="H83" s="199">
        <v>15</v>
      </c>
      <c r="I83" s="199">
        <v>75</v>
      </c>
      <c r="J83" s="199">
        <v>75</v>
      </c>
      <c r="K83" s="199">
        <v>0</v>
      </c>
      <c r="L83" s="199">
        <v>60</v>
      </c>
      <c r="M83" s="200">
        <v>94.73684210526315</v>
      </c>
      <c r="N83" s="200">
        <v>9.473684210526315</v>
      </c>
      <c r="O83" s="200">
        <v>61.578947368421055</v>
      </c>
      <c r="P83" s="201">
        <f t="shared" si="16"/>
        <v>2239.8236842105262</v>
      </c>
      <c r="Q83" s="201">
        <f t="shared" si="17"/>
        <v>89.518421052631567</v>
      </c>
      <c r="R83" s="201">
        <f t="shared" si="18"/>
        <v>199.51578947368421</v>
      </c>
      <c r="S83" s="202">
        <f t="shared" si="19"/>
        <v>2528.8578947368419</v>
      </c>
      <c r="T83" s="203"/>
      <c r="U83" s="204">
        <f t="shared" si="20"/>
        <v>1086.1500000000001</v>
      </c>
      <c r="V83" s="204">
        <f t="shared" si="21"/>
        <v>657.15</v>
      </c>
      <c r="W83" s="204">
        <f t="shared" si="22"/>
        <v>785.55789473684206</v>
      </c>
      <c r="Y83" s="205">
        <f t="shared" si="23"/>
        <v>868.92000000000007</v>
      </c>
      <c r="Z83" s="205">
        <f t="shared" si="23"/>
        <v>525.72</v>
      </c>
      <c r="AA83" s="205">
        <f t="shared" si="23"/>
        <v>628.44631578947372</v>
      </c>
      <c r="AC83">
        <v>1086.1500000000001</v>
      </c>
      <c r="AD83" s="205">
        <f t="shared" ref="AD83:AD84" si="26">AC83-U83</f>
        <v>0</v>
      </c>
      <c r="AJ83">
        <v>1086.1500000000001</v>
      </c>
      <c r="AK83" s="205">
        <f t="shared" si="24"/>
        <v>0</v>
      </c>
    </row>
    <row r="84" spans="1:37" x14ac:dyDescent="0.35">
      <c r="A84" s="197">
        <v>3302110</v>
      </c>
      <c r="B84" s="197">
        <v>2110</v>
      </c>
      <c r="C84" s="197" t="s">
        <v>286</v>
      </c>
      <c r="D84" s="198" t="s">
        <v>49</v>
      </c>
      <c r="E84" s="198"/>
      <c r="F84" s="197"/>
      <c r="G84" s="199">
        <v>45</v>
      </c>
      <c r="H84" s="199">
        <v>15</v>
      </c>
      <c r="I84" s="199">
        <v>495</v>
      </c>
      <c r="J84" s="199">
        <v>60</v>
      </c>
      <c r="K84" s="199">
        <v>15</v>
      </c>
      <c r="L84" s="199">
        <v>405</v>
      </c>
      <c r="M84" s="200">
        <v>47.368421052631575</v>
      </c>
      <c r="N84" s="200">
        <v>14.210526315789473</v>
      </c>
      <c r="O84" s="200">
        <v>440.52631578947364</v>
      </c>
      <c r="P84" s="201">
        <f t="shared" si="16"/>
        <v>1179.386842105263</v>
      </c>
      <c r="Q84" s="201">
        <f t="shared" si="17"/>
        <v>162.55263157894734</v>
      </c>
      <c r="R84" s="201">
        <f t="shared" si="18"/>
        <v>1358.9052631578948</v>
      </c>
      <c r="S84" s="202">
        <f t="shared" si="19"/>
        <v>2700.8447368421048</v>
      </c>
      <c r="T84" s="203"/>
      <c r="U84" s="204">
        <f t="shared" si="20"/>
        <v>928.2</v>
      </c>
      <c r="V84" s="204">
        <f t="shared" si="21"/>
        <v>953.55</v>
      </c>
      <c r="W84" s="204">
        <f t="shared" si="22"/>
        <v>819.09473684210514</v>
      </c>
      <c r="Y84" s="205">
        <f t="shared" si="23"/>
        <v>742.56000000000006</v>
      </c>
      <c r="Z84" s="205">
        <f t="shared" si="23"/>
        <v>762.84</v>
      </c>
      <c r="AA84" s="205">
        <f t="shared" si="23"/>
        <v>655.2757894736842</v>
      </c>
      <c r="AC84">
        <v>928.2</v>
      </c>
      <c r="AD84" s="205">
        <f t="shared" si="26"/>
        <v>0</v>
      </c>
      <c r="AJ84">
        <v>928.2</v>
      </c>
      <c r="AK84" s="205">
        <f t="shared" si="24"/>
        <v>0</v>
      </c>
    </row>
    <row r="85" spans="1:37" x14ac:dyDescent="0.35">
      <c r="A85" s="197">
        <v>3302115</v>
      </c>
      <c r="B85" s="197">
        <v>2115</v>
      </c>
      <c r="C85" s="197" t="s">
        <v>287</v>
      </c>
      <c r="D85" s="198" t="s">
        <v>27</v>
      </c>
      <c r="E85" s="198"/>
      <c r="F85" s="197"/>
      <c r="G85" s="199">
        <v>120</v>
      </c>
      <c r="H85" s="199">
        <v>180</v>
      </c>
      <c r="I85" s="199">
        <v>0</v>
      </c>
      <c r="J85" s="199">
        <v>45</v>
      </c>
      <c r="K85" s="199">
        <v>165</v>
      </c>
      <c r="L85" s="199">
        <v>0</v>
      </c>
      <c r="M85" s="200">
        <v>85.26315789473685</v>
      </c>
      <c r="N85" s="200">
        <v>161.05263157894737</v>
      </c>
      <c r="O85" s="200">
        <v>9.473684210526315</v>
      </c>
      <c r="P85" s="201">
        <f t="shared" si="16"/>
        <v>1932.5763157894737</v>
      </c>
      <c r="Q85" s="201">
        <f t="shared" si="17"/>
        <v>1861.1131578947366</v>
      </c>
      <c r="R85" s="201">
        <f t="shared" si="18"/>
        <v>9.094736842105263</v>
      </c>
      <c r="S85" s="202">
        <f t="shared" si="19"/>
        <v>3802.7842105263153</v>
      </c>
      <c r="T85" s="203"/>
      <c r="U85" s="204">
        <f t="shared" si="20"/>
        <v>1630.1999999999998</v>
      </c>
      <c r="V85" s="204">
        <f t="shared" si="21"/>
        <v>978.89999999999986</v>
      </c>
      <c r="W85" s="204">
        <f t="shared" si="22"/>
        <v>1193.6842105263158</v>
      </c>
      <c r="Y85" s="205">
        <f t="shared" si="23"/>
        <v>1304.1599999999999</v>
      </c>
      <c r="Z85" s="205">
        <f t="shared" si="23"/>
        <v>783.11999999999989</v>
      </c>
      <c r="AA85" s="205">
        <f t="shared" si="23"/>
        <v>954.94736842105272</v>
      </c>
      <c r="AC85" t="s">
        <v>102</v>
      </c>
      <c r="AJ85">
        <v>1630.1999999999998</v>
      </c>
      <c r="AK85" s="205">
        <f t="shared" si="24"/>
        <v>0</v>
      </c>
    </row>
    <row r="86" spans="1:37" x14ac:dyDescent="0.35">
      <c r="A86" s="197">
        <v>3302117</v>
      </c>
      <c r="B86" s="197">
        <v>2117</v>
      </c>
      <c r="C86" s="197" t="s">
        <v>288</v>
      </c>
      <c r="D86" s="198" t="s">
        <v>49</v>
      </c>
      <c r="E86" s="198"/>
      <c r="F86" s="197"/>
      <c r="G86" s="199">
        <v>120</v>
      </c>
      <c r="H86" s="199">
        <v>75</v>
      </c>
      <c r="I86" s="199">
        <v>345</v>
      </c>
      <c r="J86" s="199">
        <v>15</v>
      </c>
      <c r="K86" s="199">
        <v>60</v>
      </c>
      <c r="L86" s="199">
        <v>210</v>
      </c>
      <c r="M86" s="200">
        <v>80.526315789473685</v>
      </c>
      <c r="N86" s="200">
        <v>61.578947368421055</v>
      </c>
      <c r="O86" s="200">
        <v>288.9473684210526</v>
      </c>
      <c r="P86" s="201">
        <f t="shared" si="16"/>
        <v>1660.0026315789473</v>
      </c>
      <c r="Q86" s="201">
        <f t="shared" si="17"/>
        <v>723.24473684210523</v>
      </c>
      <c r="R86" s="201">
        <f t="shared" si="18"/>
        <v>854.58947368421059</v>
      </c>
      <c r="S86" s="202">
        <f t="shared" si="19"/>
        <v>3237.8368421052633</v>
      </c>
      <c r="T86" s="203"/>
      <c r="U86" s="204">
        <f t="shared" si="20"/>
        <v>1593.1499999999999</v>
      </c>
      <c r="V86" s="204">
        <f t="shared" si="21"/>
        <v>563.54999999999995</v>
      </c>
      <c r="W86" s="204">
        <f t="shared" si="22"/>
        <v>1081.1368421052632</v>
      </c>
      <c r="Y86" s="205">
        <f t="shared" si="23"/>
        <v>1274.52</v>
      </c>
      <c r="Z86" s="205">
        <f t="shared" si="23"/>
        <v>450.84</v>
      </c>
      <c r="AA86" s="205">
        <f t="shared" si="23"/>
        <v>864.90947368421064</v>
      </c>
      <c r="AC86">
        <v>1593.1499999999999</v>
      </c>
      <c r="AD86" s="205">
        <f t="shared" ref="AD86:AD89" si="27">AC86-U86</f>
        <v>0</v>
      </c>
      <c r="AJ86">
        <v>1593.1499999999999</v>
      </c>
      <c r="AK86" s="205">
        <f t="shared" si="24"/>
        <v>0</v>
      </c>
    </row>
    <row r="87" spans="1:37" x14ac:dyDescent="0.35">
      <c r="A87" s="197">
        <v>3302119</v>
      </c>
      <c r="B87" s="197">
        <v>2119</v>
      </c>
      <c r="C87" s="197" t="s">
        <v>289</v>
      </c>
      <c r="D87" s="198" t="s">
        <v>49</v>
      </c>
      <c r="E87" s="198"/>
      <c r="F87" s="197"/>
      <c r="G87" s="199">
        <v>45</v>
      </c>
      <c r="H87" s="199">
        <v>0</v>
      </c>
      <c r="I87" s="199">
        <v>120</v>
      </c>
      <c r="J87" s="199">
        <v>30</v>
      </c>
      <c r="K87" s="199">
        <v>15</v>
      </c>
      <c r="L87" s="199">
        <v>75</v>
      </c>
      <c r="M87" s="200">
        <v>37.89473684210526</v>
      </c>
      <c r="N87" s="200">
        <v>4.7368421052631575</v>
      </c>
      <c r="O87" s="200">
        <v>99.473684210526301</v>
      </c>
      <c r="P87" s="201">
        <f t="shared" si="16"/>
        <v>872.13947368421054</v>
      </c>
      <c r="Q87" s="201">
        <f t="shared" si="17"/>
        <v>73.034210526315789</v>
      </c>
      <c r="R87" s="201">
        <f t="shared" si="18"/>
        <v>298.29473684210529</v>
      </c>
      <c r="S87" s="202">
        <f t="shared" si="19"/>
        <v>1243.4684210526316</v>
      </c>
      <c r="T87" s="203"/>
      <c r="U87" s="204">
        <f t="shared" si="20"/>
        <v>481.65</v>
      </c>
      <c r="V87" s="204">
        <f t="shared" si="21"/>
        <v>372.45</v>
      </c>
      <c r="W87" s="204">
        <f t="shared" si="22"/>
        <v>389.36842105263156</v>
      </c>
      <c r="Y87" s="205">
        <f t="shared" si="23"/>
        <v>385.32</v>
      </c>
      <c r="Z87" s="205">
        <f t="shared" si="23"/>
        <v>297.95999999999998</v>
      </c>
      <c r="AA87" s="205">
        <f t="shared" si="23"/>
        <v>311.49473684210528</v>
      </c>
      <c r="AC87">
        <v>481.65</v>
      </c>
      <c r="AD87" s="205">
        <f t="shared" si="27"/>
        <v>0</v>
      </c>
      <c r="AJ87">
        <v>481.65</v>
      </c>
      <c r="AK87" s="205">
        <f t="shared" si="24"/>
        <v>0</v>
      </c>
    </row>
    <row r="88" spans="1:37" x14ac:dyDescent="0.35">
      <c r="A88" s="197">
        <v>3302121</v>
      </c>
      <c r="B88" s="197">
        <v>2121</v>
      </c>
      <c r="C88" s="197" t="s">
        <v>290</v>
      </c>
      <c r="D88" s="198" t="s">
        <v>49</v>
      </c>
      <c r="E88" s="198"/>
      <c r="F88" s="197"/>
      <c r="G88" s="199">
        <v>285</v>
      </c>
      <c r="H88" s="199">
        <v>135</v>
      </c>
      <c r="I88" s="199">
        <v>0</v>
      </c>
      <c r="J88" s="199">
        <v>165</v>
      </c>
      <c r="K88" s="199">
        <v>60</v>
      </c>
      <c r="L88" s="199">
        <v>15</v>
      </c>
      <c r="M88" s="200">
        <v>208.42105263157896</v>
      </c>
      <c r="N88" s="200">
        <v>85.26315789473685</v>
      </c>
      <c r="O88" s="200">
        <v>4.7368421052631575</v>
      </c>
      <c r="P88" s="201">
        <f t="shared" si="16"/>
        <v>5094.1421052631576</v>
      </c>
      <c r="Q88" s="201">
        <f t="shared" si="17"/>
        <v>1031.8657894736841</v>
      </c>
      <c r="R88" s="201">
        <f t="shared" si="18"/>
        <v>20.147368421052633</v>
      </c>
      <c r="S88" s="202">
        <f t="shared" si="19"/>
        <v>6146.1552631578943</v>
      </c>
      <c r="T88" s="203"/>
      <c r="U88" s="204">
        <f t="shared" si="20"/>
        <v>2768.9999999999995</v>
      </c>
      <c r="V88" s="204">
        <f t="shared" si="21"/>
        <v>1550.2499999999998</v>
      </c>
      <c r="W88" s="204">
        <f t="shared" si="22"/>
        <v>1826.9052631578948</v>
      </c>
      <c r="Y88" s="205">
        <f t="shared" si="23"/>
        <v>2215.1999999999998</v>
      </c>
      <c r="Z88" s="205">
        <f t="shared" si="23"/>
        <v>1240.1999999999998</v>
      </c>
      <c r="AA88" s="205">
        <f t="shared" si="23"/>
        <v>1461.524210526316</v>
      </c>
      <c r="AC88">
        <v>2768.9999999999995</v>
      </c>
      <c r="AD88" s="205">
        <f t="shared" si="27"/>
        <v>0</v>
      </c>
      <c r="AJ88">
        <v>2768.9999999999995</v>
      </c>
      <c r="AK88" s="205">
        <f t="shared" si="24"/>
        <v>0</v>
      </c>
    </row>
    <row r="89" spans="1:37" x14ac:dyDescent="0.35">
      <c r="A89" s="197">
        <v>3302122</v>
      </c>
      <c r="B89" s="197">
        <v>2122</v>
      </c>
      <c r="C89" s="197" t="s">
        <v>291</v>
      </c>
      <c r="D89" s="198" t="s">
        <v>49</v>
      </c>
      <c r="E89" s="198"/>
      <c r="F89" s="197"/>
      <c r="G89" s="199">
        <v>15</v>
      </c>
      <c r="H89" s="199">
        <v>180</v>
      </c>
      <c r="I89" s="199">
        <v>615</v>
      </c>
      <c r="J89" s="199">
        <v>0</v>
      </c>
      <c r="K89" s="199">
        <v>120</v>
      </c>
      <c r="L89" s="199">
        <v>315</v>
      </c>
      <c r="M89" s="200">
        <v>9.473684210526315</v>
      </c>
      <c r="N89" s="200">
        <v>151.57894736842104</v>
      </c>
      <c r="O89" s="200">
        <v>468.94736842105266</v>
      </c>
      <c r="P89" s="201">
        <f t="shared" si="16"/>
        <v>188.29736842105262</v>
      </c>
      <c r="Q89" s="201">
        <f t="shared" si="17"/>
        <v>1658.4947368421053</v>
      </c>
      <c r="R89" s="201">
        <f t="shared" si="18"/>
        <v>1417.3894736842108</v>
      </c>
      <c r="S89" s="202">
        <f t="shared" si="19"/>
        <v>3264.1815789473685</v>
      </c>
      <c r="T89" s="203"/>
      <c r="U89" s="204">
        <f t="shared" si="20"/>
        <v>1437.15</v>
      </c>
      <c r="V89" s="204">
        <f t="shared" si="21"/>
        <v>780</v>
      </c>
      <c r="W89" s="204">
        <f t="shared" si="22"/>
        <v>1047.0315789473684</v>
      </c>
      <c r="Y89" s="205">
        <f t="shared" si="23"/>
        <v>1149.72</v>
      </c>
      <c r="Z89" s="205">
        <f t="shared" si="23"/>
        <v>624</v>
      </c>
      <c r="AA89" s="205">
        <f t="shared" si="23"/>
        <v>837.62526315789478</v>
      </c>
      <c r="AC89">
        <v>1437.15</v>
      </c>
      <c r="AD89" s="205">
        <f t="shared" si="27"/>
        <v>0</v>
      </c>
      <c r="AJ89">
        <v>1437.15</v>
      </c>
      <c r="AK89" s="205">
        <f t="shared" si="24"/>
        <v>0</v>
      </c>
    </row>
    <row r="90" spans="1:37" x14ac:dyDescent="0.35">
      <c r="A90" s="197">
        <v>3302127</v>
      </c>
      <c r="B90" s="197">
        <v>2127</v>
      </c>
      <c r="C90" s="197" t="s">
        <v>292</v>
      </c>
      <c r="D90" s="198" t="s">
        <v>27</v>
      </c>
      <c r="E90" s="198"/>
      <c r="F90" s="197"/>
      <c r="G90" s="199">
        <v>135</v>
      </c>
      <c r="H90" s="199">
        <v>330</v>
      </c>
      <c r="I90" s="199">
        <v>135</v>
      </c>
      <c r="J90" s="199">
        <v>105</v>
      </c>
      <c r="K90" s="199">
        <v>255</v>
      </c>
      <c r="L90" s="199">
        <v>195</v>
      </c>
      <c r="M90" s="200">
        <v>127.89473684210526</v>
      </c>
      <c r="N90" s="200">
        <v>279.47368421052636</v>
      </c>
      <c r="O90" s="200">
        <v>146.84210526315789</v>
      </c>
      <c r="P90" s="201">
        <f t="shared" si="16"/>
        <v>2839.3894736842103</v>
      </c>
      <c r="Q90" s="201">
        <f t="shared" si="17"/>
        <v>3178.0184210526313</v>
      </c>
      <c r="R90" s="201">
        <f t="shared" si="18"/>
        <v>484.16842105263157</v>
      </c>
      <c r="S90" s="202">
        <f t="shared" si="19"/>
        <v>6501.5763157894726</v>
      </c>
      <c r="T90" s="203"/>
      <c r="U90" s="204">
        <f t="shared" si="20"/>
        <v>2455.0499999999997</v>
      </c>
      <c r="V90" s="204">
        <f t="shared" si="21"/>
        <v>1996.8</v>
      </c>
      <c r="W90" s="204">
        <f t="shared" si="22"/>
        <v>2049.726315789474</v>
      </c>
      <c r="Y90" s="205">
        <f t="shared" si="23"/>
        <v>1964.04</v>
      </c>
      <c r="Z90" s="205">
        <f t="shared" si="23"/>
        <v>1597.44</v>
      </c>
      <c r="AA90" s="205">
        <f t="shared" si="23"/>
        <v>1639.7810526315793</v>
      </c>
      <c r="AC90" t="s">
        <v>106</v>
      </c>
      <c r="AJ90">
        <v>2455.0499999999997</v>
      </c>
      <c r="AK90" s="205">
        <f t="shared" si="24"/>
        <v>0</v>
      </c>
    </row>
    <row r="91" spans="1:37" x14ac:dyDescent="0.35">
      <c r="A91" s="197">
        <v>3302132</v>
      </c>
      <c r="B91" s="197">
        <v>2132</v>
      </c>
      <c r="C91" s="197" t="s">
        <v>293</v>
      </c>
      <c r="D91" s="198" t="s">
        <v>49</v>
      </c>
      <c r="E91" s="198"/>
      <c r="F91" s="197"/>
      <c r="G91" s="199">
        <v>0</v>
      </c>
      <c r="H91" s="199">
        <v>150</v>
      </c>
      <c r="I91" s="199">
        <v>600</v>
      </c>
      <c r="J91" s="199">
        <v>0</v>
      </c>
      <c r="K91" s="199">
        <v>180</v>
      </c>
      <c r="L91" s="199">
        <v>435</v>
      </c>
      <c r="M91" s="200">
        <v>0</v>
      </c>
      <c r="N91" s="200">
        <v>146.84210526315789</v>
      </c>
      <c r="O91" s="200">
        <v>521.05263157894728</v>
      </c>
      <c r="P91" s="201">
        <f t="shared" si="16"/>
        <v>0</v>
      </c>
      <c r="Q91" s="201">
        <f t="shared" si="17"/>
        <v>1755.1105263157892</v>
      </c>
      <c r="R91" s="201">
        <f t="shared" si="18"/>
        <v>1576.6105263157895</v>
      </c>
      <c r="S91" s="202">
        <f t="shared" si="19"/>
        <v>3331.7210526315785</v>
      </c>
      <c r="T91" s="203"/>
      <c r="U91" s="204">
        <f t="shared" si="20"/>
        <v>1189.5</v>
      </c>
      <c r="V91" s="204">
        <f t="shared" si="21"/>
        <v>1131</v>
      </c>
      <c r="W91" s="204">
        <f t="shared" si="22"/>
        <v>1011.2210526315788</v>
      </c>
      <c r="Y91" s="205">
        <f t="shared" si="23"/>
        <v>951.6</v>
      </c>
      <c r="Z91" s="205">
        <f t="shared" si="23"/>
        <v>904.80000000000007</v>
      </c>
      <c r="AA91" s="205">
        <f t="shared" si="23"/>
        <v>808.97684210526313</v>
      </c>
      <c r="AC91">
        <v>1189.5</v>
      </c>
      <c r="AD91" s="205">
        <f t="shared" ref="AD91:AD94" si="28">AC91-U91</f>
        <v>0</v>
      </c>
      <c r="AJ91">
        <v>1189.5</v>
      </c>
      <c r="AK91" s="205">
        <f t="shared" si="24"/>
        <v>0</v>
      </c>
    </row>
    <row r="92" spans="1:37" x14ac:dyDescent="0.35">
      <c r="A92" s="197">
        <v>3302136</v>
      </c>
      <c r="B92" s="197">
        <v>2136</v>
      </c>
      <c r="C92" s="197" t="s">
        <v>294</v>
      </c>
      <c r="D92" s="198" t="s">
        <v>49</v>
      </c>
      <c r="E92" s="198"/>
      <c r="F92" s="197"/>
      <c r="G92" s="199">
        <v>225</v>
      </c>
      <c r="H92" s="199">
        <v>15</v>
      </c>
      <c r="I92" s="199">
        <v>210</v>
      </c>
      <c r="J92" s="199">
        <v>120</v>
      </c>
      <c r="K92" s="199">
        <v>75</v>
      </c>
      <c r="L92" s="199">
        <v>165</v>
      </c>
      <c r="M92" s="200">
        <v>180</v>
      </c>
      <c r="N92" s="200">
        <v>28.421052631578945</v>
      </c>
      <c r="O92" s="200">
        <v>170.5263157894737</v>
      </c>
      <c r="P92" s="201">
        <f t="shared" si="16"/>
        <v>4053.45</v>
      </c>
      <c r="Q92" s="201">
        <f t="shared" si="17"/>
        <v>438.20526315789471</v>
      </c>
      <c r="R92" s="201">
        <f t="shared" si="18"/>
        <v>553.70526315789471</v>
      </c>
      <c r="S92" s="202">
        <f t="shared" si="19"/>
        <v>5045.3605263157897</v>
      </c>
      <c r="T92" s="203"/>
      <c r="U92" s="204">
        <f t="shared" si="20"/>
        <v>2059.1999999999998</v>
      </c>
      <c r="V92" s="204">
        <f t="shared" si="21"/>
        <v>1405.9499999999998</v>
      </c>
      <c r="W92" s="204">
        <f t="shared" si="22"/>
        <v>1580.2105263157894</v>
      </c>
      <c r="Y92" s="205">
        <f t="shared" si="23"/>
        <v>1647.36</v>
      </c>
      <c r="Z92" s="205">
        <f t="shared" si="23"/>
        <v>1124.76</v>
      </c>
      <c r="AA92" s="205">
        <f t="shared" si="23"/>
        <v>1264.1684210526316</v>
      </c>
      <c r="AC92">
        <v>2059.1999999999998</v>
      </c>
      <c r="AD92" s="205">
        <f t="shared" si="28"/>
        <v>0</v>
      </c>
      <c r="AJ92">
        <v>2059.1999999999998</v>
      </c>
      <c r="AK92" s="205">
        <f t="shared" si="24"/>
        <v>0</v>
      </c>
    </row>
    <row r="93" spans="1:37" x14ac:dyDescent="0.35">
      <c r="A93" s="197">
        <v>3302138</v>
      </c>
      <c r="B93" s="197">
        <v>2138</v>
      </c>
      <c r="C93" s="197" t="s">
        <v>295</v>
      </c>
      <c r="D93" s="198" t="s">
        <v>49</v>
      </c>
      <c r="E93" s="198"/>
      <c r="F93" s="197"/>
      <c r="G93" s="199">
        <v>0</v>
      </c>
      <c r="H93" s="199">
        <v>60</v>
      </c>
      <c r="I93" s="199">
        <v>90</v>
      </c>
      <c r="J93" s="199">
        <v>0</v>
      </c>
      <c r="K93" s="199">
        <v>0</v>
      </c>
      <c r="L93" s="199">
        <v>30</v>
      </c>
      <c r="M93" s="200">
        <v>0</v>
      </c>
      <c r="N93" s="200">
        <v>37.89473684210526</v>
      </c>
      <c r="O93" s="200">
        <v>66.315789473684205</v>
      </c>
      <c r="P93" s="201">
        <f t="shared" si="16"/>
        <v>0</v>
      </c>
      <c r="Q93" s="201">
        <f t="shared" si="17"/>
        <v>358.07368421052627</v>
      </c>
      <c r="R93" s="201">
        <f t="shared" si="18"/>
        <v>188.46315789473687</v>
      </c>
      <c r="S93" s="202">
        <f t="shared" si="19"/>
        <v>546.53684210526308</v>
      </c>
      <c r="T93" s="203"/>
      <c r="U93" s="204">
        <f t="shared" si="20"/>
        <v>319.8</v>
      </c>
      <c r="V93" s="204">
        <f t="shared" si="21"/>
        <v>31.2</v>
      </c>
      <c r="W93" s="204">
        <f t="shared" si="22"/>
        <v>195.53684210526313</v>
      </c>
      <c r="Y93" s="205">
        <f t="shared" si="23"/>
        <v>255.84000000000003</v>
      </c>
      <c r="Z93" s="205">
        <f t="shared" si="23"/>
        <v>24.96</v>
      </c>
      <c r="AA93" s="205">
        <f t="shared" si="23"/>
        <v>156.42947368421051</v>
      </c>
      <c r="AC93">
        <v>319.8</v>
      </c>
      <c r="AD93" s="205">
        <f t="shared" si="28"/>
        <v>0</v>
      </c>
      <c r="AJ93">
        <v>319.8</v>
      </c>
      <c r="AK93" s="205">
        <f t="shared" si="24"/>
        <v>0</v>
      </c>
    </row>
    <row r="94" spans="1:37" x14ac:dyDescent="0.35">
      <c r="A94" s="197">
        <v>3302141</v>
      </c>
      <c r="B94" s="197">
        <v>2141</v>
      </c>
      <c r="C94" s="197" t="s">
        <v>296</v>
      </c>
      <c r="D94" s="198" t="s">
        <v>49</v>
      </c>
      <c r="E94" s="198"/>
      <c r="F94" s="197"/>
      <c r="G94" s="199">
        <v>210</v>
      </c>
      <c r="H94" s="199">
        <v>45</v>
      </c>
      <c r="I94" s="199">
        <v>0</v>
      </c>
      <c r="J94" s="199">
        <v>240</v>
      </c>
      <c r="K94" s="199">
        <v>0</v>
      </c>
      <c r="L94" s="199">
        <v>0</v>
      </c>
      <c r="M94" s="200">
        <v>208.42105263157896</v>
      </c>
      <c r="N94" s="200">
        <v>28.421052631578945</v>
      </c>
      <c r="O94" s="200">
        <v>0</v>
      </c>
      <c r="P94" s="201">
        <f t="shared" si="16"/>
        <v>5094.1421052631576</v>
      </c>
      <c r="Q94" s="201">
        <f t="shared" si="17"/>
        <v>268.55526315789473</v>
      </c>
      <c r="R94" s="201">
        <f t="shared" si="18"/>
        <v>0</v>
      </c>
      <c r="S94" s="202">
        <f t="shared" si="19"/>
        <v>5362.6973684210525</v>
      </c>
      <c r="T94" s="203"/>
      <c r="U94" s="204">
        <f t="shared" si="20"/>
        <v>1834.9499999999998</v>
      </c>
      <c r="V94" s="204">
        <f t="shared" si="21"/>
        <v>1903.2</v>
      </c>
      <c r="W94" s="204">
        <f t="shared" si="22"/>
        <v>1624.5473684210526</v>
      </c>
      <c r="Y94" s="205">
        <f t="shared" si="23"/>
        <v>1467.96</v>
      </c>
      <c r="Z94" s="205">
        <f t="shared" si="23"/>
        <v>1522.5600000000002</v>
      </c>
      <c r="AA94" s="205">
        <f t="shared" si="23"/>
        <v>1299.6378947368421</v>
      </c>
      <c r="AC94">
        <v>1834.9499999999998</v>
      </c>
      <c r="AD94" s="205">
        <f t="shared" si="28"/>
        <v>0</v>
      </c>
      <c r="AJ94">
        <v>1834.9499999999998</v>
      </c>
      <c r="AK94" s="205">
        <f t="shared" si="24"/>
        <v>0</v>
      </c>
    </row>
    <row r="95" spans="1:37" x14ac:dyDescent="0.35">
      <c r="A95" s="197">
        <v>3302142</v>
      </c>
      <c r="B95" s="197">
        <v>2142</v>
      </c>
      <c r="C95" s="197" t="s">
        <v>115</v>
      </c>
      <c r="D95" s="198" t="s">
        <v>27</v>
      </c>
      <c r="E95" s="198"/>
      <c r="F95" s="197"/>
      <c r="G95" s="199">
        <v>165</v>
      </c>
      <c r="H95" s="199">
        <v>0</v>
      </c>
      <c r="I95" s="199">
        <v>135</v>
      </c>
      <c r="J95" s="199">
        <v>225</v>
      </c>
      <c r="K95" s="199">
        <v>0</v>
      </c>
      <c r="L95" s="199">
        <v>45</v>
      </c>
      <c r="M95" s="200">
        <v>175.26315789473682</v>
      </c>
      <c r="N95" s="200">
        <v>0</v>
      </c>
      <c r="O95" s="200">
        <v>99.473684210526301</v>
      </c>
      <c r="P95" s="201">
        <f t="shared" si="16"/>
        <v>4375.6263157894737</v>
      </c>
      <c r="Q95" s="201">
        <f t="shared" si="17"/>
        <v>0</v>
      </c>
      <c r="R95" s="201">
        <f t="shared" si="18"/>
        <v>282.69473684210527</v>
      </c>
      <c r="S95" s="202">
        <f t="shared" si="19"/>
        <v>4658.3210526315788</v>
      </c>
      <c r="T95" s="203"/>
      <c r="U95" s="204">
        <f t="shared" si="20"/>
        <v>1448.85</v>
      </c>
      <c r="V95" s="204">
        <f t="shared" si="21"/>
        <v>1831.05</v>
      </c>
      <c r="W95" s="204">
        <f t="shared" si="22"/>
        <v>1378.4210526315787</v>
      </c>
      <c r="Y95" s="205">
        <f t="shared" si="23"/>
        <v>1159.08</v>
      </c>
      <c r="Z95" s="205">
        <f t="shared" si="23"/>
        <v>1464.8400000000001</v>
      </c>
      <c r="AA95" s="205">
        <f t="shared" si="23"/>
        <v>1102.7368421052631</v>
      </c>
      <c r="AC95" t="s">
        <v>114</v>
      </c>
      <c r="AJ95">
        <v>1448.85</v>
      </c>
      <c r="AK95" s="205">
        <f t="shared" si="24"/>
        <v>0</v>
      </c>
    </row>
    <row r="96" spans="1:37" x14ac:dyDescent="0.35">
      <c r="A96" s="197">
        <v>3302144</v>
      </c>
      <c r="B96" s="197">
        <v>2144</v>
      </c>
      <c r="C96" s="197" t="s">
        <v>298</v>
      </c>
      <c r="D96" s="198" t="s">
        <v>49</v>
      </c>
      <c r="E96" s="198"/>
      <c r="F96" s="197"/>
      <c r="G96" s="199">
        <v>30</v>
      </c>
      <c r="H96" s="199">
        <v>165</v>
      </c>
      <c r="I96" s="199">
        <v>345</v>
      </c>
      <c r="J96" s="199">
        <v>15</v>
      </c>
      <c r="K96" s="199">
        <v>225</v>
      </c>
      <c r="L96" s="199">
        <v>405</v>
      </c>
      <c r="M96" s="200">
        <v>23.684210526315788</v>
      </c>
      <c r="N96" s="200">
        <v>170.5263157894737</v>
      </c>
      <c r="O96" s="200">
        <v>350.52631578947364</v>
      </c>
      <c r="P96" s="201">
        <f t="shared" si="16"/>
        <v>530.21842105263158</v>
      </c>
      <c r="Q96" s="201">
        <f t="shared" si="17"/>
        <v>2063.7315789473682</v>
      </c>
      <c r="R96" s="201">
        <f t="shared" si="18"/>
        <v>1116.5052631578947</v>
      </c>
      <c r="S96" s="202">
        <f t="shared" si="19"/>
        <v>3710.4552631578945</v>
      </c>
      <c r="T96" s="203"/>
      <c r="U96" s="204">
        <f t="shared" si="20"/>
        <v>1218.75</v>
      </c>
      <c r="V96" s="204">
        <f t="shared" si="21"/>
        <v>1388.4</v>
      </c>
      <c r="W96" s="204">
        <f t="shared" si="22"/>
        <v>1103.3052631578946</v>
      </c>
      <c r="Y96" s="205">
        <f t="shared" si="23"/>
        <v>975</v>
      </c>
      <c r="Z96" s="205">
        <f t="shared" si="23"/>
        <v>1110.72</v>
      </c>
      <c r="AA96" s="205">
        <f t="shared" si="23"/>
        <v>882.64421052631576</v>
      </c>
      <c r="AC96">
        <v>1218.75</v>
      </c>
      <c r="AD96" s="205">
        <f t="shared" ref="AD96:AD98" si="29">AC96-U96</f>
        <v>0</v>
      </c>
      <c r="AJ96">
        <v>1218.75</v>
      </c>
      <c r="AK96" s="205">
        <f t="shared" si="24"/>
        <v>0</v>
      </c>
    </row>
    <row r="97" spans="1:37" x14ac:dyDescent="0.35">
      <c r="A97" s="197">
        <v>3302146</v>
      </c>
      <c r="B97" s="197">
        <v>2146</v>
      </c>
      <c r="C97" s="197" t="s">
        <v>299</v>
      </c>
      <c r="D97" s="198" t="s">
        <v>49</v>
      </c>
      <c r="E97" s="198"/>
      <c r="F97" s="197"/>
      <c r="G97" s="199">
        <v>15</v>
      </c>
      <c r="H97" s="199">
        <v>30</v>
      </c>
      <c r="I97" s="199">
        <v>435</v>
      </c>
      <c r="J97" s="199">
        <v>30</v>
      </c>
      <c r="K97" s="199">
        <v>45</v>
      </c>
      <c r="L97" s="199">
        <v>570</v>
      </c>
      <c r="M97" s="200">
        <v>18.94736842105263</v>
      </c>
      <c r="N97" s="200">
        <v>37.89473684210526</v>
      </c>
      <c r="O97" s="200">
        <v>459.47368421052636</v>
      </c>
      <c r="P97" s="201">
        <f t="shared" si="16"/>
        <v>495.54473684210529</v>
      </c>
      <c r="Q97" s="201">
        <f t="shared" si="17"/>
        <v>414.62368421052633</v>
      </c>
      <c r="R97" s="201">
        <f t="shared" si="18"/>
        <v>1486.2947368421055</v>
      </c>
      <c r="S97" s="202">
        <f t="shared" si="19"/>
        <v>2396.4631578947374</v>
      </c>
      <c r="T97" s="203"/>
      <c r="U97" s="204">
        <f t="shared" si="20"/>
        <v>684.45</v>
      </c>
      <c r="V97" s="204">
        <f t="shared" si="21"/>
        <v>1000.35</v>
      </c>
      <c r="W97" s="204">
        <f t="shared" si="22"/>
        <v>711.66315789473697</v>
      </c>
      <c r="Y97" s="205">
        <f t="shared" si="23"/>
        <v>547.56000000000006</v>
      </c>
      <c r="Z97" s="205">
        <f t="shared" si="23"/>
        <v>800.28000000000009</v>
      </c>
      <c r="AA97" s="205">
        <f t="shared" si="23"/>
        <v>569.3305263157896</v>
      </c>
      <c r="AC97">
        <v>684.45</v>
      </c>
      <c r="AD97" s="205">
        <f t="shared" si="29"/>
        <v>0</v>
      </c>
      <c r="AJ97">
        <v>684.45</v>
      </c>
      <c r="AK97" s="205">
        <f t="shared" si="24"/>
        <v>0</v>
      </c>
    </row>
    <row r="98" spans="1:37" x14ac:dyDescent="0.35">
      <c r="A98" s="197">
        <v>3302149</v>
      </c>
      <c r="B98" s="197">
        <v>2149</v>
      </c>
      <c r="C98" s="197" t="s">
        <v>300</v>
      </c>
      <c r="D98" s="198" t="s">
        <v>49</v>
      </c>
      <c r="E98" s="198"/>
      <c r="F98" s="197"/>
      <c r="G98" s="199">
        <v>15</v>
      </c>
      <c r="H98" s="199">
        <v>90</v>
      </c>
      <c r="I98" s="199">
        <v>75</v>
      </c>
      <c r="J98" s="199">
        <v>0</v>
      </c>
      <c r="K98" s="199">
        <v>30</v>
      </c>
      <c r="L98" s="199">
        <v>90</v>
      </c>
      <c r="M98" s="200">
        <v>9.473684210526315</v>
      </c>
      <c r="N98" s="200">
        <v>66.315789473684205</v>
      </c>
      <c r="O98" s="200">
        <v>75.78947368421052</v>
      </c>
      <c r="P98" s="201">
        <f t="shared" si="16"/>
        <v>188.29736842105262</v>
      </c>
      <c r="Q98" s="201">
        <f t="shared" si="17"/>
        <v>683.17894736842095</v>
      </c>
      <c r="R98" s="201">
        <f t="shared" si="18"/>
        <v>244.35789473684213</v>
      </c>
      <c r="S98" s="202">
        <f t="shared" si="19"/>
        <v>1115.8342105263157</v>
      </c>
      <c r="T98" s="203"/>
      <c r="U98" s="204">
        <f t="shared" si="20"/>
        <v>536.25</v>
      </c>
      <c r="V98" s="204">
        <f t="shared" si="21"/>
        <v>206.7</v>
      </c>
      <c r="W98" s="204">
        <f t="shared" si="22"/>
        <v>372.88421052631577</v>
      </c>
      <c r="Y98" s="205">
        <f t="shared" si="23"/>
        <v>429</v>
      </c>
      <c r="Z98" s="205">
        <f t="shared" si="23"/>
        <v>165.36</v>
      </c>
      <c r="AA98" s="205">
        <f t="shared" si="23"/>
        <v>298.30736842105262</v>
      </c>
      <c r="AC98">
        <v>536.25</v>
      </c>
      <c r="AD98" s="205">
        <f t="shared" si="29"/>
        <v>0</v>
      </c>
      <c r="AJ98">
        <v>536.25</v>
      </c>
      <c r="AK98" s="205">
        <f t="shared" si="24"/>
        <v>0</v>
      </c>
    </row>
    <row r="99" spans="1:37" x14ac:dyDescent="0.35">
      <c r="A99" s="197">
        <v>3302150</v>
      </c>
      <c r="B99" s="197">
        <v>2150</v>
      </c>
      <c r="C99" s="197" t="s">
        <v>203</v>
      </c>
      <c r="D99" s="198" t="s">
        <v>245</v>
      </c>
      <c r="E99" s="198"/>
      <c r="F99" s="197"/>
      <c r="G99" s="199">
        <v>30</v>
      </c>
      <c r="H99" s="199">
        <v>120</v>
      </c>
      <c r="I99" s="199">
        <v>120</v>
      </c>
      <c r="J99" s="199">
        <v>15</v>
      </c>
      <c r="K99" s="199">
        <v>90</v>
      </c>
      <c r="L99" s="199">
        <v>15</v>
      </c>
      <c r="M99" s="200">
        <v>23.684210526315788</v>
      </c>
      <c r="N99" s="200">
        <v>104.21052631578948</v>
      </c>
      <c r="O99" s="200">
        <v>80.526315789473685</v>
      </c>
      <c r="P99" s="201">
        <f t="shared" si="16"/>
        <v>530.21842105263158</v>
      </c>
      <c r="Q99" s="201">
        <f t="shared" si="17"/>
        <v>1154.3526315789472</v>
      </c>
      <c r="R99" s="201">
        <f t="shared" si="18"/>
        <v>217.70526315789476</v>
      </c>
      <c r="S99" s="202">
        <f t="shared" si="19"/>
        <v>1902.2763157894735</v>
      </c>
      <c r="T99" s="203"/>
      <c r="U99" s="204">
        <f t="shared" si="20"/>
        <v>815.09999999999991</v>
      </c>
      <c r="V99" s="204">
        <f t="shared" si="21"/>
        <v>473.84999999999997</v>
      </c>
      <c r="W99" s="204">
        <f t="shared" si="22"/>
        <v>613.3263157894736</v>
      </c>
      <c r="Y99" s="205">
        <f t="shared" si="23"/>
        <v>652.07999999999993</v>
      </c>
      <c r="Z99" s="205">
        <f t="shared" si="23"/>
        <v>379.08</v>
      </c>
      <c r="AA99" s="205">
        <f t="shared" si="23"/>
        <v>490.66105263157891</v>
      </c>
      <c r="AC99" t="s">
        <v>202</v>
      </c>
      <c r="AJ99">
        <v>815.09999999999991</v>
      </c>
      <c r="AK99" s="205">
        <f t="shared" si="24"/>
        <v>0</v>
      </c>
    </row>
    <row r="100" spans="1:37" x14ac:dyDescent="0.35">
      <c r="A100" s="197">
        <v>3302156</v>
      </c>
      <c r="B100" s="197">
        <v>2156</v>
      </c>
      <c r="C100" s="197" t="s">
        <v>301</v>
      </c>
      <c r="D100" s="198" t="s">
        <v>49</v>
      </c>
      <c r="E100" s="198"/>
      <c r="F100" s="197"/>
      <c r="G100" s="199">
        <v>135</v>
      </c>
      <c r="H100" s="199">
        <v>105</v>
      </c>
      <c r="I100" s="199">
        <v>75</v>
      </c>
      <c r="J100" s="199">
        <v>75</v>
      </c>
      <c r="K100" s="199">
        <v>180</v>
      </c>
      <c r="L100" s="199">
        <v>60</v>
      </c>
      <c r="M100" s="200">
        <v>108.94736842105263</v>
      </c>
      <c r="N100" s="200">
        <v>118.42105263157895</v>
      </c>
      <c r="O100" s="200">
        <v>66.315789473684205</v>
      </c>
      <c r="P100" s="201">
        <f t="shared" si="16"/>
        <v>2462.7947368421055</v>
      </c>
      <c r="Q100" s="201">
        <f t="shared" si="17"/>
        <v>1486.5552631578944</v>
      </c>
      <c r="R100" s="201">
        <f t="shared" si="18"/>
        <v>204.06315789473683</v>
      </c>
      <c r="S100" s="202">
        <f t="shared" si="19"/>
        <v>4153.4131578947363</v>
      </c>
      <c r="T100" s="203"/>
      <c r="U100" s="204">
        <f t="shared" si="20"/>
        <v>1544.3999999999999</v>
      </c>
      <c r="V100" s="204">
        <f t="shared" si="21"/>
        <v>1335.75</v>
      </c>
      <c r="W100" s="204">
        <f t="shared" si="22"/>
        <v>1273.2631578947367</v>
      </c>
      <c r="Y100" s="205">
        <f t="shared" si="23"/>
        <v>1235.52</v>
      </c>
      <c r="Z100" s="205">
        <f t="shared" si="23"/>
        <v>1068.6000000000001</v>
      </c>
      <c r="AA100" s="205">
        <f t="shared" si="23"/>
        <v>1018.6105263157893</v>
      </c>
      <c r="AC100">
        <v>1544.3999999999999</v>
      </c>
      <c r="AD100" s="205">
        <f>AC100-U100</f>
        <v>0</v>
      </c>
      <c r="AJ100">
        <v>1544.3999999999999</v>
      </c>
      <c r="AK100" s="205">
        <f t="shared" si="24"/>
        <v>0</v>
      </c>
    </row>
    <row r="101" spans="1:37" x14ac:dyDescent="0.35">
      <c r="A101" s="197">
        <v>3302157</v>
      </c>
      <c r="B101" s="197">
        <v>2157</v>
      </c>
      <c r="C101" s="197" t="s">
        <v>205</v>
      </c>
      <c r="D101" s="198" t="s">
        <v>245</v>
      </c>
      <c r="E101" s="198"/>
      <c r="F101" s="197"/>
      <c r="G101" s="199">
        <v>15</v>
      </c>
      <c r="H101" s="199">
        <v>0</v>
      </c>
      <c r="I101" s="199">
        <v>30</v>
      </c>
      <c r="J101" s="199">
        <v>0</v>
      </c>
      <c r="K101" s="199">
        <v>0</v>
      </c>
      <c r="L101" s="199">
        <v>0</v>
      </c>
      <c r="M101" s="200">
        <v>9.473684210526315</v>
      </c>
      <c r="N101" s="200">
        <v>0</v>
      </c>
      <c r="O101" s="200">
        <v>18.94736842105263</v>
      </c>
      <c r="P101" s="201">
        <f t="shared" si="16"/>
        <v>188.29736842105262</v>
      </c>
      <c r="Q101" s="201">
        <f t="shared" si="17"/>
        <v>0</v>
      </c>
      <c r="R101" s="201">
        <f t="shared" si="18"/>
        <v>49.389473684210529</v>
      </c>
      <c r="S101" s="202">
        <f t="shared" si="19"/>
        <v>237.68684210526317</v>
      </c>
      <c r="T101" s="203"/>
      <c r="U101" s="204">
        <f t="shared" si="20"/>
        <v>150.15</v>
      </c>
      <c r="V101" s="204">
        <f t="shared" si="21"/>
        <v>0</v>
      </c>
      <c r="W101" s="204">
        <f t="shared" si="22"/>
        <v>87.536842105263162</v>
      </c>
      <c r="Y101" s="205">
        <f t="shared" si="23"/>
        <v>120.12</v>
      </c>
      <c r="Z101" s="205">
        <f t="shared" si="23"/>
        <v>0</v>
      </c>
      <c r="AA101" s="205">
        <f t="shared" si="23"/>
        <v>70.029473684210529</v>
      </c>
      <c r="AC101" t="s">
        <v>204</v>
      </c>
      <c r="AJ101">
        <v>150.15</v>
      </c>
      <c r="AK101" s="205">
        <f t="shared" si="24"/>
        <v>0</v>
      </c>
    </row>
    <row r="102" spans="1:37" x14ac:dyDescent="0.35">
      <c r="A102" s="197">
        <v>3302161</v>
      </c>
      <c r="B102" s="197">
        <v>2161</v>
      </c>
      <c r="C102" s="197" t="s">
        <v>302</v>
      </c>
      <c r="D102" s="198" t="s">
        <v>27</v>
      </c>
      <c r="E102" s="198"/>
      <c r="F102" s="197"/>
      <c r="G102" s="199">
        <v>120</v>
      </c>
      <c r="H102" s="199">
        <v>30</v>
      </c>
      <c r="I102" s="199">
        <v>165</v>
      </c>
      <c r="J102" s="199">
        <v>120</v>
      </c>
      <c r="K102" s="199">
        <v>0</v>
      </c>
      <c r="L102" s="199">
        <v>90</v>
      </c>
      <c r="M102" s="200">
        <v>108.94736842105263</v>
      </c>
      <c r="N102" s="200">
        <v>18.94736842105263</v>
      </c>
      <c r="O102" s="200">
        <v>132.63157894736841</v>
      </c>
      <c r="P102" s="201">
        <f t="shared" si="16"/>
        <v>2700.6947368421052</v>
      </c>
      <c r="Q102" s="201">
        <f t="shared" si="17"/>
        <v>179.03684210526313</v>
      </c>
      <c r="R102" s="201">
        <f t="shared" si="18"/>
        <v>392.52631578947376</v>
      </c>
      <c r="S102" s="202">
        <f t="shared" si="19"/>
        <v>3272.257894736842</v>
      </c>
      <c r="T102" s="203"/>
      <c r="U102" s="204">
        <f t="shared" si="20"/>
        <v>1236.3000000000002</v>
      </c>
      <c r="V102" s="204">
        <f t="shared" si="21"/>
        <v>1045.2</v>
      </c>
      <c r="W102" s="204">
        <f t="shared" si="22"/>
        <v>990.75789473684222</v>
      </c>
      <c r="Y102" s="205">
        <f t="shared" si="23"/>
        <v>989.04000000000019</v>
      </c>
      <c r="Z102" s="205">
        <f t="shared" si="23"/>
        <v>836.16000000000008</v>
      </c>
      <c r="AA102" s="205">
        <f t="shared" si="23"/>
        <v>792.6063157894738</v>
      </c>
      <c r="AC102" t="s">
        <v>124</v>
      </c>
      <c r="AJ102">
        <v>1236.3000000000002</v>
      </c>
      <c r="AK102" s="205">
        <f t="shared" si="24"/>
        <v>0</v>
      </c>
    </row>
    <row r="103" spans="1:37" x14ac:dyDescent="0.35">
      <c r="A103" s="197">
        <v>3302162</v>
      </c>
      <c r="B103" s="197">
        <v>2162</v>
      </c>
      <c r="C103" s="197" t="s">
        <v>303</v>
      </c>
      <c r="D103" s="198" t="s">
        <v>49</v>
      </c>
      <c r="E103" s="198"/>
      <c r="F103" s="197"/>
      <c r="G103" s="199">
        <v>30</v>
      </c>
      <c r="H103" s="199">
        <v>195</v>
      </c>
      <c r="I103" s="199">
        <v>45</v>
      </c>
      <c r="J103" s="199">
        <v>0</v>
      </c>
      <c r="K103" s="199">
        <v>165</v>
      </c>
      <c r="L103" s="199">
        <v>30</v>
      </c>
      <c r="M103" s="200">
        <v>18.94736842105263</v>
      </c>
      <c r="N103" s="200">
        <v>180</v>
      </c>
      <c r="O103" s="200">
        <v>37.89473684210526</v>
      </c>
      <c r="P103" s="201">
        <f t="shared" si="16"/>
        <v>376.59473684210525</v>
      </c>
      <c r="Q103" s="201">
        <f t="shared" si="17"/>
        <v>1983.6</v>
      </c>
      <c r="R103" s="201">
        <f t="shared" si="18"/>
        <v>114.37894736842105</v>
      </c>
      <c r="S103" s="202">
        <f t="shared" si="19"/>
        <v>2474.5736842105262</v>
      </c>
      <c r="T103" s="203"/>
      <c r="U103" s="204">
        <f t="shared" si="20"/>
        <v>1019.8499999999999</v>
      </c>
      <c r="V103" s="204">
        <f t="shared" si="21"/>
        <v>653.25</v>
      </c>
      <c r="W103" s="204">
        <f t="shared" si="22"/>
        <v>801.47368421052624</v>
      </c>
      <c r="Y103" s="205">
        <f t="shared" si="23"/>
        <v>815.88</v>
      </c>
      <c r="Z103" s="205">
        <f t="shared" si="23"/>
        <v>522.6</v>
      </c>
      <c r="AA103" s="205">
        <f t="shared" si="23"/>
        <v>641.17894736842106</v>
      </c>
      <c r="AC103">
        <v>1019.8499999999999</v>
      </c>
      <c r="AD103" s="205">
        <f>AC103-U103</f>
        <v>0</v>
      </c>
      <c r="AJ103">
        <v>1019.8499999999999</v>
      </c>
      <c r="AK103" s="205">
        <f t="shared" si="24"/>
        <v>0</v>
      </c>
    </row>
    <row r="104" spans="1:37" x14ac:dyDescent="0.35">
      <c r="A104" s="197">
        <v>3302169</v>
      </c>
      <c r="B104" s="197">
        <v>2169</v>
      </c>
      <c r="C104" s="197" t="s">
        <v>304</v>
      </c>
      <c r="D104" s="198" t="s">
        <v>27</v>
      </c>
      <c r="E104" s="198"/>
      <c r="F104" s="197"/>
      <c r="G104" s="199">
        <v>210</v>
      </c>
      <c r="H104" s="199">
        <v>105</v>
      </c>
      <c r="I104" s="199">
        <v>90</v>
      </c>
      <c r="J104" s="199">
        <v>180</v>
      </c>
      <c r="K104" s="199">
        <v>150</v>
      </c>
      <c r="L104" s="199">
        <v>45</v>
      </c>
      <c r="M104" s="200">
        <v>170.5263157894737</v>
      </c>
      <c r="N104" s="200">
        <v>108.94736842105263</v>
      </c>
      <c r="O104" s="200">
        <v>75.78947368421052</v>
      </c>
      <c r="P104" s="201">
        <f t="shared" si="16"/>
        <v>4340.9526315789471</v>
      </c>
      <c r="Q104" s="201">
        <f t="shared" si="17"/>
        <v>1340.4868421052629</v>
      </c>
      <c r="R104" s="201">
        <f t="shared" si="18"/>
        <v>213.15789473684211</v>
      </c>
      <c r="S104" s="202">
        <f t="shared" si="19"/>
        <v>5894.5973684210521</v>
      </c>
      <c r="T104" s="203"/>
      <c r="U104" s="204">
        <f t="shared" si="20"/>
        <v>2154.75</v>
      </c>
      <c r="V104" s="204">
        <f t="shared" si="21"/>
        <v>2039.6999999999998</v>
      </c>
      <c r="W104" s="204">
        <f t="shared" si="22"/>
        <v>1700.1473684210523</v>
      </c>
      <c r="Y104" s="205">
        <f t="shared" si="23"/>
        <v>1723.8000000000002</v>
      </c>
      <c r="Z104" s="205">
        <f t="shared" si="23"/>
        <v>1631.76</v>
      </c>
      <c r="AA104" s="205">
        <f t="shared" si="23"/>
        <v>1360.1178947368419</v>
      </c>
      <c r="AC104" t="s">
        <v>130</v>
      </c>
      <c r="AJ104">
        <v>2154.75</v>
      </c>
      <c r="AK104" s="205">
        <f t="shared" si="24"/>
        <v>0</v>
      </c>
    </row>
    <row r="105" spans="1:37" x14ac:dyDescent="0.35">
      <c r="A105" s="197">
        <v>3302170</v>
      </c>
      <c r="B105" s="197">
        <v>2170</v>
      </c>
      <c r="C105" s="197" t="s">
        <v>305</v>
      </c>
      <c r="D105" s="198" t="s">
        <v>49</v>
      </c>
      <c r="E105" s="198"/>
      <c r="F105" s="197"/>
      <c r="G105" s="199">
        <v>420</v>
      </c>
      <c r="H105" s="199">
        <v>135</v>
      </c>
      <c r="I105" s="199">
        <v>255</v>
      </c>
      <c r="J105" s="199">
        <v>300</v>
      </c>
      <c r="K105" s="199">
        <v>135</v>
      </c>
      <c r="L105" s="199">
        <v>135</v>
      </c>
      <c r="M105" s="200">
        <v>322.10526315789474</v>
      </c>
      <c r="N105" s="200">
        <v>127.89473684210526</v>
      </c>
      <c r="O105" s="200">
        <v>198.9473684210526</v>
      </c>
      <c r="P105" s="201">
        <f t="shared" si="16"/>
        <v>8067.4105263157899</v>
      </c>
      <c r="Q105" s="201">
        <f t="shared" si="17"/>
        <v>1462.9736842105262</v>
      </c>
      <c r="R105" s="201">
        <f t="shared" si="18"/>
        <v>596.58947368421059</v>
      </c>
      <c r="S105" s="202">
        <f t="shared" si="19"/>
        <v>10126.973684210527</v>
      </c>
      <c r="T105" s="203"/>
      <c r="U105" s="204">
        <f t="shared" si="20"/>
        <v>4104.75</v>
      </c>
      <c r="V105" s="204">
        <f t="shared" si="21"/>
        <v>3028.35</v>
      </c>
      <c r="W105" s="204">
        <f t="shared" si="22"/>
        <v>2993.8736842105263</v>
      </c>
      <c r="Y105" s="205">
        <f t="shared" si="23"/>
        <v>3283.8</v>
      </c>
      <c r="Z105" s="205">
        <f t="shared" si="23"/>
        <v>2422.6799999999998</v>
      </c>
      <c r="AA105" s="205">
        <f t="shared" si="23"/>
        <v>2395.0989473684212</v>
      </c>
      <c r="AC105">
        <v>4104.75</v>
      </c>
      <c r="AD105" s="205">
        <f t="shared" ref="AD105:AD106" si="30">AC105-U105</f>
        <v>0</v>
      </c>
      <c r="AJ105">
        <v>4104.75</v>
      </c>
      <c r="AK105" s="205">
        <f t="shared" si="24"/>
        <v>0</v>
      </c>
    </row>
    <row r="106" spans="1:37" x14ac:dyDescent="0.35">
      <c r="A106" s="197">
        <v>3302171</v>
      </c>
      <c r="B106" s="197">
        <v>2171</v>
      </c>
      <c r="C106" s="197" t="s">
        <v>306</v>
      </c>
      <c r="D106" s="198" t="s">
        <v>49</v>
      </c>
      <c r="E106" s="198"/>
      <c r="F106" s="197"/>
      <c r="G106" s="199">
        <v>45</v>
      </c>
      <c r="H106" s="199">
        <v>0</v>
      </c>
      <c r="I106" s="199">
        <v>405</v>
      </c>
      <c r="J106" s="199">
        <v>30</v>
      </c>
      <c r="K106" s="199">
        <v>0</v>
      </c>
      <c r="L106" s="199">
        <v>285</v>
      </c>
      <c r="M106" s="200">
        <v>42.631578947368425</v>
      </c>
      <c r="N106" s="200">
        <v>0</v>
      </c>
      <c r="O106" s="200">
        <v>345.78947368421052</v>
      </c>
      <c r="P106" s="201">
        <f t="shared" si="16"/>
        <v>906.81315789473683</v>
      </c>
      <c r="Q106" s="201">
        <f t="shared" si="17"/>
        <v>0</v>
      </c>
      <c r="R106" s="201">
        <f t="shared" si="18"/>
        <v>1049.5578947368422</v>
      </c>
      <c r="S106" s="202">
        <f t="shared" si="19"/>
        <v>1956.371052631579</v>
      </c>
      <c r="T106" s="203"/>
      <c r="U106" s="204">
        <f t="shared" si="20"/>
        <v>778.05</v>
      </c>
      <c r="V106" s="204">
        <f t="shared" si="21"/>
        <v>534.30000000000007</v>
      </c>
      <c r="W106" s="204">
        <f t="shared" si="22"/>
        <v>644.02105263157887</v>
      </c>
      <c r="Y106" s="205">
        <f t="shared" si="23"/>
        <v>622.44000000000005</v>
      </c>
      <c r="Z106" s="205">
        <f t="shared" si="23"/>
        <v>427.44000000000005</v>
      </c>
      <c r="AA106" s="205">
        <f t="shared" si="23"/>
        <v>515.21684210526314</v>
      </c>
      <c r="AC106">
        <v>778.05</v>
      </c>
      <c r="AD106" s="205">
        <f t="shared" si="30"/>
        <v>0</v>
      </c>
      <c r="AJ106">
        <v>778.05</v>
      </c>
      <c r="AK106" s="205">
        <f t="shared" si="24"/>
        <v>0</v>
      </c>
    </row>
    <row r="107" spans="1:37" x14ac:dyDescent="0.35">
      <c r="A107" s="197">
        <v>3302176</v>
      </c>
      <c r="B107" s="197">
        <v>2176</v>
      </c>
      <c r="C107" s="197" t="s">
        <v>307</v>
      </c>
      <c r="D107" s="198" t="s">
        <v>27</v>
      </c>
      <c r="E107" s="198"/>
      <c r="F107" s="197"/>
      <c r="G107" s="199">
        <v>45</v>
      </c>
      <c r="H107" s="199">
        <v>45</v>
      </c>
      <c r="I107" s="199">
        <v>765</v>
      </c>
      <c r="J107" s="199">
        <v>30</v>
      </c>
      <c r="K107" s="199">
        <v>60</v>
      </c>
      <c r="L107" s="199">
        <v>570</v>
      </c>
      <c r="M107" s="200">
        <v>33.157894736842103</v>
      </c>
      <c r="N107" s="200">
        <v>47.368421052631575</v>
      </c>
      <c r="O107" s="200">
        <v>667.8947368421052</v>
      </c>
      <c r="P107" s="201">
        <f t="shared" si="16"/>
        <v>837.46578947368414</v>
      </c>
      <c r="Q107" s="201">
        <f t="shared" si="17"/>
        <v>560.69210526315783</v>
      </c>
      <c r="R107" s="201">
        <f t="shared" si="18"/>
        <v>2029.578947368421</v>
      </c>
      <c r="S107" s="202">
        <f t="shared" si="19"/>
        <v>3427.7368421052629</v>
      </c>
      <c r="T107" s="203"/>
      <c r="U107" s="204">
        <f t="shared" si="20"/>
        <v>1322.1</v>
      </c>
      <c r="V107" s="204">
        <f t="shared" si="21"/>
        <v>1056.9000000000001</v>
      </c>
      <c r="W107" s="204">
        <f t="shared" si="22"/>
        <v>1048.7368421052629</v>
      </c>
      <c r="Y107" s="205">
        <f t="shared" si="23"/>
        <v>1057.68</v>
      </c>
      <c r="Z107" s="205">
        <f t="shared" si="23"/>
        <v>845.5200000000001</v>
      </c>
      <c r="AA107" s="205">
        <f t="shared" si="23"/>
        <v>838.98947368421034</v>
      </c>
      <c r="AC107" t="s">
        <v>136</v>
      </c>
      <c r="AJ107">
        <v>1322.1</v>
      </c>
      <c r="AK107" s="205">
        <f t="shared" si="24"/>
        <v>0</v>
      </c>
    </row>
    <row r="108" spans="1:37" x14ac:dyDescent="0.35">
      <c r="A108" s="197">
        <v>3302178</v>
      </c>
      <c r="B108" s="197">
        <v>2178</v>
      </c>
      <c r="C108" s="197" t="s">
        <v>155</v>
      </c>
      <c r="D108" s="198" t="s">
        <v>27</v>
      </c>
      <c r="E108" s="198"/>
      <c r="F108" s="197"/>
      <c r="G108" s="199">
        <v>35</v>
      </c>
      <c r="H108" s="199">
        <v>0</v>
      </c>
      <c r="I108" s="199">
        <v>207</v>
      </c>
      <c r="J108" s="199">
        <v>0</v>
      </c>
      <c r="K108" s="199">
        <v>15</v>
      </c>
      <c r="L108" s="199">
        <v>135</v>
      </c>
      <c r="M108" s="200">
        <v>22.105263157894736</v>
      </c>
      <c r="N108" s="200">
        <v>4.7368421052631575</v>
      </c>
      <c r="O108" s="200">
        <v>168.63157894736841</v>
      </c>
      <c r="P108" s="201">
        <f t="shared" si="16"/>
        <v>439.3605263157894</v>
      </c>
      <c r="Q108" s="201">
        <f t="shared" si="17"/>
        <v>73.034210526315789</v>
      </c>
      <c r="R108" s="201">
        <f t="shared" si="18"/>
        <v>517.56631578947361</v>
      </c>
      <c r="S108" s="202">
        <f t="shared" si="19"/>
        <v>1029.9610526315787</v>
      </c>
      <c r="T108" s="203"/>
      <c r="U108" s="204">
        <f t="shared" si="20"/>
        <v>492.82999999999993</v>
      </c>
      <c r="V108" s="204">
        <f t="shared" si="21"/>
        <v>196.95</v>
      </c>
      <c r="W108" s="204">
        <f t="shared" si="22"/>
        <v>340.18105263157895</v>
      </c>
      <c r="Y108" s="205">
        <f t="shared" si="23"/>
        <v>394.26399999999995</v>
      </c>
      <c r="Z108" s="205">
        <f t="shared" si="23"/>
        <v>157.56</v>
      </c>
      <c r="AA108" s="205">
        <f t="shared" si="23"/>
        <v>272.14484210526319</v>
      </c>
      <c r="AC108" t="s">
        <v>154</v>
      </c>
      <c r="AJ108">
        <v>492.82999999999993</v>
      </c>
      <c r="AK108" s="205">
        <f t="shared" si="24"/>
        <v>0</v>
      </c>
    </row>
    <row r="109" spans="1:37" x14ac:dyDescent="0.35">
      <c r="A109" s="197">
        <v>3302180</v>
      </c>
      <c r="B109" s="197">
        <v>2180</v>
      </c>
      <c r="C109" s="197" t="s">
        <v>308</v>
      </c>
      <c r="D109" s="198" t="s">
        <v>49</v>
      </c>
      <c r="E109" s="198"/>
      <c r="F109" s="197"/>
      <c r="G109" s="199">
        <v>15</v>
      </c>
      <c r="H109" s="199">
        <v>735</v>
      </c>
      <c r="I109" s="199">
        <v>165</v>
      </c>
      <c r="J109" s="199">
        <v>15</v>
      </c>
      <c r="K109" s="199">
        <v>465</v>
      </c>
      <c r="L109" s="199">
        <v>60</v>
      </c>
      <c r="M109" s="200">
        <v>14.210526315789473</v>
      </c>
      <c r="N109" s="200">
        <v>596.84210526315792</v>
      </c>
      <c r="O109" s="200">
        <v>118.42105263157895</v>
      </c>
      <c r="P109" s="201">
        <f t="shared" si="16"/>
        <v>341.92105263157896</v>
      </c>
      <c r="Q109" s="201">
        <f t="shared" si="17"/>
        <v>6601.0105263157893</v>
      </c>
      <c r="R109" s="201">
        <f t="shared" si="18"/>
        <v>347.68421052631584</v>
      </c>
      <c r="S109" s="202">
        <f t="shared" si="19"/>
        <v>7290.6157894736843</v>
      </c>
      <c r="T109" s="203"/>
      <c r="U109" s="204">
        <f t="shared" si="20"/>
        <v>3061.4999999999995</v>
      </c>
      <c r="V109" s="204">
        <f t="shared" si="21"/>
        <v>1934.4</v>
      </c>
      <c r="W109" s="204">
        <f t="shared" si="22"/>
        <v>2294.7157894736843</v>
      </c>
      <c r="Y109" s="205">
        <f t="shared" si="23"/>
        <v>2449.1999999999998</v>
      </c>
      <c r="Z109" s="205">
        <f t="shared" si="23"/>
        <v>1547.5200000000002</v>
      </c>
      <c r="AA109" s="205">
        <f t="shared" si="23"/>
        <v>1835.7726315789475</v>
      </c>
      <c r="AC109">
        <v>3061.4999999999995</v>
      </c>
      <c r="AD109" s="205">
        <f t="shared" ref="AD109:AD110" si="31">AC109-U109</f>
        <v>0</v>
      </c>
      <c r="AJ109">
        <v>3061.4999999999995</v>
      </c>
      <c r="AK109" s="205">
        <f t="shared" si="24"/>
        <v>0</v>
      </c>
    </row>
    <row r="110" spans="1:37" x14ac:dyDescent="0.35">
      <c r="A110" s="197">
        <v>3302181</v>
      </c>
      <c r="B110" s="197">
        <v>2181</v>
      </c>
      <c r="C110" s="197" t="s">
        <v>309</v>
      </c>
      <c r="D110" s="198" t="s">
        <v>49</v>
      </c>
      <c r="E110" s="198"/>
      <c r="F110" s="197"/>
      <c r="G110" s="199">
        <v>30</v>
      </c>
      <c r="H110" s="199">
        <v>0</v>
      </c>
      <c r="I110" s="199">
        <v>195</v>
      </c>
      <c r="J110" s="199">
        <v>0</v>
      </c>
      <c r="K110" s="199">
        <v>0</v>
      </c>
      <c r="L110" s="199">
        <v>195</v>
      </c>
      <c r="M110" s="200">
        <v>14.210526315789473</v>
      </c>
      <c r="N110" s="200">
        <v>0</v>
      </c>
      <c r="O110" s="200">
        <v>194.21052631578948</v>
      </c>
      <c r="P110" s="201">
        <f t="shared" si="16"/>
        <v>341.92105263157896</v>
      </c>
      <c r="Q110" s="201">
        <f t="shared" si="17"/>
        <v>0</v>
      </c>
      <c r="R110" s="201">
        <f t="shared" si="18"/>
        <v>592.04210526315785</v>
      </c>
      <c r="S110" s="202">
        <f t="shared" si="19"/>
        <v>933.96315789473681</v>
      </c>
      <c r="T110" s="203"/>
      <c r="U110" s="204">
        <f t="shared" si="20"/>
        <v>440.7</v>
      </c>
      <c r="V110" s="204">
        <f t="shared" si="21"/>
        <v>202.79999999999998</v>
      </c>
      <c r="W110" s="204">
        <f t="shared" si="22"/>
        <v>290.46315789473681</v>
      </c>
      <c r="Y110" s="205">
        <f t="shared" si="23"/>
        <v>352.56</v>
      </c>
      <c r="Z110" s="205">
        <f t="shared" si="23"/>
        <v>162.24</v>
      </c>
      <c r="AA110" s="205">
        <f t="shared" si="23"/>
        <v>232.37052631578945</v>
      </c>
      <c r="AC110">
        <v>440.7</v>
      </c>
      <c r="AD110" s="205">
        <f t="shared" si="31"/>
        <v>0</v>
      </c>
      <c r="AJ110">
        <v>440.7</v>
      </c>
      <c r="AK110" s="205">
        <f t="shared" si="24"/>
        <v>0</v>
      </c>
    </row>
    <row r="111" spans="1:37" x14ac:dyDescent="0.35">
      <c r="A111" s="197">
        <v>3302184</v>
      </c>
      <c r="B111" s="197">
        <v>2184</v>
      </c>
      <c r="C111" s="197" t="s">
        <v>383</v>
      </c>
      <c r="D111" s="198" t="s">
        <v>27</v>
      </c>
      <c r="E111" s="198"/>
      <c r="F111" s="197"/>
      <c r="G111" s="199">
        <v>15</v>
      </c>
      <c r="H111" s="199">
        <v>0</v>
      </c>
      <c r="I111" s="199">
        <v>60</v>
      </c>
      <c r="J111" s="199">
        <v>0</v>
      </c>
      <c r="K111" s="199">
        <v>0</v>
      </c>
      <c r="L111" s="199">
        <v>0</v>
      </c>
      <c r="M111" s="200">
        <v>0</v>
      </c>
      <c r="N111" s="200">
        <v>0</v>
      </c>
      <c r="O111" s="200">
        <v>0</v>
      </c>
      <c r="P111" s="201">
        <f t="shared" si="16"/>
        <v>118.95</v>
      </c>
      <c r="Q111" s="201">
        <f t="shared" si="17"/>
        <v>0</v>
      </c>
      <c r="R111" s="201">
        <f t="shared" si="18"/>
        <v>62.4</v>
      </c>
      <c r="S111" s="202">
        <f t="shared" si="19"/>
        <v>181.35</v>
      </c>
      <c r="T111" s="203"/>
      <c r="U111" s="204"/>
      <c r="V111" s="204">
        <f t="shared" si="21"/>
        <v>0</v>
      </c>
      <c r="W111" s="204">
        <f t="shared" si="22"/>
        <v>0</v>
      </c>
      <c r="Y111" s="205"/>
      <c r="Z111" s="205">
        <f t="shared" si="23"/>
        <v>0</v>
      </c>
      <c r="AA111" s="205">
        <f t="shared" si="23"/>
        <v>0</v>
      </c>
      <c r="AC111" t="s">
        <v>534</v>
      </c>
      <c r="AJ111">
        <v>0</v>
      </c>
      <c r="AK111" s="205">
        <f t="shared" si="24"/>
        <v>0</v>
      </c>
    </row>
    <row r="112" spans="1:37" x14ac:dyDescent="0.35">
      <c r="A112" s="197">
        <v>3302185</v>
      </c>
      <c r="B112" s="197">
        <v>2185</v>
      </c>
      <c r="C112" s="197" t="s">
        <v>65</v>
      </c>
      <c r="D112" s="198" t="s">
        <v>27</v>
      </c>
      <c r="E112" s="198"/>
      <c r="F112" s="197"/>
      <c r="G112" s="199">
        <v>0</v>
      </c>
      <c r="H112" s="199">
        <v>15</v>
      </c>
      <c r="I112" s="199">
        <v>30</v>
      </c>
      <c r="J112" s="199">
        <v>0</v>
      </c>
      <c r="K112" s="199">
        <v>15</v>
      </c>
      <c r="L112" s="199">
        <v>15</v>
      </c>
      <c r="M112" s="200">
        <v>0</v>
      </c>
      <c r="N112" s="200">
        <v>14.210526315789473</v>
      </c>
      <c r="O112" s="200">
        <v>23.684210526315788</v>
      </c>
      <c r="P112" s="201">
        <f t="shared" si="16"/>
        <v>0</v>
      </c>
      <c r="Q112" s="201">
        <f t="shared" si="17"/>
        <v>162.55263157894734</v>
      </c>
      <c r="R112" s="201">
        <f t="shared" si="18"/>
        <v>69.536842105263162</v>
      </c>
      <c r="S112" s="202">
        <f t="shared" si="19"/>
        <v>232.0894736842105</v>
      </c>
      <c r="T112" s="203"/>
      <c r="U112" s="204">
        <f t="shared" si="20"/>
        <v>87.75</v>
      </c>
      <c r="V112" s="204">
        <f t="shared" si="21"/>
        <v>72.149999999999991</v>
      </c>
      <c r="W112" s="204">
        <f t="shared" si="22"/>
        <v>72.189473684210526</v>
      </c>
      <c r="Y112" s="205">
        <f t="shared" si="23"/>
        <v>70.2</v>
      </c>
      <c r="Z112" s="205">
        <f t="shared" si="23"/>
        <v>57.72</v>
      </c>
      <c r="AA112" s="205">
        <f t="shared" si="23"/>
        <v>57.751578947368422</v>
      </c>
      <c r="AC112" t="s">
        <v>64</v>
      </c>
      <c r="AJ112">
        <v>87.75</v>
      </c>
      <c r="AK112" s="205">
        <f t="shared" si="24"/>
        <v>0</v>
      </c>
    </row>
    <row r="113" spans="1:37" x14ac:dyDescent="0.35">
      <c r="A113" s="197">
        <v>3302186</v>
      </c>
      <c r="B113" s="197">
        <v>2186</v>
      </c>
      <c r="C113" s="197" t="s">
        <v>310</v>
      </c>
      <c r="D113" s="198" t="s">
        <v>49</v>
      </c>
      <c r="E113" s="198"/>
      <c r="F113" s="197"/>
      <c r="G113" s="199">
        <v>15</v>
      </c>
      <c r="H113" s="199">
        <v>105</v>
      </c>
      <c r="I113" s="199">
        <v>420</v>
      </c>
      <c r="J113" s="199">
        <v>0</v>
      </c>
      <c r="K113" s="199">
        <v>120</v>
      </c>
      <c r="L113" s="199">
        <v>285</v>
      </c>
      <c r="M113" s="200">
        <v>9.473684210526315</v>
      </c>
      <c r="N113" s="200">
        <v>94.73684210526315</v>
      </c>
      <c r="O113" s="200">
        <v>326.84210526315792</v>
      </c>
      <c r="P113" s="201">
        <f t="shared" si="16"/>
        <v>188.29736842105262</v>
      </c>
      <c r="Q113" s="201">
        <f t="shared" si="17"/>
        <v>1177.9342105263158</v>
      </c>
      <c r="R113" s="201">
        <f t="shared" si="18"/>
        <v>1046.9684210526316</v>
      </c>
      <c r="S113" s="202">
        <f t="shared" si="19"/>
        <v>2413.1999999999998</v>
      </c>
      <c r="T113" s="203"/>
      <c r="U113" s="204">
        <f t="shared" si="20"/>
        <v>951.59999999999991</v>
      </c>
      <c r="V113" s="204">
        <f t="shared" si="21"/>
        <v>748.8</v>
      </c>
      <c r="W113" s="204">
        <f t="shared" si="22"/>
        <v>712.8</v>
      </c>
      <c r="Y113" s="205">
        <f t="shared" si="23"/>
        <v>761.28</v>
      </c>
      <c r="Z113" s="205">
        <f t="shared" si="23"/>
        <v>599.04</v>
      </c>
      <c r="AA113" s="205">
        <f t="shared" si="23"/>
        <v>570.24</v>
      </c>
      <c r="AC113">
        <v>951.59999999999991</v>
      </c>
      <c r="AD113" s="205">
        <f t="shared" ref="AD113:AD115" si="32">AC113-U113</f>
        <v>0</v>
      </c>
      <c r="AJ113">
        <v>951.59999999999991</v>
      </c>
      <c r="AK113" s="205">
        <f t="shared" si="24"/>
        <v>0</v>
      </c>
    </row>
    <row r="114" spans="1:37" x14ac:dyDescent="0.35">
      <c r="A114" s="197">
        <v>3302187</v>
      </c>
      <c r="B114" s="197">
        <v>2187</v>
      </c>
      <c r="C114" s="197" t="s">
        <v>311</v>
      </c>
      <c r="D114" s="198" t="s">
        <v>49</v>
      </c>
      <c r="E114" s="198"/>
      <c r="F114" s="197"/>
      <c r="G114" s="199">
        <v>75</v>
      </c>
      <c r="H114" s="199">
        <v>120</v>
      </c>
      <c r="I114" s="199">
        <v>105</v>
      </c>
      <c r="J114" s="199">
        <v>45</v>
      </c>
      <c r="K114" s="199">
        <v>90</v>
      </c>
      <c r="L114" s="199">
        <v>75</v>
      </c>
      <c r="M114" s="200">
        <v>61.578947368421055</v>
      </c>
      <c r="N114" s="200">
        <v>99.473684210526301</v>
      </c>
      <c r="O114" s="200">
        <v>85.26315789473685</v>
      </c>
      <c r="P114" s="201">
        <f t="shared" si="16"/>
        <v>1402.3578947368419</v>
      </c>
      <c r="Q114" s="201">
        <f t="shared" si="17"/>
        <v>1137.8684210526314</v>
      </c>
      <c r="R114" s="201">
        <f t="shared" si="18"/>
        <v>269.0526315789474</v>
      </c>
      <c r="S114" s="202">
        <f t="shared" si="19"/>
        <v>2809.2789473684206</v>
      </c>
      <c r="T114" s="203"/>
      <c r="U114" s="204">
        <f t="shared" si="20"/>
        <v>1156.3500000000001</v>
      </c>
      <c r="V114" s="204">
        <f t="shared" si="21"/>
        <v>774.14999999999986</v>
      </c>
      <c r="W114" s="204">
        <f t="shared" si="22"/>
        <v>878.77894736842097</v>
      </c>
      <c r="Y114" s="205">
        <f t="shared" si="23"/>
        <v>925.08000000000015</v>
      </c>
      <c r="Z114" s="205">
        <f t="shared" si="23"/>
        <v>619.31999999999994</v>
      </c>
      <c r="AA114" s="205">
        <f t="shared" si="23"/>
        <v>703.02315789473687</v>
      </c>
      <c r="AC114">
        <v>1156.3500000000001</v>
      </c>
      <c r="AD114" s="205">
        <f t="shared" si="32"/>
        <v>0</v>
      </c>
      <c r="AJ114">
        <v>1156.3500000000001</v>
      </c>
      <c r="AK114" s="205">
        <f t="shared" si="24"/>
        <v>0</v>
      </c>
    </row>
    <row r="115" spans="1:37" x14ac:dyDescent="0.35">
      <c r="A115" s="197">
        <v>3302188</v>
      </c>
      <c r="B115" s="197">
        <v>2188</v>
      </c>
      <c r="C115" s="197" t="s">
        <v>312</v>
      </c>
      <c r="D115" s="198" t="s">
        <v>49</v>
      </c>
      <c r="E115" s="198"/>
      <c r="F115" s="197"/>
      <c r="G115" s="199">
        <v>15</v>
      </c>
      <c r="H115" s="199">
        <v>0</v>
      </c>
      <c r="I115" s="199">
        <v>0</v>
      </c>
      <c r="J115" s="199">
        <v>0</v>
      </c>
      <c r="K115" s="199">
        <v>0</v>
      </c>
      <c r="L115" s="199">
        <v>30</v>
      </c>
      <c r="M115" s="200">
        <v>9.473684210526315</v>
      </c>
      <c r="N115" s="200">
        <v>0</v>
      </c>
      <c r="O115" s="200">
        <v>9.473684210526315</v>
      </c>
      <c r="P115" s="201">
        <f t="shared" si="16"/>
        <v>188.29736842105262</v>
      </c>
      <c r="Q115" s="201">
        <f t="shared" si="17"/>
        <v>0</v>
      </c>
      <c r="R115" s="201">
        <f t="shared" si="18"/>
        <v>40.294736842105266</v>
      </c>
      <c r="S115" s="202">
        <f t="shared" si="19"/>
        <v>228.59210526315789</v>
      </c>
      <c r="T115" s="203"/>
      <c r="U115" s="204">
        <f t="shared" si="20"/>
        <v>118.95</v>
      </c>
      <c r="V115" s="204">
        <f t="shared" si="21"/>
        <v>31.2</v>
      </c>
      <c r="W115" s="204">
        <f t="shared" si="22"/>
        <v>78.442105263157899</v>
      </c>
      <c r="Y115" s="205">
        <f t="shared" si="23"/>
        <v>95.160000000000011</v>
      </c>
      <c r="Z115" s="205">
        <f t="shared" si="23"/>
        <v>24.96</v>
      </c>
      <c r="AA115" s="205">
        <f t="shared" si="23"/>
        <v>62.753684210526323</v>
      </c>
      <c r="AC115">
        <v>118.95</v>
      </c>
      <c r="AD115" s="205">
        <f t="shared" si="32"/>
        <v>0</v>
      </c>
      <c r="AJ115">
        <v>118.95</v>
      </c>
      <c r="AK115" s="205">
        <f t="shared" si="24"/>
        <v>0</v>
      </c>
    </row>
    <row r="116" spans="1:37" x14ac:dyDescent="0.35">
      <c r="A116" s="197">
        <v>3302189</v>
      </c>
      <c r="B116" s="197">
        <v>2189</v>
      </c>
      <c r="C116" s="197" t="s">
        <v>183</v>
      </c>
      <c r="D116" s="198" t="s">
        <v>246</v>
      </c>
      <c r="E116" s="198"/>
      <c r="F116" s="197"/>
      <c r="G116" s="199">
        <v>105</v>
      </c>
      <c r="H116" s="199">
        <v>135</v>
      </c>
      <c r="I116" s="199">
        <v>45</v>
      </c>
      <c r="J116" s="199">
        <v>135</v>
      </c>
      <c r="K116" s="199">
        <v>105</v>
      </c>
      <c r="L116" s="199">
        <v>45</v>
      </c>
      <c r="M116" s="200">
        <v>113.68421052631578</v>
      </c>
      <c r="N116" s="200">
        <v>104.21052631578948</v>
      </c>
      <c r="O116" s="200">
        <v>42.631578947368425</v>
      </c>
      <c r="P116" s="201">
        <f t="shared" si="16"/>
        <v>2735.3684210526312</v>
      </c>
      <c r="Q116" s="201">
        <f t="shared" si="17"/>
        <v>1267.4526315789474</v>
      </c>
      <c r="R116" s="201">
        <f t="shared" si="18"/>
        <v>134.5263157894737</v>
      </c>
      <c r="S116" s="202">
        <f t="shared" si="19"/>
        <v>4137.3473684210521</v>
      </c>
      <c r="T116" s="203"/>
      <c r="U116" s="204">
        <f t="shared" si="20"/>
        <v>1388.3999999999999</v>
      </c>
      <c r="V116" s="204">
        <f t="shared" si="21"/>
        <v>1513.1999999999998</v>
      </c>
      <c r="W116" s="204">
        <f t="shared" si="22"/>
        <v>1235.7473684210524</v>
      </c>
      <c r="Y116" s="205">
        <f t="shared" si="23"/>
        <v>1110.72</v>
      </c>
      <c r="Z116" s="205">
        <f t="shared" si="23"/>
        <v>1210.56</v>
      </c>
      <c r="AA116" s="205">
        <f t="shared" si="23"/>
        <v>988.59789473684202</v>
      </c>
      <c r="AC116" t="s">
        <v>182</v>
      </c>
      <c r="AJ116">
        <v>1388.3999999999999</v>
      </c>
      <c r="AK116" s="205">
        <f t="shared" si="24"/>
        <v>0</v>
      </c>
    </row>
    <row r="117" spans="1:37" x14ac:dyDescent="0.35">
      <c r="A117" s="197">
        <v>3302191</v>
      </c>
      <c r="B117" s="197">
        <v>2191</v>
      </c>
      <c r="C117" s="197" t="s">
        <v>313</v>
      </c>
      <c r="D117" s="198" t="s">
        <v>49</v>
      </c>
      <c r="E117" s="198"/>
      <c r="F117" s="197"/>
      <c r="G117" s="199">
        <v>135</v>
      </c>
      <c r="H117" s="199">
        <v>0</v>
      </c>
      <c r="I117" s="199">
        <v>255</v>
      </c>
      <c r="J117" s="199">
        <v>105</v>
      </c>
      <c r="K117" s="199">
        <v>0</v>
      </c>
      <c r="L117" s="199">
        <v>165</v>
      </c>
      <c r="M117" s="200">
        <v>118.42105263157895</v>
      </c>
      <c r="N117" s="200">
        <v>0</v>
      </c>
      <c r="O117" s="200">
        <v>203.68421052631578</v>
      </c>
      <c r="P117" s="201">
        <f t="shared" si="16"/>
        <v>2770.0421052631577</v>
      </c>
      <c r="Q117" s="201">
        <f t="shared" si="17"/>
        <v>0</v>
      </c>
      <c r="R117" s="201">
        <f t="shared" si="18"/>
        <v>632.33684210526326</v>
      </c>
      <c r="S117" s="202">
        <f t="shared" si="19"/>
        <v>3402.378947368421</v>
      </c>
      <c r="T117" s="203"/>
      <c r="U117" s="204">
        <f t="shared" si="20"/>
        <v>1335.75</v>
      </c>
      <c r="V117" s="204">
        <f t="shared" si="21"/>
        <v>1004.25</v>
      </c>
      <c r="W117" s="204">
        <f t="shared" si="22"/>
        <v>1062.378947368421</v>
      </c>
      <c r="Y117" s="205">
        <f t="shared" si="23"/>
        <v>1068.6000000000001</v>
      </c>
      <c r="Z117" s="205">
        <f t="shared" si="23"/>
        <v>803.40000000000009</v>
      </c>
      <c r="AA117" s="205">
        <f t="shared" si="23"/>
        <v>849.90315789473686</v>
      </c>
      <c r="AC117">
        <v>1335.75</v>
      </c>
      <c r="AD117" s="205">
        <f t="shared" ref="AD117:AD123" si="33">AC117-U117</f>
        <v>0</v>
      </c>
      <c r="AJ117">
        <v>1335.75</v>
      </c>
      <c r="AK117" s="205">
        <f t="shared" si="24"/>
        <v>0</v>
      </c>
    </row>
    <row r="118" spans="1:37" x14ac:dyDescent="0.35">
      <c r="A118" s="197">
        <v>3302194</v>
      </c>
      <c r="B118" s="197">
        <v>2194</v>
      </c>
      <c r="C118" s="197" t="s">
        <v>314</v>
      </c>
      <c r="D118" s="198" t="s">
        <v>49</v>
      </c>
      <c r="E118" s="198"/>
      <c r="F118" s="197"/>
      <c r="G118" s="199">
        <v>0</v>
      </c>
      <c r="H118" s="199">
        <v>30</v>
      </c>
      <c r="I118" s="199">
        <v>360</v>
      </c>
      <c r="J118" s="199">
        <v>15</v>
      </c>
      <c r="K118" s="199">
        <v>0</v>
      </c>
      <c r="L118" s="199">
        <v>165</v>
      </c>
      <c r="M118" s="200">
        <v>4.7368421052631575</v>
      </c>
      <c r="N118" s="200">
        <v>9.473684210526315</v>
      </c>
      <c r="O118" s="200">
        <v>260.52631578947364</v>
      </c>
      <c r="P118" s="201">
        <f t="shared" si="16"/>
        <v>153.62368421052633</v>
      </c>
      <c r="Q118" s="201">
        <f t="shared" si="17"/>
        <v>146.06842105263158</v>
      </c>
      <c r="R118" s="201">
        <f t="shared" si="18"/>
        <v>796.10526315789468</v>
      </c>
      <c r="S118" s="202">
        <f t="shared" si="19"/>
        <v>1095.7973684210526</v>
      </c>
      <c r="T118" s="203"/>
      <c r="U118" s="204">
        <f t="shared" si="20"/>
        <v>487.5</v>
      </c>
      <c r="V118" s="204">
        <f t="shared" si="21"/>
        <v>290.55</v>
      </c>
      <c r="W118" s="204">
        <f t="shared" si="22"/>
        <v>317.74736842105256</v>
      </c>
      <c r="Y118" s="205">
        <f t="shared" si="23"/>
        <v>390</v>
      </c>
      <c r="Z118" s="205">
        <f t="shared" si="23"/>
        <v>232.44000000000003</v>
      </c>
      <c r="AA118" s="205">
        <f t="shared" si="23"/>
        <v>254.19789473684204</v>
      </c>
      <c r="AC118">
        <v>487.5</v>
      </c>
      <c r="AD118" s="205">
        <f t="shared" si="33"/>
        <v>0</v>
      </c>
      <c r="AJ118">
        <v>487.5</v>
      </c>
      <c r="AK118" s="205">
        <f t="shared" si="24"/>
        <v>0</v>
      </c>
    </row>
    <row r="119" spans="1:37" x14ac:dyDescent="0.35">
      <c r="A119" s="197">
        <v>3302195</v>
      </c>
      <c r="B119" s="197">
        <v>2195</v>
      </c>
      <c r="C119" s="197" t="s">
        <v>315</v>
      </c>
      <c r="D119" s="198" t="s">
        <v>49</v>
      </c>
      <c r="E119" s="198"/>
      <c r="F119" s="197"/>
      <c r="G119" s="199">
        <v>414</v>
      </c>
      <c r="H119" s="199">
        <v>237</v>
      </c>
      <c r="I119" s="199">
        <v>180</v>
      </c>
      <c r="J119" s="199">
        <v>270</v>
      </c>
      <c r="K119" s="199">
        <v>150</v>
      </c>
      <c r="L119" s="199">
        <v>114</v>
      </c>
      <c r="M119" s="200">
        <v>310.73684210526318</v>
      </c>
      <c r="N119" s="200">
        <v>178.10526315789474</v>
      </c>
      <c r="O119" s="200">
        <v>144.94736842105263</v>
      </c>
      <c r="P119" s="201">
        <f t="shared" si="16"/>
        <v>7698.7136842105265</v>
      </c>
      <c r="Q119" s="201">
        <f t="shared" si="17"/>
        <v>2078.7963157894733</v>
      </c>
      <c r="R119" s="201">
        <f t="shared" si="18"/>
        <v>444.90947368421058</v>
      </c>
      <c r="S119" s="202">
        <f t="shared" si="19"/>
        <v>10222.419473684211</v>
      </c>
      <c r="T119" s="203"/>
      <c r="U119" s="204">
        <f t="shared" si="20"/>
        <v>4363.71</v>
      </c>
      <c r="V119" s="204">
        <f t="shared" si="21"/>
        <v>2825.16</v>
      </c>
      <c r="W119" s="204">
        <f t="shared" si="22"/>
        <v>3033.5494736842106</v>
      </c>
      <c r="Y119" s="205">
        <f t="shared" si="23"/>
        <v>3490.9680000000003</v>
      </c>
      <c r="Z119" s="205">
        <f t="shared" si="23"/>
        <v>2260.1280000000002</v>
      </c>
      <c r="AA119" s="205">
        <f t="shared" si="23"/>
        <v>2426.8395789473684</v>
      </c>
      <c r="AC119">
        <v>4363.71</v>
      </c>
      <c r="AD119" s="205">
        <f t="shared" si="33"/>
        <v>0</v>
      </c>
      <c r="AJ119">
        <v>4363.71</v>
      </c>
      <c r="AK119" s="205">
        <f t="shared" si="24"/>
        <v>0</v>
      </c>
    </row>
    <row r="120" spans="1:37" x14ac:dyDescent="0.35">
      <c r="A120" s="197">
        <v>3302196</v>
      </c>
      <c r="B120" s="197">
        <v>2196</v>
      </c>
      <c r="C120" s="197" t="s">
        <v>316</v>
      </c>
      <c r="D120" s="198" t="s">
        <v>49</v>
      </c>
      <c r="E120" s="198"/>
      <c r="F120" s="197"/>
      <c r="G120" s="199">
        <v>120</v>
      </c>
      <c r="H120" s="199">
        <v>135</v>
      </c>
      <c r="I120" s="199">
        <v>45</v>
      </c>
      <c r="J120" s="199">
        <v>45</v>
      </c>
      <c r="K120" s="199">
        <v>120</v>
      </c>
      <c r="L120" s="199">
        <v>60</v>
      </c>
      <c r="M120" s="200">
        <v>75.78947368421052</v>
      </c>
      <c r="N120" s="200">
        <v>127.89473684210526</v>
      </c>
      <c r="O120" s="200">
        <v>47.368421052631575</v>
      </c>
      <c r="P120" s="201">
        <f t="shared" si="16"/>
        <v>1863.2289473684211</v>
      </c>
      <c r="Q120" s="201">
        <f t="shared" si="17"/>
        <v>1406.4236842105261</v>
      </c>
      <c r="R120" s="201">
        <f t="shared" si="18"/>
        <v>154.67368421052632</v>
      </c>
      <c r="S120" s="202">
        <f t="shared" si="19"/>
        <v>3424.3263157894735</v>
      </c>
      <c r="T120" s="203"/>
      <c r="U120" s="204">
        <f t="shared" si="20"/>
        <v>1507.35</v>
      </c>
      <c r="V120" s="204">
        <f t="shared" si="21"/>
        <v>871.65</v>
      </c>
      <c r="W120" s="204">
        <f t="shared" si="22"/>
        <v>1045.3263157894737</v>
      </c>
      <c r="Y120" s="205">
        <f t="shared" si="23"/>
        <v>1205.8799999999999</v>
      </c>
      <c r="Z120" s="205">
        <f t="shared" si="23"/>
        <v>697.32</v>
      </c>
      <c r="AA120" s="205">
        <f t="shared" si="23"/>
        <v>836.26105263157899</v>
      </c>
      <c r="AC120">
        <v>1507.35</v>
      </c>
      <c r="AD120" s="205">
        <f t="shared" si="33"/>
        <v>0</v>
      </c>
      <c r="AJ120">
        <v>1507.35</v>
      </c>
      <c r="AK120" s="205">
        <f t="shared" si="24"/>
        <v>0</v>
      </c>
    </row>
    <row r="121" spans="1:37" x14ac:dyDescent="0.35">
      <c r="A121" s="197">
        <v>3302204</v>
      </c>
      <c r="B121" s="197">
        <v>2204</v>
      </c>
      <c r="C121" s="197" t="s">
        <v>317</v>
      </c>
      <c r="D121" s="198" t="s">
        <v>49</v>
      </c>
      <c r="E121" s="198"/>
      <c r="F121" s="197"/>
      <c r="G121" s="199">
        <v>150</v>
      </c>
      <c r="H121" s="199">
        <v>15</v>
      </c>
      <c r="I121" s="199">
        <v>30</v>
      </c>
      <c r="J121" s="199">
        <v>75</v>
      </c>
      <c r="K121" s="199">
        <v>15</v>
      </c>
      <c r="L121" s="199">
        <v>0</v>
      </c>
      <c r="M121" s="200">
        <v>108.94736842105263</v>
      </c>
      <c r="N121" s="200">
        <v>14.210526315789473</v>
      </c>
      <c r="O121" s="200">
        <v>14.210526315789473</v>
      </c>
      <c r="P121" s="201">
        <f t="shared" si="16"/>
        <v>2581.7447368421053</v>
      </c>
      <c r="Q121" s="201">
        <f t="shared" si="17"/>
        <v>162.55263157894734</v>
      </c>
      <c r="R121" s="201">
        <f t="shared" si="18"/>
        <v>44.84210526315789</v>
      </c>
      <c r="S121" s="202">
        <f t="shared" si="19"/>
        <v>2789.1394736842108</v>
      </c>
      <c r="T121" s="203"/>
      <c r="U121" s="204">
        <f t="shared" si="20"/>
        <v>1277.25</v>
      </c>
      <c r="V121" s="204">
        <f t="shared" si="21"/>
        <v>651.29999999999995</v>
      </c>
      <c r="W121" s="204">
        <f t="shared" si="22"/>
        <v>860.58947368421059</v>
      </c>
      <c r="Y121" s="205">
        <f t="shared" si="23"/>
        <v>1021.8000000000001</v>
      </c>
      <c r="Z121" s="205">
        <f t="shared" si="23"/>
        <v>521.04</v>
      </c>
      <c r="AA121" s="205">
        <f t="shared" si="23"/>
        <v>688.47157894736847</v>
      </c>
      <c r="AC121">
        <v>1277.25</v>
      </c>
      <c r="AD121" s="205">
        <f t="shared" si="33"/>
        <v>0</v>
      </c>
      <c r="AJ121">
        <v>1277.25</v>
      </c>
      <c r="AK121" s="205">
        <f t="shared" si="24"/>
        <v>0</v>
      </c>
    </row>
    <row r="122" spans="1:37" x14ac:dyDescent="0.35">
      <c r="A122" s="197">
        <v>3302211</v>
      </c>
      <c r="B122" s="197">
        <v>2211</v>
      </c>
      <c r="C122" s="197" t="s">
        <v>318</v>
      </c>
      <c r="D122" s="198" t="s">
        <v>49</v>
      </c>
      <c r="E122" s="198"/>
      <c r="F122" s="197"/>
      <c r="G122" s="199">
        <v>30</v>
      </c>
      <c r="H122" s="199">
        <v>435</v>
      </c>
      <c r="I122" s="199">
        <v>75</v>
      </c>
      <c r="J122" s="199">
        <v>0</v>
      </c>
      <c r="K122" s="199">
        <v>270</v>
      </c>
      <c r="L122" s="199">
        <v>90</v>
      </c>
      <c r="M122" s="200">
        <v>18.94736842105263</v>
      </c>
      <c r="N122" s="200">
        <v>341.0526315789474</v>
      </c>
      <c r="O122" s="200">
        <v>71.05263157894737</v>
      </c>
      <c r="P122" s="201">
        <f t="shared" si="16"/>
        <v>376.59473684210525</v>
      </c>
      <c r="Q122" s="201">
        <f t="shared" si="17"/>
        <v>3844.7131578947365</v>
      </c>
      <c r="R122" s="201">
        <f t="shared" si="18"/>
        <v>239.8105263157895</v>
      </c>
      <c r="S122" s="202">
        <f t="shared" si="19"/>
        <v>4461.1184210526317</v>
      </c>
      <c r="T122" s="203"/>
      <c r="U122" s="204">
        <f t="shared" si="20"/>
        <v>1955.85</v>
      </c>
      <c r="V122" s="204">
        <f t="shared" si="21"/>
        <v>1111.5</v>
      </c>
      <c r="W122" s="204">
        <f t="shared" si="22"/>
        <v>1393.7684210526318</v>
      </c>
      <c r="Y122" s="205">
        <f t="shared" si="23"/>
        <v>1564.68</v>
      </c>
      <c r="Z122" s="205">
        <f t="shared" si="23"/>
        <v>889.2</v>
      </c>
      <c r="AA122" s="205">
        <f t="shared" si="23"/>
        <v>1115.0147368421055</v>
      </c>
      <c r="AC122">
        <v>1955.85</v>
      </c>
      <c r="AD122" s="205">
        <f t="shared" si="33"/>
        <v>0</v>
      </c>
      <c r="AJ122">
        <v>1955.85</v>
      </c>
      <c r="AK122" s="205">
        <f t="shared" si="24"/>
        <v>0</v>
      </c>
    </row>
    <row r="123" spans="1:37" x14ac:dyDescent="0.35">
      <c r="A123" s="197">
        <v>3302214</v>
      </c>
      <c r="B123" s="197">
        <v>2214</v>
      </c>
      <c r="C123" s="206" t="s">
        <v>535</v>
      </c>
      <c r="D123" s="198" t="s">
        <v>49</v>
      </c>
      <c r="E123" s="198"/>
      <c r="F123" s="197"/>
      <c r="G123" s="199">
        <v>225</v>
      </c>
      <c r="H123" s="199">
        <v>30</v>
      </c>
      <c r="I123" s="199">
        <v>60</v>
      </c>
      <c r="J123" s="199">
        <v>135</v>
      </c>
      <c r="K123" s="199">
        <v>45</v>
      </c>
      <c r="L123" s="199">
        <v>15</v>
      </c>
      <c r="M123" s="200">
        <v>165.78947368421052</v>
      </c>
      <c r="N123" s="200">
        <v>28.421052631578945</v>
      </c>
      <c r="O123" s="200">
        <v>42.631578947368425</v>
      </c>
      <c r="P123" s="201">
        <f t="shared" si="16"/>
        <v>4068.378947368421</v>
      </c>
      <c r="Q123" s="201">
        <f t="shared" si="17"/>
        <v>381.65526315789475</v>
      </c>
      <c r="R123" s="201">
        <f t="shared" si="18"/>
        <v>118.92631578947369</v>
      </c>
      <c r="S123" s="202">
        <f t="shared" si="19"/>
        <v>4568.9605263157891</v>
      </c>
      <c r="T123" s="203"/>
      <c r="U123" s="204">
        <f t="shared" si="20"/>
        <v>1959.75</v>
      </c>
      <c r="V123" s="204">
        <f t="shared" si="21"/>
        <v>1255.7999999999997</v>
      </c>
      <c r="W123" s="204">
        <f t="shared" si="22"/>
        <v>1353.4105263157892</v>
      </c>
      <c r="Y123" s="205">
        <f t="shared" si="23"/>
        <v>1567.8000000000002</v>
      </c>
      <c r="Z123" s="205">
        <f t="shared" si="23"/>
        <v>1004.6399999999999</v>
      </c>
      <c r="AA123" s="205">
        <f t="shared" si="23"/>
        <v>1082.7284210526313</v>
      </c>
      <c r="AC123">
        <v>1959.75</v>
      </c>
      <c r="AD123" s="205">
        <f t="shared" si="33"/>
        <v>0</v>
      </c>
      <c r="AJ123">
        <v>1959.75</v>
      </c>
      <c r="AK123" s="205">
        <f t="shared" si="24"/>
        <v>0</v>
      </c>
    </row>
    <row r="124" spans="1:37" x14ac:dyDescent="0.35">
      <c r="A124" s="197">
        <v>3302227</v>
      </c>
      <c r="B124" s="197">
        <v>2227</v>
      </c>
      <c r="C124" s="197" t="s">
        <v>319</v>
      </c>
      <c r="D124" s="198" t="s">
        <v>27</v>
      </c>
      <c r="E124" s="198"/>
      <c r="F124" s="197"/>
      <c r="G124" s="199">
        <v>195</v>
      </c>
      <c r="H124" s="199">
        <v>315</v>
      </c>
      <c r="I124" s="199">
        <v>105</v>
      </c>
      <c r="J124" s="199">
        <v>75</v>
      </c>
      <c r="K124" s="199">
        <v>120</v>
      </c>
      <c r="L124" s="199">
        <v>60</v>
      </c>
      <c r="M124" s="200">
        <v>156.31578947368422</v>
      </c>
      <c r="N124" s="200">
        <v>227.36842105263156</v>
      </c>
      <c r="O124" s="200">
        <v>85.26315789473685</v>
      </c>
      <c r="P124" s="201">
        <f t="shared" si="16"/>
        <v>3285.3315789473691</v>
      </c>
      <c r="Q124" s="201">
        <f t="shared" si="17"/>
        <v>2431.1921052631578</v>
      </c>
      <c r="R124" s="201">
        <f t="shared" si="18"/>
        <v>253.45263157894738</v>
      </c>
      <c r="S124" s="202">
        <f t="shared" si="19"/>
        <v>5969.976315789474</v>
      </c>
      <c r="T124" s="203"/>
      <c r="U124" s="204">
        <f t="shared" si="20"/>
        <v>2843.1</v>
      </c>
      <c r="V124" s="204">
        <f t="shared" si="21"/>
        <v>1109.5500000000002</v>
      </c>
      <c r="W124" s="204">
        <f t="shared" si="22"/>
        <v>2017.3263157894737</v>
      </c>
      <c r="Y124" s="205">
        <f t="shared" si="23"/>
        <v>2274.48</v>
      </c>
      <c r="Z124" s="205">
        <f t="shared" si="23"/>
        <v>887.64000000000021</v>
      </c>
      <c r="AA124" s="205">
        <f t="shared" si="23"/>
        <v>1613.861052631579</v>
      </c>
      <c r="AC124" t="s">
        <v>176</v>
      </c>
      <c r="AJ124">
        <v>2843.1</v>
      </c>
      <c r="AK124" s="205">
        <f t="shared" si="24"/>
        <v>0</v>
      </c>
    </row>
    <row r="125" spans="1:37" x14ac:dyDescent="0.35">
      <c r="A125" s="197">
        <v>3302231</v>
      </c>
      <c r="B125" s="197">
        <v>2231</v>
      </c>
      <c r="C125" s="197" t="s">
        <v>320</v>
      </c>
      <c r="D125" s="198" t="s">
        <v>27</v>
      </c>
      <c r="E125" s="198"/>
      <c r="F125" s="197"/>
      <c r="G125" s="199">
        <v>15</v>
      </c>
      <c r="H125" s="199">
        <v>15</v>
      </c>
      <c r="I125" s="199">
        <v>330</v>
      </c>
      <c r="J125" s="199">
        <v>0</v>
      </c>
      <c r="K125" s="199">
        <v>0</v>
      </c>
      <c r="L125" s="199">
        <v>195</v>
      </c>
      <c r="M125" s="200">
        <v>9.473684210526315</v>
      </c>
      <c r="N125" s="200">
        <v>4.7368421052631575</v>
      </c>
      <c r="O125" s="200">
        <v>260.52631578947364</v>
      </c>
      <c r="P125" s="201">
        <f t="shared" si="16"/>
        <v>188.29736842105262</v>
      </c>
      <c r="Q125" s="201">
        <f t="shared" si="17"/>
        <v>73.034210526315789</v>
      </c>
      <c r="R125" s="201">
        <f t="shared" si="18"/>
        <v>796.10526315789468</v>
      </c>
      <c r="S125" s="202">
        <f t="shared" si="19"/>
        <v>1057.4368421052632</v>
      </c>
      <c r="T125" s="203"/>
      <c r="U125" s="204">
        <f t="shared" si="20"/>
        <v>518.70000000000005</v>
      </c>
      <c r="V125" s="204">
        <f t="shared" si="21"/>
        <v>202.79999999999998</v>
      </c>
      <c r="W125" s="204">
        <f t="shared" si="22"/>
        <v>335.93684210526311</v>
      </c>
      <c r="Y125" s="205">
        <f t="shared" si="23"/>
        <v>414.96000000000004</v>
      </c>
      <c r="Z125" s="205">
        <f t="shared" si="23"/>
        <v>162.24</v>
      </c>
      <c r="AA125" s="205">
        <f t="shared" si="23"/>
        <v>268.7494736842105</v>
      </c>
      <c r="AC125" t="s">
        <v>178</v>
      </c>
      <c r="AJ125">
        <v>518.70000000000005</v>
      </c>
      <c r="AK125" s="205">
        <f t="shared" si="24"/>
        <v>0</v>
      </c>
    </row>
    <row r="126" spans="1:37" x14ac:dyDescent="0.35">
      <c r="A126" s="197">
        <v>3302238</v>
      </c>
      <c r="B126" s="197">
        <v>2223</v>
      </c>
      <c r="C126" s="197" t="s">
        <v>321</v>
      </c>
      <c r="D126" s="198" t="s">
        <v>27</v>
      </c>
      <c r="E126" s="198"/>
      <c r="F126" s="197"/>
      <c r="G126" s="199">
        <v>105</v>
      </c>
      <c r="H126" s="199">
        <v>75</v>
      </c>
      <c r="I126" s="199">
        <v>120</v>
      </c>
      <c r="J126" s="199">
        <v>90</v>
      </c>
      <c r="K126" s="199">
        <v>30</v>
      </c>
      <c r="L126" s="199">
        <v>15</v>
      </c>
      <c r="M126" s="200">
        <v>90</v>
      </c>
      <c r="N126" s="200">
        <v>52.10526315789474</v>
      </c>
      <c r="O126" s="200">
        <v>80.526315789473685</v>
      </c>
      <c r="P126" s="201">
        <f t="shared" si="16"/>
        <v>2205.1499999999996</v>
      </c>
      <c r="Q126" s="201">
        <f t="shared" si="17"/>
        <v>577.17631578947373</v>
      </c>
      <c r="R126" s="201">
        <f t="shared" si="18"/>
        <v>217.70526315789476</v>
      </c>
      <c r="S126" s="202">
        <f t="shared" si="19"/>
        <v>3000.031578947368</v>
      </c>
      <c r="T126" s="203"/>
      <c r="U126" s="204">
        <f t="shared" si="20"/>
        <v>1240.2</v>
      </c>
      <c r="V126" s="204">
        <f t="shared" si="21"/>
        <v>842.4</v>
      </c>
      <c r="W126" s="204">
        <f t="shared" si="22"/>
        <v>917.43157894736839</v>
      </c>
      <c r="Y126" s="205">
        <f t="shared" si="23"/>
        <v>992.16000000000008</v>
      </c>
      <c r="Z126" s="205">
        <f t="shared" si="23"/>
        <v>673.92000000000007</v>
      </c>
      <c r="AA126" s="205">
        <f t="shared" si="23"/>
        <v>733.94526315789471</v>
      </c>
      <c r="AC126" t="s">
        <v>47</v>
      </c>
      <c r="AJ126">
        <v>0</v>
      </c>
      <c r="AK126" s="205">
        <f t="shared" si="24"/>
        <v>1240.2</v>
      </c>
    </row>
    <row r="127" spans="1:37" x14ac:dyDescent="0.35">
      <c r="A127" s="197">
        <v>3302239</v>
      </c>
      <c r="B127" s="197">
        <v>2239</v>
      </c>
      <c r="C127" s="197" t="s">
        <v>322</v>
      </c>
      <c r="D127" s="198" t="s">
        <v>27</v>
      </c>
      <c r="E127" s="198"/>
      <c r="F127" s="197"/>
      <c r="G127" s="199">
        <v>270</v>
      </c>
      <c r="H127" s="199">
        <v>45</v>
      </c>
      <c r="I127" s="199">
        <v>30</v>
      </c>
      <c r="J127" s="199">
        <v>255</v>
      </c>
      <c r="K127" s="199">
        <v>75</v>
      </c>
      <c r="L127" s="199">
        <v>75</v>
      </c>
      <c r="M127" s="200">
        <v>246.31578947368422</v>
      </c>
      <c r="N127" s="200">
        <v>52.10526315789474</v>
      </c>
      <c r="O127" s="200">
        <v>42.631578947368425</v>
      </c>
      <c r="P127" s="201">
        <f t="shared" si="16"/>
        <v>5966.281578947368</v>
      </c>
      <c r="Q127" s="201">
        <f t="shared" si="17"/>
        <v>633.72631578947369</v>
      </c>
      <c r="R127" s="201">
        <f t="shared" si="18"/>
        <v>150.12631578947369</v>
      </c>
      <c r="S127" s="202">
        <f t="shared" si="19"/>
        <v>6750.1342105263157</v>
      </c>
      <c r="T127" s="203"/>
      <c r="U127" s="204">
        <f t="shared" si="20"/>
        <v>2341.9499999999998</v>
      </c>
      <c r="V127" s="204">
        <f t="shared" si="21"/>
        <v>2382.8999999999996</v>
      </c>
      <c r="W127" s="204">
        <f t="shared" si="22"/>
        <v>2025.2842105263157</v>
      </c>
      <c r="Y127" s="205">
        <f t="shared" si="23"/>
        <v>1873.56</v>
      </c>
      <c r="Z127" s="205">
        <f t="shared" si="23"/>
        <v>1906.3199999999997</v>
      </c>
      <c r="AA127" s="205">
        <f t="shared" si="23"/>
        <v>1620.2273684210527</v>
      </c>
      <c r="AC127" t="s">
        <v>37</v>
      </c>
      <c r="AJ127">
        <v>2341.9499999999998</v>
      </c>
      <c r="AK127" s="205">
        <f t="shared" si="24"/>
        <v>0</v>
      </c>
    </row>
    <row r="128" spans="1:37" x14ac:dyDescent="0.35">
      <c r="A128" s="197">
        <v>3302245</v>
      </c>
      <c r="B128" s="197">
        <v>2245</v>
      </c>
      <c r="C128" s="197" t="s">
        <v>323</v>
      </c>
      <c r="D128" s="198" t="s">
        <v>27</v>
      </c>
      <c r="E128" s="198"/>
      <c r="F128" s="197"/>
      <c r="G128" s="199">
        <v>345</v>
      </c>
      <c r="H128" s="199">
        <v>0</v>
      </c>
      <c r="I128" s="199">
        <v>15</v>
      </c>
      <c r="J128" s="199">
        <v>150</v>
      </c>
      <c r="K128" s="199">
        <v>15</v>
      </c>
      <c r="L128" s="199">
        <v>15</v>
      </c>
      <c r="M128" s="200">
        <v>265.26315789473682</v>
      </c>
      <c r="N128" s="200">
        <v>4.7368421052631575</v>
      </c>
      <c r="O128" s="200">
        <v>14.210526315789473</v>
      </c>
      <c r="P128" s="201">
        <f t="shared" si="16"/>
        <v>5867.0763157894735</v>
      </c>
      <c r="Q128" s="201">
        <f t="shared" si="17"/>
        <v>73.034210526315789</v>
      </c>
      <c r="R128" s="201">
        <f t="shared" si="18"/>
        <v>44.84210526315789</v>
      </c>
      <c r="S128" s="202">
        <f t="shared" si="19"/>
        <v>5984.9526315789471</v>
      </c>
      <c r="T128" s="203"/>
      <c r="U128" s="204">
        <f t="shared" si="20"/>
        <v>2751.45</v>
      </c>
      <c r="V128" s="204">
        <f t="shared" si="21"/>
        <v>1261.6499999999999</v>
      </c>
      <c r="W128" s="204">
        <f t="shared" si="22"/>
        <v>1971.852631578947</v>
      </c>
      <c r="Y128" s="205">
        <f t="shared" si="23"/>
        <v>2201.16</v>
      </c>
      <c r="Z128" s="205">
        <f t="shared" si="23"/>
        <v>1009.3199999999999</v>
      </c>
      <c r="AA128" s="205">
        <f t="shared" si="23"/>
        <v>1577.4821052631578</v>
      </c>
      <c r="AC128" t="s">
        <v>164</v>
      </c>
      <c r="AJ128">
        <v>2751.45</v>
      </c>
      <c r="AK128" s="205">
        <f t="shared" si="24"/>
        <v>0</v>
      </c>
    </row>
    <row r="129" spans="1:37" x14ac:dyDescent="0.35">
      <c r="A129" s="197">
        <v>3302251</v>
      </c>
      <c r="B129" s="197">
        <v>2251</v>
      </c>
      <c r="C129" s="197" t="s">
        <v>324</v>
      </c>
      <c r="D129" s="198" t="s">
        <v>27</v>
      </c>
      <c r="E129" s="198"/>
      <c r="F129" s="197"/>
      <c r="G129" s="199">
        <v>0</v>
      </c>
      <c r="H129" s="199">
        <v>0</v>
      </c>
      <c r="I129" s="199">
        <v>0</v>
      </c>
      <c r="J129" s="199">
        <v>0</v>
      </c>
      <c r="K129" s="199">
        <v>0</v>
      </c>
      <c r="L129" s="199">
        <v>15</v>
      </c>
      <c r="M129" s="200">
        <v>0</v>
      </c>
      <c r="N129" s="200">
        <v>0</v>
      </c>
      <c r="O129" s="200">
        <v>4.7368421052631575</v>
      </c>
      <c r="P129" s="201">
        <f t="shared" si="16"/>
        <v>0</v>
      </c>
      <c r="Q129" s="201">
        <f t="shared" si="17"/>
        <v>0</v>
      </c>
      <c r="R129" s="201">
        <f t="shared" si="18"/>
        <v>20.147368421052633</v>
      </c>
      <c r="S129" s="202">
        <f t="shared" si="19"/>
        <v>20.147368421052633</v>
      </c>
      <c r="T129" s="203"/>
      <c r="U129" s="204">
        <f t="shared" si="20"/>
        <v>0</v>
      </c>
      <c r="V129" s="204">
        <f t="shared" si="21"/>
        <v>15.6</v>
      </c>
      <c r="W129" s="204">
        <f t="shared" si="22"/>
        <v>4.5473684210526315</v>
      </c>
      <c r="Y129" s="205">
        <f t="shared" si="23"/>
        <v>0</v>
      </c>
      <c r="Z129" s="205">
        <f t="shared" si="23"/>
        <v>12.48</v>
      </c>
      <c r="AA129" s="205">
        <f t="shared" si="23"/>
        <v>3.6378947368421053</v>
      </c>
      <c r="AC129" t="s">
        <v>56</v>
      </c>
      <c r="AJ129">
        <v>0</v>
      </c>
      <c r="AK129" s="205">
        <f t="shared" si="24"/>
        <v>0</v>
      </c>
    </row>
    <row r="130" spans="1:37" x14ac:dyDescent="0.35">
      <c r="A130" s="197">
        <v>3302293</v>
      </c>
      <c r="B130" s="197">
        <v>2293</v>
      </c>
      <c r="C130" s="197" t="s">
        <v>173</v>
      </c>
      <c r="D130" s="198" t="s">
        <v>27</v>
      </c>
      <c r="E130" s="198"/>
      <c r="F130" s="197"/>
      <c r="G130" s="199">
        <v>30</v>
      </c>
      <c r="H130" s="199">
        <v>120</v>
      </c>
      <c r="I130" s="199">
        <v>615</v>
      </c>
      <c r="J130" s="199">
        <v>0</v>
      </c>
      <c r="K130" s="199">
        <v>180</v>
      </c>
      <c r="L130" s="199">
        <v>690</v>
      </c>
      <c r="M130" s="200">
        <v>9.473684210526315</v>
      </c>
      <c r="N130" s="200">
        <v>151.57894736842104</v>
      </c>
      <c r="O130" s="200">
        <v>582.63157894736844</v>
      </c>
      <c r="P130" s="201">
        <f t="shared" si="16"/>
        <v>307.24736842105267</v>
      </c>
      <c r="Q130" s="201">
        <f t="shared" si="17"/>
        <v>1658.4947368421053</v>
      </c>
      <c r="R130" s="201">
        <f t="shared" si="18"/>
        <v>1916.5263157894738</v>
      </c>
      <c r="S130" s="202">
        <f t="shared" si="19"/>
        <v>3882.2684210526318</v>
      </c>
      <c r="T130" s="203"/>
      <c r="U130" s="204">
        <f t="shared" si="20"/>
        <v>1329.9</v>
      </c>
      <c r="V130" s="204">
        <f t="shared" si="21"/>
        <v>1396.1999999999998</v>
      </c>
      <c r="W130" s="204">
        <f t="shared" si="22"/>
        <v>1156.1684210526316</v>
      </c>
      <c r="Y130" s="205">
        <f t="shared" si="23"/>
        <v>1063.92</v>
      </c>
      <c r="Z130" s="205">
        <f t="shared" si="23"/>
        <v>1116.9599999999998</v>
      </c>
      <c r="AA130" s="205">
        <f t="shared" si="23"/>
        <v>924.93473684210539</v>
      </c>
      <c r="AC130" t="s">
        <v>172</v>
      </c>
      <c r="AJ130">
        <v>1329.9</v>
      </c>
      <c r="AK130" s="205">
        <f t="shared" si="24"/>
        <v>0</v>
      </c>
    </row>
    <row r="131" spans="1:37" x14ac:dyDescent="0.35">
      <c r="A131" s="197">
        <v>3302299</v>
      </c>
      <c r="B131" s="197">
        <v>2299</v>
      </c>
      <c r="C131" s="197" t="s">
        <v>325</v>
      </c>
      <c r="D131" s="198" t="s">
        <v>49</v>
      </c>
      <c r="E131" s="198"/>
      <c r="F131" s="197"/>
      <c r="G131" s="199">
        <v>60</v>
      </c>
      <c r="H131" s="199">
        <v>195</v>
      </c>
      <c r="I131" s="199">
        <v>75</v>
      </c>
      <c r="J131" s="199">
        <v>0</v>
      </c>
      <c r="K131" s="199">
        <v>180</v>
      </c>
      <c r="L131" s="199">
        <v>60</v>
      </c>
      <c r="M131" s="200">
        <v>33.157894736842103</v>
      </c>
      <c r="N131" s="200">
        <v>180</v>
      </c>
      <c r="O131" s="200">
        <v>66.315789473684205</v>
      </c>
      <c r="P131" s="201">
        <f t="shared" si="16"/>
        <v>718.51578947368421</v>
      </c>
      <c r="Q131" s="201">
        <f t="shared" si="17"/>
        <v>2040.15</v>
      </c>
      <c r="R131" s="201">
        <f t="shared" si="18"/>
        <v>204.06315789473683</v>
      </c>
      <c r="S131" s="202">
        <f t="shared" si="19"/>
        <v>2962.7289473684214</v>
      </c>
      <c r="T131" s="203"/>
      <c r="U131" s="204">
        <f t="shared" si="20"/>
        <v>1288.95</v>
      </c>
      <c r="V131" s="204">
        <f t="shared" si="21"/>
        <v>740.99999999999989</v>
      </c>
      <c r="W131" s="204">
        <f t="shared" si="22"/>
        <v>932.77894736842097</v>
      </c>
      <c r="Y131" s="205">
        <f t="shared" si="23"/>
        <v>1031.1600000000001</v>
      </c>
      <c r="Z131" s="205">
        <f t="shared" si="23"/>
        <v>592.79999999999995</v>
      </c>
      <c r="AA131" s="205">
        <f t="shared" si="23"/>
        <v>746.2231578947368</v>
      </c>
      <c r="AC131">
        <v>1288.95</v>
      </c>
      <c r="AD131" s="205">
        <f>AC131-U131</f>
        <v>0</v>
      </c>
      <c r="AJ131">
        <v>1288.95</v>
      </c>
      <c r="AK131" s="205">
        <f t="shared" si="24"/>
        <v>0</v>
      </c>
    </row>
    <row r="132" spans="1:37" x14ac:dyDescent="0.35">
      <c r="A132" s="197">
        <v>3302300</v>
      </c>
      <c r="B132" s="197">
        <v>2300</v>
      </c>
      <c r="C132" s="197" t="s">
        <v>326</v>
      </c>
      <c r="D132" s="198" t="s">
        <v>27</v>
      </c>
      <c r="E132" s="198"/>
      <c r="F132" s="197"/>
      <c r="G132" s="199">
        <v>75</v>
      </c>
      <c r="H132" s="199">
        <v>405</v>
      </c>
      <c r="I132" s="199">
        <v>540</v>
      </c>
      <c r="J132" s="199">
        <v>75</v>
      </c>
      <c r="K132" s="199">
        <v>345</v>
      </c>
      <c r="L132" s="199">
        <v>480</v>
      </c>
      <c r="M132" s="200">
        <v>71.05263157894737</v>
      </c>
      <c r="N132" s="200">
        <v>360</v>
      </c>
      <c r="O132" s="200">
        <v>492.63157894736844</v>
      </c>
      <c r="P132" s="201">
        <f t="shared" si="16"/>
        <v>1709.6052631578948</v>
      </c>
      <c r="Q132" s="201">
        <f t="shared" si="17"/>
        <v>4080.3</v>
      </c>
      <c r="R132" s="201">
        <f t="shared" si="18"/>
        <v>1533.7263157894736</v>
      </c>
      <c r="S132" s="202">
        <f t="shared" si="19"/>
        <v>7323.6315789473683</v>
      </c>
      <c r="T132" s="203"/>
      <c r="U132" s="204">
        <f t="shared" si="20"/>
        <v>2683.2</v>
      </c>
      <c r="V132" s="204">
        <f t="shared" si="21"/>
        <v>2394.6</v>
      </c>
      <c r="W132" s="204">
        <f t="shared" si="22"/>
        <v>2245.8315789473686</v>
      </c>
      <c r="Y132" s="205">
        <f t="shared" si="23"/>
        <v>2146.56</v>
      </c>
      <c r="Z132" s="205">
        <f t="shared" si="23"/>
        <v>1915.68</v>
      </c>
      <c r="AA132" s="205">
        <f t="shared" si="23"/>
        <v>1796.665263157895</v>
      </c>
      <c r="AC132" t="s">
        <v>35</v>
      </c>
      <c r="AJ132">
        <v>2683.2</v>
      </c>
      <c r="AK132" s="205">
        <f t="shared" si="24"/>
        <v>0</v>
      </c>
    </row>
    <row r="133" spans="1:37" x14ac:dyDescent="0.35">
      <c r="A133" s="197">
        <v>3302308</v>
      </c>
      <c r="B133" s="197">
        <v>2308</v>
      </c>
      <c r="C133" s="197" t="s">
        <v>163</v>
      </c>
      <c r="D133" s="198" t="s">
        <v>27</v>
      </c>
      <c r="E133" s="198"/>
      <c r="F133" s="197"/>
      <c r="G133" s="199">
        <v>45</v>
      </c>
      <c r="H133" s="199">
        <v>480</v>
      </c>
      <c r="I133" s="199">
        <v>90</v>
      </c>
      <c r="J133" s="199">
        <v>0</v>
      </c>
      <c r="K133" s="199">
        <v>255</v>
      </c>
      <c r="L133" s="199">
        <v>30</v>
      </c>
      <c r="M133" s="200">
        <v>18.94736842105263</v>
      </c>
      <c r="N133" s="200">
        <v>374.21052631578948</v>
      </c>
      <c r="O133" s="200">
        <v>75.78947368421052</v>
      </c>
      <c r="P133" s="201">
        <f t="shared" si="16"/>
        <v>495.54473684210524</v>
      </c>
      <c r="Q133" s="201">
        <f t="shared" si="17"/>
        <v>4073.2026315789471</v>
      </c>
      <c r="R133" s="201">
        <f t="shared" si="18"/>
        <v>197.55789473684212</v>
      </c>
      <c r="S133" s="202">
        <f t="shared" si="19"/>
        <v>4766.3052631578948</v>
      </c>
      <c r="T133" s="203"/>
      <c r="U133" s="204">
        <f t="shared" si="20"/>
        <v>2260.0499999999997</v>
      </c>
      <c r="V133" s="204">
        <f t="shared" si="21"/>
        <v>992.55</v>
      </c>
      <c r="W133" s="204">
        <f t="shared" si="22"/>
        <v>1513.7052631578945</v>
      </c>
      <c r="Y133" s="205">
        <f t="shared" si="23"/>
        <v>1808.04</v>
      </c>
      <c r="Z133" s="205">
        <f t="shared" si="23"/>
        <v>794.04</v>
      </c>
      <c r="AA133" s="205">
        <f t="shared" si="23"/>
        <v>1210.9642105263156</v>
      </c>
      <c r="AC133" t="s">
        <v>162</v>
      </c>
      <c r="AJ133">
        <v>2260.0499999999997</v>
      </c>
      <c r="AK133" s="205">
        <f t="shared" si="24"/>
        <v>0</v>
      </c>
    </row>
    <row r="134" spans="1:37" x14ac:dyDescent="0.35">
      <c r="A134" s="197">
        <v>3302309</v>
      </c>
      <c r="B134" s="197">
        <v>2309</v>
      </c>
      <c r="C134" s="197" t="s">
        <v>327</v>
      </c>
      <c r="D134" s="198" t="s">
        <v>49</v>
      </c>
      <c r="E134" s="198"/>
      <c r="F134" s="197"/>
      <c r="G134" s="199">
        <v>0</v>
      </c>
      <c r="H134" s="199">
        <v>300</v>
      </c>
      <c r="I134" s="199">
        <v>255</v>
      </c>
      <c r="J134" s="199">
        <v>15</v>
      </c>
      <c r="K134" s="199">
        <v>210</v>
      </c>
      <c r="L134" s="199">
        <v>285</v>
      </c>
      <c r="M134" s="200">
        <v>4.7368421052631575</v>
      </c>
      <c r="N134" s="200">
        <v>255.78947368421052</v>
      </c>
      <c r="O134" s="200">
        <v>246.31578947368422</v>
      </c>
      <c r="P134" s="201">
        <f t="shared" si="16"/>
        <v>153.62368421052633</v>
      </c>
      <c r="Q134" s="201">
        <f t="shared" si="17"/>
        <v>2812.8473684210521</v>
      </c>
      <c r="R134" s="201">
        <f t="shared" si="18"/>
        <v>798.06315789473706</v>
      </c>
      <c r="S134" s="202">
        <f t="shared" si="19"/>
        <v>3764.5342105263153</v>
      </c>
      <c r="T134" s="203"/>
      <c r="U134" s="204">
        <f t="shared" si="20"/>
        <v>1396.2</v>
      </c>
      <c r="V134" s="204">
        <f t="shared" si="21"/>
        <v>1207.05</v>
      </c>
      <c r="W134" s="204">
        <f t="shared" si="22"/>
        <v>1161.2842105263157</v>
      </c>
      <c r="Y134" s="205">
        <f t="shared" si="23"/>
        <v>1116.96</v>
      </c>
      <c r="Z134" s="205">
        <f t="shared" si="23"/>
        <v>965.64</v>
      </c>
      <c r="AA134" s="205">
        <f t="shared" si="23"/>
        <v>929.02736842105264</v>
      </c>
      <c r="AC134">
        <v>1396.2</v>
      </c>
      <c r="AD134" s="205">
        <f>AC134-U134</f>
        <v>0</v>
      </c>
      <c r="AJ134">
        <v>1396.2</v>
      </c>
      <c r="AK134" s="205">
        <f t="shared" si="24"/>
        <v>0</v>
      </c>
    </row>
    <row r="135" spans="1:37" x14ac:dyDescent="0.35">
      <c r="A135" s="197">
        <v>3302317</v>
      </c>
      <c r="B135" s="197">
        <v>2317</v>
      </c>
      <c r="C135" s="197" t="s">
        <v>328</v>
      </c>
      <c r="D135" s="198" t="s">
        <v>27</v>
      </c>
      <c r="E135" s="198"/>
      <c r="F135" s="197"/>
      <c r="G135" s="199">
        <v>120</v>
      </c>
      <c r="H135" s="199">
        <v>165</v>
      </c>
      <c r="I135" s="199">
        <v>330</v>
      </c>
      <c r="J135" s="199">
        <v>165</v>
      </c>
      <c r="K135" s="199">
        <v>120</v>
      </c>
      <c r="L135" s="199">
        <v>315</v>
      </c>
      <c r="M135" s="200">
        <v>123.15789473684211</v>
      </c>
      <c r="N135" s="200">
        <v>142.10526315789474</v>
      </c>
      <c r="O135" s="200">
        <v>307.89473684210526</v>
      </c>
      <c r="P135" s="201">
        <f t="shared" si="16"/>
        <v>3161.5657894736842</v>
      </c>
      <c r="Q135" s="201">
        <f t="shared" si="17"/>
        <v>1568.9763157894736</v>
      </c>
      <c r="R135" s="201">
        <f t="shared" si="18"/>
        <v>966.378947368421</v>
      </c>
      <c r="S135" s="202">
        <f t="shared" si="19"/>
        <v>5696.9210526315783</v>
      </c>
      <c r="T135" s="203"/>
      <c r="U135" s="204">
        <f t="shared" si="20"/>
        <v>1916.8500000000001</v>
      </c>
      <c r="V135" s="204">
        <f t="shared" si="21"/>
        <v>2088.4499999999998</v>
      </c>
      <c r="W135" s="204">
        <f t="shared" si="22"/>
        <v>1691.6210526315788</v>
      </c>
      <c r="Y135" s="205">
        <f t="shared" si="23"/>
        <v>1533.4800000000002</v>
      </c>
      <c r="Z135" s="205">
        <f t="shared" si="23"/>
        <v>1670.76</v>
      </c>
      <c r="AA135" s="205">
        <f t="shared" si="23"/>
        <v>1353.2968421052631</v>
      </c>
      <c r="AC135" t="s">
        <v>174</v>
      </c>
      <c r="AJ135">
        <v>1916.8500000000001</v>
      </c>
      <c r="AK135" s="205">
        <f t="shared" si="24"/>
        <v>0</v>
      </c>
    </row>
    <row r="136" spans="1:37" x14ac:dyDescent="0.35">
      <c r="A136" s="197">
        <v>3302402</v>
      </c>
      <c r="B136" s="197">
        <v>2402</v>
      </c>
      <c r="C136" s="197" t="s">
        <v>42</v>
      </c>
      <c r="D136" s="198" t="s">
        <v>27</v>
      </c>
      <c r="E136" s="198"/>
      <c r="F136" s="197"/>
      <c r="G136" s="199">
        <v>15</v>
      </c>
      <c r="H136" s="199">
        <v>0</v>
      </c>
      <c r="I136" s="199">
        <v>60</v>
      </c>
      <c r="J136" s="199">
        <v>0</v>
      </c>
      <c r="K136" s="199">
        <v>0</v>
      </c>
      <c r="L136" s="199">
        <v>15</v>
      </c>
      <c r="M136" s="200">
        <v>9.473684210526315</v>
      </c>
      <c r="N136" s="200">
        <v>0</v>
      </c>
      <c r="O136" s="200">
        <v>47.368421052631575</v>
      </c>
      <c r="P136" s="201">
        <f t="shared" si="16"/>
        <v>188.29736842105262</v>
      </c>
      <c r="Q136" s="201">
        <f t="shared" si="17"/>
        <v>0</v>
      </c>
      <c r="R136" s="201">
        <f t="shared" si="18"/>
        <v>123.47368421052632</v>
      </c>
      <c r="S136" s="202">
        <f t="shared" si="19"/>
        <v>311.77105263157893</v>
      </c>
      <c r="T136" s="203"/>
      <c r="U136" s="204">
        <f t="shared" si="20"/>
        <v>181.35</v>
      </c>
      <c r="V136" s="204">
        <f t="shared" si="21"/>
        <v>15.6</v>
      </c>
      <c r="W136" s="204">
        <f t="shared" si="22"/>
        <v>114.82105263157895</v>
      </c>
      <c r="Y136" s="205">
        <f t="shared" si="23"/>
        <v>145.08000000000001</v>
      </c>
      <c r="Z136" s="205">
        <f t="shared" si="23"/>
        <v>12.48</v>
      </c>
      <c r="AA136" s="205">
        <f t="shared" si="23"/>
        <v>91.856842105263169</v>
      </c>
      <c r="AC136" t="s">
        <v>41</v>
      </c>
      <c r="AJ136">
        <v>181.35</v>
      </c>
      <c r="AK136" s="205">
        <f t="shared" si="24"/>
        <v>0</v>
      </c>
    </row>
    <row r="137" spans="1:37" x14ac:dyDescent="0.35">
      <c r="A137" s="197">
        <v>3302429</v>
      </c>
      <c r="B137" s="197">
        <v>2429</v>
      </c>
      <c r="C137" s="197" t="s">
        <v>329</v>
      </c>
      <c r="D137" s="198" t="s">
        <v>49</v>
      </c>
      <c r="E137" s="198"/>
      <c r="F137" s="197"/>
      <c r="G137" s="199">
        <v>15</v>
      </c>
      <c r="H137" s="199">
        <v>0</v>
      </c>
      <c r="I137" s="199">
        <v>15</v>
      </c>
      <c r="J137" s="199">
        <v>0</v>
      </c>
      <c r="K137" s="199">
        <v>0</v>
      </c>
      <c r="L137" s="199">
        <v>15</v>
      </c>
      <c r="M137" s="200">
        <v>9.473684210526315</v>
      </c>
      <c r="N137" s="200">
        <v>0</v>
      </c>
      <c r="O137" s="200">
        <v>14.210526315789473</v>
      </c>
      <c r="P137" s="201">
        <f t="shared" si="16"/>
        <v>188.29736842105262</v>
      </c>
      <c r="Q137" s="201">
        <f t="shared" si="17"/>
        <v>0</v>
      </c>
      <c r="R137" s="201">
        <f t="shared" si="18"/>
        <v>44.84210526315789</v>
      </c>
      <c r="S137" s="202">
        <f t="shared" si="19"/>
        <v>233.13947368421051</v>
      </c>
      <c r="T137" s="203"/>
      <c r="U137" s="204">
        <f t="shared" si="20"/>
        <v>134.55000000000001</v>
      </c>
      <c r="V137" s="204">
        <f t="shared" si="21"/>
        <v>15.6</v>
      </c>
      <c r="W137" s="204">
        <f t="shared" si="22"/>
        <v>82.989473684210537</v>
      </c>
      <c r="Y137" s="205">
        <f t="shared" si="23"/>
        <v>107.64000000000001</v>
      </c>
      <c r="Z137" s="205">
        <f t="shared" si="23"/>
        <v>12.48</v>
      </c>
      <c r="AA137" s="205">
        <f t="shared" si="23"/>
        <v>66.39157894736843</v>
      </c>
      <c r="AC137">
        <v>134.55000000000001</v>
      </c>
      <c r="AD137" s="205">
        <f t="shared" ref="AD137:AD139" si="34">AC137-U137</f>
        <v>0</v>
      </c>
      <c r="AJ137">
        <v>134.55000000000001</v>
      </c>
      <c r="AK137" s="205">
        <f t="shared" si="24"/>
        <v>0</v>
      </c>
    </row>
    <row r="138" spans="1:37" x14ac:dyDescent="0.35">
      <c r="A138" s="197">
        <v>3302434</v>
      </c>
      <c r="B138" s="197">
        <v>2434</v>
      </c>
      <c r="C138" s="197" t="s">
        <v>330</v>
      </c>
      <c r="D138" s="198" t="s">
        <v>49</v>
      </c>
      <c r="E138" s="198"/>
      <c r="F138" s="197"/>
      <c r="G138" s="199">
        <v>210</v>
      </c>
      <c r="H138" s="199">
        <v>90</v>
      </c>
      <c r="I138" s="199">
        <v>255</v>
      </c>
      <c r="J138" s="199">
        <v>105</v>
      </c>
      <c r="K138" s="199">
        <v>45</v>
      </c>
      <c r="L138" s="199">
        <v>270</v>
      </c>
      <c r="M138" s="200">
        <v>165.78947368421052</v>
      </c>
      <c r="N138" s="200">
        <v>71.05263157894737</v>
      </c>
      <c r="O138" s="200">
        <v>251.0526315789474</v>
      </c>
      <c r="P138" s="201">
        <f t="shared" si="16"/>
        <v>3711.5289473684206</v>
      </c>
      <c r="Q138" s="201">
        <f t="shared" si="17"/>
        <v>756.2131578947367</v>
      </c>
      <c r="R138" s="201">
        <f t="shared" si="18"/>
        <v>787.01052631578955</v>
      </c>
      <c r="S138" s="202">
        <f t="shared" si="19"/>
        <v>5254.7526315789473</v>
      </c>
      <c r="T138" s="203"/>
      <c r="U138" s="204">
        <f t="shared" si="20"/>
        <v>2269.8000000000002</v>
      </c>
      <c r="V138" s="204">
        <f t="shared" si="21"/>
        <v>1283.0999999999999</v>
      </c>
      <c r="W138" s="204">
        <f t="shared" si="22"/>
        <v>1701.8526315789472</v>
      </c>
      <c r="Y138" s="205">
        <f t="shared" si="23"/>
        <v>1815.8400000000001</v>
      </c>
      <c r="Z138" s="205">
        <f t="shared" si="23"/>
        <v>1026.48</v>
      </c>
      <c r="AA138" s="205">
        <f t="shared" si="23"/>
        <v>1361.4821052631578</v>
      </c>
      <c r="AC138">
        <v>2269.8000000000002</v>
      </c>
      <c r="AD138" s="205">
        <f t="shared" si="34"/>
        <v>0</v>
      </c>
      <c r="AJ138">
        <v>2269.8000000000002</v>
      </c>
      <c r="AK138" s="205">
        <f t="shared" si="24"/>
        <v>0</v>
      </c>
    </row>
    <row r="139" spans="1:37" x14ac:dyDescent="0.35">
      <c r="A139" s="197">
        <v>3302212</v>
      </c>
      <c r="B139" s="197">
        <v>2212</v>
      </c>
      <c r="C139" s="197" t="s">
        <v>331</v>
      </c>
      <c r="D139" s="198" t="s">
        <v>49</v>
      </c>
      <c r="E139" s="198"/>
      <c r="F139" s="197"/>
      <c r="G139" s="199">
        <v>225</v>
      </c>
      <c r="H139" s="199">
        <v>90</v>
      </c>
      <c r="I139" s="199">
        <v>0</v>
      </c>
      <c r="J139" s="199">
        <v>90</v>
      </c>
      <c r="K139" s="199">
        <v>120</v>
      </c>
      <c r="L139" s="199">
        <v>0</v>
      </c>
      <c r="M139" s="200">
        <v>156.31578947368422</v>
      </c>
      <c r="N139" s="200">
        <v>90</v>
      </c>
      <c r="O139" s="200">
        <v>4.7368421052631575</v>
      </c>
      <c r="P139" s="201">
        <f t="shared" si="16"/>
        <v>3642.1815789473685</v>
      </c>
      <c r="Q139" s="201">
        <f t="shared" si="17"/>
        <v>1104.8999999999999</v>
      </c>
      <c r="R139" s="201">
        <f t="shared" si="18"/>
        <v>4.5473684210526315</v>
      </c>
      <c r="S139" s="202">
        <f t="shared" si="19"/>
        <v>4751.628947368421</v>
      </c>
      <c r="T139" s="203"/>
      <c r="U139" s="204">
        <f t="shared" si="20"/>
        <v>2123.5500000000002</v>
      </c>
      <c r="V139" s="204">
        <f t="shared" si="21"/>
        <v>1166.0999999999999</v>
      </c>
      <c r="W139" s="204">
        <f t="shared" si="22"/>
        <v>1461.9789473684211</v>
      </c>
      <c r="Y139" s="205">
        <f t="shared" si="23"/>
        <v>1698.8400000000001</v>
      </c>
      <c r="Z139" s="205">
        <f t="shared" si="23"/>
        <v>932.88</v>
      </c>
      <c r="AA139" s="205">
        <f t="shared" si="23"/>
        <v>1169.583157894737</v>
      </c>
      <c r="AC139">
        <v>2123.5500000000002</v>
      </c>
      <c r="AD139" s="205">
        <f t="shared" si="34"/>
        <v>0</v>
      </c>
      <c r="AJ139">
        <v>2123.5500000000002</v>
      </c>
      <c r="AK139" s="205">
        <f t="shared" si="24"/>
        <v>0</v>
      </c>
    </row>
    <row r="140" spans="1:37" x14ac:dyDescent="0.35">
      <c r="A140" s="197">
        <v>3302441</v>
      </c>
      <c r="B140" s="197">
        <v>2441</v>
      </c>
      <c r="C140" s="197" t="s">
        <v>105</v>
      </c>
      <c r="D140" s="198" t="s">
        <v>27</v>
      </c>
      <c r="E140" s="198"/>
      <c r="F140" s="197"/>
      <c r="G140" s="199">
        <v>120</v>
      </c>
      <c r="H140" s="199">
        <v>180</v>
      </c>
      <c r="I140" s="199">
        <v>15</v>
      </c>
      <c r="J140" s="199">
        <v>60</v>
      </c>
      <c r="K140" s="199">
        <v>45</v>
      </c>
      <c r="L140" s="199">
        <v>0</v>
      </c>
      <c r="M140" s="200">
        <v>94.73684210526315</v>
      </c>
      <c r="N140" s="200">
        <v>123.15789473684211</v>
      </c>
      <c r="O140" s="200">
        <v>9.473684210526315</v>
      </c>
      <c r="P140" s="201">
        <f t="shared" ref="P140:P200" si="35">(G140*$C$2*$F$2)+(J140*$C$2*$F$3)+(M140*$C$2*$F$4)</f>
        <v>2120.8736842105263</v>
      </c>
      <c r="Q140" s="201">
        <f t="shared" ref="Q140:Q200" si="36">(H140*$C$3*$F$2)+(K140*$C$3*$F$3)+(N140*$C$3*$F$4)</f>
        <v>1276.8394736842104</v>
      </c>
      <c r="R140" s="201">
        <f t="shared" ref="R140:R200" si="37">(I140*$C$4*$F$2)+(L140*$C$4*$F$3)+(O140*$C$4*$F$4)</f>
        <v>24.694736842105264</v>
      </c>
      <c r="S140" s="202">
        <f t="shared" ref="S140:S200" si="38">R140+Q140+P140</f>
        <v>3422.4078947368416</v>
      </c>
      <c r="T140" s="203"/>
      <c r="U140" s="204">
        <f t="shared" ref="U140:U200" si="39">(G140*$C$2*$F$2)+(H140*$C$3*$F$2)+(I140*$C$4*$F$2)</f>
        <v>1645.7999999999997</v>
      </c>
      <c r="V140" s="204">
        <f t="shared" ref="V140:V200" si="40">(J140*$C$2*$F$3)+(K140*$C$3*$F$3)+(L140*$C$4*$F$3)</f>
        <v>645.45000000000005</v>
      </c>
      <c r="W140" s="204">
        <f t="shared" ref="W140:W200" si="41">(M140*$C$2*$F$4)+(N140*$C$3*$F$4)+(O140*$C$4*$F$4)</f>
        <v>1131.1578947368421</v>
      </c>
      <c r="Y140" s="205">
        <f t="shared" ref="Y140:AA200" si="42">U140*0.8</f>
        <v>1316.6399999999999</v>
      </c>
      <c r="Z140" s="205">
        <f t="shared" si="42"/>
        <v>516.36</v>
      </c>
      <c r="AA140" s="205">
        <f t="shared" si="42"/>
        <v>904.92631578947373</v>
      </c>
      <c r="AC140" t="s">
        <v>104</v>
      </c>
      <c r="AJ140">
        <v>1645.7999999999997</v>
      </c>
      <c r="AK140" s="205">
        <f t="shared" ref="AK140:AK200" si="43">U140-AJ140</f>
        <v>0</v>
      </c>
    </row>
    <row r="141" spans="1:37" x14ac:dyDescent="0.35">
      <c r="A141" s="207">
        <v>3302443</v>
      </c>
      <c r="B141" s="197">
        <v>2443</v>
      </c>
      <c r="C141" s="207" t="s">
        <v>332</v>
      </c>
      <c r="D141" s="198" t="s">
        <v>49</v>
      </c>
      <c r="E141" s="198"/>
      <c r="F141" s="197"/>
      <c r="G141" s="199">
        <v>30</v>
      </c>
      <c r="H141" s="199">
        <v>375</v>
      </c>
      <c r="I141" s="199">
        <v>45</v>
      </c>
      <c r="J141" s="199">
        <v>15</v>
      </c>
      <c r="K141" s="199">
        <v>315</v>
      </c>
      <c r="L141" s="199">
        <v>45</v>
      </c>
      <c r="M141" s="200">
        <v>18.94736842105263</v>
      </c>
      <c r="N141" s="200">
        <v>345.78947368421052</v>
      </c>
      <c r="O141" s="200">
        <v>37.89473684210526</v>
      </c>
      <c r="P141" s="201">
        <f t="shared" si="35"/>
        <v>495.54473684210529</v>
      </c>
      <c r="Q141" s="201">
        <f t="shared" si="36"/>
        <v>3804.6473684210523</v>
      </c>
      <c r="R141" s="201">
        <f t="shared" si="37"/>
        <v>129.97894736842107</v>
      </c>
      <c r="S141" s="202">
        <f t="shared" si="38"/>
        <v>4430.1710526315783</v>
      </c>
      <c r="T141" s="203"/>
      <c r="U141" s="204">
        <f t="shared" si="39"/>
        <v>1698.4499999999998</v>
      </c>
      <c r="V141" s="204">
        <f t="shared" si="40"/>
        <v>1353.3</v>
      </c>
      <c r="W141" s="204">
        <f t="shared" si="41"/>
        <v>1378.4210526315787</v>
      </c>
      <c r="Y141" s="205">
        <f t="shared" si="42"/>
        <v>1358.76</v>
      </c>
      <c r="Z141" s="205">
        <f t="shared" si="42"/>
        <v>1082.6400000000001</v>
      </c>
      <c r="AA141" s="205">
        <f t="shared" si="42"/>
        <v>1102.7368421052631</v>
      </c>
      <c r="AC141">
        <v>1698.4499999999998</v>
      </c>
      <c r="AD141" s="205">
        <f t="shared" ref="AD141:AD145" si="44">AC141-U141</f>
        <v>0</v>
      </c>
      <c r="AJ141">
        <v>1698.4499999999998</v>
      </c>
      <c r="AK141" s="205">
        <f t="shared" si="43"/>
        <v>0</v>
      </c>
    </row>
    <row r="142" spans="1:37" x14ac:dyDescent="0.35">
      <c r="A142" s="197">
        <v>3302447</v>
      </c>
      <c r="B142" s="197">
        <v>2447</v>
      </c>
      <c r="C142" s="197" t="s">
        <v>333</v>
      </c>
      <c r="D142" s="198" t="s">
        <v>49</v>
      </c>
      <c r="E142" s="198"/>
      <c r="F142" s="197"/>
      <c r="G142" s="199">
        <v>465</v>
      </c>
      <c r="H142" s="199">
        <v>90</v>
      </c>
      <c r="I142" s="199">
        <v>60</v>
      </c>
      <c r="J142" s="199">
        <v>270</v>
      </c>
      <c r="K142" s="199">
        <v>105</v>
      </c>
      <c r="L142" s="199">
        <v>120</v>
      </c>
      <c r="M142" s="200">
        <v>374.21052631578948</v>
      </c>
      <c r="N142" s="200">
        <v>80.526315789473685</v>
      </c>
      <c r="O142" s="200">
        <v>75.78947368421052</v>
      </c>
      <c r="P142" s="201">
        <f t="shared" si="35"/>
        <v>8567.7710526315786</v>
      </c>
      <c r="Q142" s="201">
        <f t="shared" si="36"/>
        <v>1015.3815789473683</v>
      </c>
      <c r="R142" s="201">
        <f t="shared" si="37"/>
        <v>259.95789473684209</v>
      </c>
      <c r="S142" s="202">
        <f t="shared" si="38"/>
        <v>9843.1105263157897</v>
      </c>
      <c r="T142" s="203"/>
      <c r="U142" s="204">
        <f t="shared" si="39"/>
        <v>4089.15</v>
      </c>
      <c r="V142" s="204">
        <f t="shared" si="40"/>
        <v>2661.75</v>
      </c>
      <c r="W142" s="204">
        <f t="shared" si="41"/>
        <v>3092.2105263157891</v>
      </c>
      <c r="Y142" s="205">
        <f t="shared" si="42"/>
        <v>3271.32</v>
      </c>
      <c r="Z142" s="205">
        <f t="shared" si="42"/>
        <v>2129.4</v>
      </c>
      <c r="AA142" s="205">
        <f t="shared" si="42"/>
        <v>2473.7684210526313</v>
      </c>
      <c r="AC142">
        <v>4089.15</v>
      </c>
      <c r="AD142" s="205">
        <f t="shared" si="44"/>
        <v>0</v>
      </c>
      <c r="AJ142">
        <v>4089.15</v>
      </c>
      <c r="AK142" s="205">
        <f t="shared" si="43"/>
        <v>0</v>
      </c>
    </row>
    <row r="143" spans="1:37" x14ac:dyDescent="0.35">
      <c r="A143" s="197">
        <v>3302449</v>
      </c>
      <c r="B143" s="197">
        <v>2449</v>
      </c>
      <c r="C143" s="197" t="s">
        <v>334</v>
      </c>
      <c r="D143" s="198" t="s">
        <v>49</v>
      </c>
      <c r="E143" s="198"/>
      <c r="F143" s="197"/>
      <c r="G143" s="199">
        <v>300</v>
      </c>
      <c r="H143" s="199">
        <v>90</v>
      </c>
      <c r="I143" s="199">
        <v>105</v>
      </c>
      <c r="J143" s="199">
        <v>315</v>
      </c>
      <c r="K143" s="199">
        <v>75</v>
      </c>
      <c r="L143" s="199">
        <v>90</v>
      </c>
      <c r="M143" s="200">
        <v>298.42105263157896</v>
      </c>
      <c r="N143" s="200">
        <v>80.526315789473685</v>
      </c>
      <c r="O143" s="200">
        <v>85.26315789473685</v>
      </c>
      <c r="P143" s="201">
        <f t="shared" si="35"/>
        <v>7061.3921052631586</v>
      </c>
      <c r="Q143" s="201">
        <f t="shared" si="36"/>
        <v>902.28157894736842</v>
      </c>
      <c r="R143" s="201">
        <f t="shared" si="37"/>
        <v>284.65263157894742</v>
      </c>
      <c r="S143" s="202">
        <f t="shared" si="38"/>
        <v>8248.3263157894744</v>
      </c>
      <c r="T143" s="203"/>
      <c r="U143" s="204">
        <f t="shared" si="39"/>
        <v>2827.5</v>
      </c>
      <c r="V143" s="204">
        <f t="shared" si="40"/>
        <v>2874.3</v>
      </c>
      <c r="W143" s="204">
        <f t="shared" si="41"/>
        <v>2546.5263157894733</v>
      </c>
      <c r="Y143" s="205">
        <f t="shared" si="42"/>
        <v>2262</v>
      </c>
      <c r="Z143" s="205">
        <f t="shared" si="42"/>
        <v>2299.44</v>
      </c>
      <c r="AA143" s="205">
        <f t="shared" si="42"/>
        <v>2037.2210526315787</v>
      </c>
      <c r="AC143">
        <v>2827.5</v>
      </c>
      <c r="AD143" s="205">
        <f t="shared" si="44"/>
        <v>0</v>
      </c>
      <c r="AJ143">
        <v>2827.5</v>
      </c>
      <c r="AK143" s="205">
        <f t="shared" si="43"/>
        <v>0</v>
      </c>
    </row>
    <row r="144" spans="1:37" x14ac:dyDescent="0.35">
      <c r="A144" s="197">
        <v>3302450</v>
      </c>
      <c r="B144" s="197">
        <v>2450</v>
      </c>
      <c r="C144" s="197" t="s">
        <v>335</v>
      </c>
      <c r="D144" s="198" t="s">
        <v>49</v>
      </c>
      <c r="E144" s="198"/>
      <c r="F144" s="197"/>
      <c r="G144" s="199">
        <v>45</v>
      </c>
      <c r="H144" s="199">
        <v>0</v>
      </c>
      <c r="I144" s="199">
        <v>0</v>
      </c>
      <c r="J144" s="199">
        <v>0</v>
      </c>
      <c r="K144" s="199">
        <v>15</v>
      </c>
      <c r="L144" s="199">
        <v>15</v>
      </c>
      <c r="M144" s="200">
        <v>28.421052631578945</v>
      </c>
      <c r="N144" s="200">
        <v>4.7368421052631575</v>
      </c>
      <c r="O144" s="200">
        <v>4.7368421052631575</v>
      </c>
      <c r="P144" s="201">
        <f t="shared" si="35"/>
        <v>564.89210526315787</v>
      </c>
      <c r="Q144" s="201">
        <f t="shared" si="36"/>
        <v>73.034210526315789</v>
      </c>
      <c r="R144" s="201">
        <f t="shared" si="37"/>
        <v>20.147368421052633</v>
      </c>
      <c r="S144" s="202">
        <f t="shared" si="38"/>
        <v>658.07368421052627</v>
      </c>
      <c r="T144" s="203"/>
      <c r="U144" s="204">
        <f t="shared" si="39"/>
        <v>356.84999999999997</v>
      </c>
      <c r="V144" s="204">
        <f t="shared" si="40"/>
        <v>72.149999999999991</v>
      </c>
      <c r="W144" s="204">
        <f t="shared" si="41"/>
        <v>229.07368421052627</v>
      </c>
      <c r="Y144" s="205">
        <f t="shared" si="42"/>
        <v>285.47999999999996</v>
      </c>
      <c r="Z144" s="205">
        <f t="shared" si="42"/>
        <v>57.72</v>
      </c>
      <c r="AA144" s="205">
        <f t="shared" si="42"/>
        <v>183.25894736842102</v>
      </c>
      <c r="AC144">
        <v>356.84999999999997</v>
      </c>
      <c r="AD144" s="205">
        <f t="shared" si="44"/>
        <v>0</v>
      </c>
      <c r="AJ144">
        <v>356.84999999999997</v>
      </c>
      <c r="AK144" s="205">
        <f t="shared" si="43"/>
        <v>0</v>
      </c>
    </row>
    <row r="145" spans="1:37" x14ac:dyDescent="0.35">
      <c r="A145" s="197">
        <v>3302453</v>
      </c>
      <c r="B145" s="197">
        <v>2453</v>
      </c>
      <c r="C145" s="197" t="s">
        <v>336</v>
      </c>
      <c r="D145" s="198" t="s">
        <v>49</v>
      </c>
      <c r="E145" s="198"/>
      <c r="F145" s="197"/>
      <c r="G145" s="199">
        <v>0</v>
      </c>
      <c r="H145" s="199">
        <v>105</v>
      </c>
      <c r="I145" s="199">
        <v>330</v>
      </c>
      <c r="J145" s="199">
        <v>15</v>
      </c>
      <c r="K145" s="199">
        <v>45</v>
      </c>
      <c r="L145" s="199">
        <v>150</v>
      </c>
      <c r="M145" s="200">
        <v>4.7368421052631575</v>
      </c>
      <c r="N145" s="200">
        <v>80.526315789473685</v>
      </c>
      <c r="O145" s="200">
        <v>251.0526315789474</v>
      </c>
      <c r="P145" s="201">
        <f t="shared" si="35"/>
        <v>153.62368421052633</v>
      </c>
      <c r="Q145" s="201">
        <f t="shared" si="36"/>
        <v>845.73157894736846</v>
      </c>
      <c r="R145" s="201">
        <f t="shared" si="37"/>
        <v>740.21052631578959</v>
      </c>
      <c r="S145" s="202">
        <f t="shared" si="38"/>
        <v>1739.5657894736844</v>
      </c>
      <c r="T145" s="203"/>
      <c r="U145" s="204">
        <f t="shared" si="39"/>
        <v>739.05</v>
      </c>
      <c r="V145" s="204">
        <f t="shared" si="40"/>
        <v>444.59999999999997</v>
      </c>
      <c r="W145" s="204">
        <f t="shared" si="41"/>
        <v>555.9157894736843</v>
      </c>
      <c r="Y145" s="205">
        <f t="shared" si="42"/>
        <v>591.24</v>
      </c>
      <c r="Z145" s="205">
        <f t="shared" si="42"/>
        <v>355.68</v>
      </c>
      <c r="AA145" s="205">
        <f t="shared" si="42"/>
        <v>444.73263157894746</v>
      </c>
      <c r="AC145">
        <v>739.05</v>
      </c>
      <c r="AD145" s="205">
        <f t="shared" si="44"/>
        <v>0</v>
      </c>
      <c r="AJ145">
        <v>739.05</v>
      </c>
      <c r="AK145" s="205">
        <f t="shared" si="43"/>
        <v>0</v>
      </c>
    </row>
    <row r="146" spans="1:37" x14ac:dyDescent="0.35">
      <c r="A146" s="197">
        <v>3302454</v>
      </c>
      <c r="B146" s="197">
        <v>2454</v>
      </c>
      <c r="C146" s="197" t="s">
        <v>337</v>
      </c>
      <c r="D146" s="198" t="s">
        <v>27</v>
      </c>
      <c r="E146" s="198"/>
      <c r="F146" s="197"/>
      <c r="G146" s="199">
        <v>345</v>
      </c>
      <c r="H146" s="199">
        <v>30</v>
      </c>
      <c r="I146" s="199">
        <v>165</v>
      </c>
      <c r="J146" s="199">
        <v>300</v>
      </c>
      <c r="K146" s="199">
        <v>30</v>
      </c>
      <c r="L146" s="199">
        <v>135</v>
      </c>
      <c r="M146" s="200">
        <v>307.89473684210526</v>
      </c>
      <c r="N146" s="200">
        <v>28.421052631578945</v>
      </c>
      <c r="O146" s="200">
        <v>146.84210526315789</v>
      </c>
      <c r="P146" s="201">
        <f t="shared" si="35"/>
        <v>7368.6394736842103</v>
      </c>
      <c r="Q146" s="201">
        <f t="shared" si="36"/>
        <v>325.10526315789468</v>
      </c>
      <c r="R146" s="201">
        <f t="shared" si="37"/>
        <v>452.96842105263158</v>
      </c>
      <c r="S146" s="202">
        <f t="shared" si="38"/>
        <v>8146.7131578947365</v>
      </c>
      <c r="T146" s="203"/>
      <c r="U146" s="204">
        <f t="shared" si="39"/>
        <v>3020.5499999999997</v>
      </c>
      <c r="V146" s="204">
        <f t="shared" si="40"/>
        <v>2632.5</v>
      </c>
      <c r="W146" s="204">
        <f t="shared" si="41"/>
        <v>2493.6631578947367</v>
      </c>
      <c r="Y146" s="205">
        <f t="shared" si="42"/>
        <v>2416.44</v>
      </c>
      <c r="Z146" s="205">
        <f t="shared" si="42"/>
        <v>2106</v>
      </c>
      <c r="AA146" s="205">
        <f t="shared" si="42"/>
        <v>1994.9305263157894</v>
      </c>
      <c r="AC146" t="s">
        <v>70</v>
      </c>
      <c r="AJ146">
        <v>3020.5499999999997</v>
      </c>
      <c r="AK146" s="205">
        <f t="shared" si="43"/>
        <v>0</v>
      </c>
    </row>
    <row r="147" spans="1:37" x14ac:dyDescent="0.35">
      <c r="A147" s="197">
        <v>3302455</v>
      </c>
      <c r="B147" s="197">
        <v>2455</v>
      </c>
      <c r="C147" s="197" t="s">
        <v>338</v>
      </c>
      <c r="D147" s="198" t="s">
        <v>49</v>
      </c>
      <c r="E147" s="198"/>
      <c r="F147" s="197"/>
      <c r="G147" s="199">
        <v>180</v>
      </c>
      <c r="H147" s="199">
        <v>120</v>
      </c>
      <c r="I147" s="199">
        <v>135</v>
      </c>
      <c r="J147" s="199">
        <v>30</v>
      </c>
      <c r="K147" s="199">
        <v>135</v>
      </c>
      <c r="L147" s="199">
        <v>210</v>
      </c>
      <c r="M147" s="200">
        <v>123.15789473684211</v>
      </c>
      <c r="N147" s="200">
        <v>104.21052631578948</v>
      </c>
      <c r="O147" s="200">
        <v>146.84210526315789</v>
      </c>
      <c r="P147" s="201">
        <f t="shared" si="35"/>
        <v>2566.8157894736842</v>
      </c>
      <c r="Q147" s="201">
        <f t="shared" si="36"/>
        <v>1324.0026315789473</v>
      </c>
      <c r="R147" s="201">
        <f t="shared" si="37"/>
        <v>499.7684210526316</v>
      </c>
      <c r="S147" s="202">
        <f t="shared" si="38"/>
        <v>4390.5868421052628</v>
      </c>
      <c r="T147" s="203"/>
      <c r="U147" s="204">
        <f t="shared" si="39"/>
        <v>2020.1999999999998</v>
      </c>
      <c r="V147" s="204">
        <f t="shared" si="40"/>
        <v>965.25</v>
      </c>
      <c r="W147" s="204">
        <f t="shared" si="41"/>
        <v>1405.1368421052632</v>
      </c>
      <c r="Y147" s="205">
        <f t="shared" si="42"/>
        <v>1616.1599999999999</v>
      </c>
      <c r="Z147" s="205">
        <f t="shared" si="42"/>
        <v>772.2</v>
      </c>
      <c r="AA147" s="205">
        <f t="shared" si="42"/>
        <v>1124.1094736842106</v>
      </c>
      <c r="AC147">
        <v>2020.1999999999998</v>
      </c>
      <c r="AD147" s="205">
        <f>AC147-U147</f>
        <v>0</v>
      </c>
      <c r="AJ147">
        <v>2020.1999999999998</v>
      </c>
      <c r="AK147" s="205">
        <f t="shared" si="43"/>
        <v>0</v>
      </c>
    </row>
    <row r="148" spans="1:37" x14ac:dyDescent="0.35">
      <c r="A148" s="207">
        <v>3302457</v>
      </c>
      <c r="B148" s="197">
        <v>2457</v>
      </c>
      <c r="C148" s="207" t="s">
        <v>339</v>
      </c>
      <c r="D148" s="198" t="s">
        <v>27</v>
      </c>
      <c r="E148" s="198"/>
      <c r="F148" s="197"/>
      <c r="G148" s="199">
        <v>180</v>
      </c>
      <c r="H148" s="199">
        <v>300</v>
      </c>
      <c r="I148" s="199">
        <v>135</v>
      </c>
      <c r="J148" s="199">
        <v>120</v>
      </c>
      <c r="K148" s="199">
        <v>165</v>
      </c>
      <c r="L148" s="199">
        <v>60</v>
      </c>
      <c r="M148" s="200">
        <v>156.31578947368422</v>
      </c>
      <c r="N148" s="200">
        <v>246.31578947368422</v>
      </c>
      <c r="O148" s="200">
        <v>99.473684210526301</v>
      </c>
      <c r="P148" s="201">
        <f t="shared" si="35"/>
        <v>3523.2315789473687</v>
      </c>
      <c r="Q148" s="201">
        <f t="shared" si="36"/>
        <v>2610.2289473684209</v>
      </c>
      <c r="R148" s="201">
        <f t="shared" si="37"/>
        <v>298.29473684210529</v>
      </c>
      <c r="S148" s="202">
        <f t="shared" si="38"/>
        <v>6431.7552631578947</v>
      </c>
      <c r="T148" s="203"/>
      <c r="U148" s="204">
        <f t="shared" si="39"/>
        <v>2698.7999999999997</v>
      </c>
      <c r="V148" s="204">
        <f t="shared" si="40"/>
        <v>1636.0500000000002</v>
      </c>
      <c r="W148" s="204">
        <f t="shared" si="41"/>
        <v>2096.9052631578948</v>
      </c>
      <c r="Y148" s="205">
        <f t="shared" si="42"/>
        <v>2159.04</v>
      </c>
      <c r="Z148" s="205">
        <f t="shared" si="42"/>
        <v>1308.8400000000001</v>
      </c>
      <c r="AA148" s="205">
        <f t="shared" si="42"/>
        <v>1677.524210526316</v>
      </c>
      <c r="AC148" t="s">
        <v>112</v>
      </c>
      <c r="AJ148">
        <v>2698.7999999999997</v>
      </c>
      <c r="AK148" s="205">
        <f t="shared" si="43"/>
        <v>0</v>
      </c>
    </row>
    <row r="149" spans="1:37" x14ac:dyDescent="0.35">
      <c r="A149" s="197">
        <v>3302458</v>
      </c>
      <c r="B149" s="197">
        <v>2458</v>
      </c>
      <c r="C149" s="197" t="s">
        <v>340</v>
      </c>
      <c r="D149" s="198" t="s">
        <v>49</v>
      </c>
      <c r="E149" s="198"/>
      <c r="F149" s="197"/>
      <c r="G149" s="199">
        <v>45</v>
      </c>
      <c r="H149" s="199">
        <v>45</v>
      </c>
      <c r="I149" s="199">
        <v>525</v>
      </c>
      <c r="J149" s="199">
        <v>0</v>
      </c>
      <c r="K149" s="199">
        <v>15</v>
      </c>
      <c r="L149" s="199">
        <v>615</v>
      </c>
      <c r="M149" s="200">
        <v>23.684210526315788</v>
      </c>
      <c r="N149" s="200">
        <v>28.421052631578945</v>
      </c>
      <c r="O149" s="200">
        <v>506.84210526315792</v>
      </c>
      <c r="P149" s="201">
        <f t="shared" si="35"/>
        <v>530.21842105263158</v>
      </c>
      <c r="Q149" s="201">
        <f t="shared" si="36"/>
        <v>325.10526315789468</v>
      </c>
      <c r="R149" s="201">
        <f t="shared" si="37"/>
        <v>1672.1684210526314</v>
      </c>
      <c r="S149" s="202">
        <f t="shared" si="38"/>
        <v>2527.4921052631576</v>
      </c>
      <c r="T149" s="203"/>
      <c r="U149" s="204">
        <f t="shared" si="39"/>
        <v>1072.5</v>
      </c>
      <c r="V149" s="204">
        <f t="shared" si="40"/>
        <v>696.15</v>
      </c>
      <c r="W149" s="204">
        <f t="shared" si="41"/>
        <v>758.84210526315792</v>
      </c>
      <c r="Y149" s="205">
        <f t="shared" si="42"/>
        <v>858</v>
      </c>
      <c r="Z149" s="205">
        <f t="shared" si="42"/>
        <v>556.91999999999996</v>
      </c>
      <c r="AA149" s="205">
        <f t="shared" si="42"/>
        <v>607.07368421052638</v>
      </c>
      <c r="AC149">
        <v>1072.5</v>
      </c>
      <c r="AD149" s="205">
        <f t="shared" ref="AD149:AD151" si="45">AC149-U149</f>
        <v>0</v>
      </c>
      <c r="AJ149">
        <v>1072.5</v>
      </c>
      <c r="AK149" s="205">
        <f t="shared" si="43"/>
        <v>0</v>
      </c>
    </row>
    <row r="150" spans="1:37" x14ac:dyDescent="0.35">
      <c r="A150" s="197">
        <v>3302460</v>
      </c>
      <c r="B150" s="197">
        <v>2460</v>
      </c>
      <c r="C150" s="197" t="s">
        <v>341</v>
      </c>
      <c r="D150" s="198" t="s">
        <v>49</v>
      </c>
      <c r="E150" s="198"/>
      <c r="F150" s="197"/>
      <c r="G150" s="199">
        <v>0</v>
      </c>
      <c r="H150" s="199">
        <v>0</v>
      </c>
      <c r="I150" s="199">
        <v>120</v>
      </c>
      <c r="J150" s="199">
        <v>0</v>
      </c>
      <c r="K150" s="199">
        <v>15</v>
      </c>
      <c r="L150" s="199">
        <v>105</v>
      </c>
      <c r="M150" s="200">
        <v>0</v>
      </c>
      <c r="N150" s="200">
        <v>4.7368421052631575</v>
      </c>
      <c r="O150" s="200">
        <v>104.21052631578948</v>
      </c>
      <c r="P150" s="201">
        <f t="shared" si="35"/>
        <v>0</v>
      </c>
      <c r="Q150" s="201">
        <f t="shared" si="36"/>
        <v>73.034210526315789</v>
      </c>
      <c r="R150" s="201">
        <f t="shared" si="37"/>
        <v>334.04210526315791</v>
      </c>
      <c r="S150" s="202">
        <f t="shared" si="38"/>
        <v>407.07631578947371</v>
      </c>
      <c r="T150" s="203"/>
      <c r="U150" s="204">
        <f t="shared" si="39"/>
        <v>124.8</v>
      </c>
      <c r="V150" s="204">
        <f t="shared" si="40"/>
        <v>165.75</v>
      </c>
      <c r="W150" s="204">
        <f t="shared" si="41"/>
        <v>116.5263157894737</v>
      </c>
      <c r="Y150" s="205">
        <f t="shared" si="42"/>
        <v>99.84</v>
      </c>
      <c r="Z150" s="205">
        <f t="shared" si="42"/>
        <v>132.6</v>
      </c>
      <c r="AA150" s="205">
        <f t="shared" si="42"/>
        <v>93.221052631578971</v>
      </c>
      <c r="AC150">
        <v>124.8</v>
      </c>
      <c r="AD150" s="205">
        <f t="shared" si="45"/>
        <v>0</v>
      </c>
      <c r="AJ150">
        <v>124.8</v>
      </c>
      <c r="AK150" s="205">
        <f t="shared" si="43"/>
        <v>0</v>
      </c>
    </row>
    <row r="151" spans="1:37" x14ac:dyDescent="0.35">
      <c r="A151" s="197">
        <v>3302463</v>
      </c>
      <c r="B151" s="197">
        <v>2463</v>
      </c>
      <c r="C151" s="197" t="s">
        <v>342</v>
      </c>
      <c r="D151" s="198" t="s">
        <v>49</v>
      </c>
      <c r="E151" s="198"/>
      <c r="F151" s="197"/>
      <c r="G151" s="199">
        <v>0</v>
      </c>
      <c r="H151" s="199">
        <v>0</v>
      </c>
      <c r="I151" s="199">
        <v>15</v>
      </c>
      <c r="J151" s="199">
        <v>0</v>
      </c>
      <c r="K151" s="199">
        <v>0</v>
      </c>
      <c r="L151" s="199">
        <v>15</v>
      </c>
      <c r="M151" s="200">
        <v>0</v>
      </c>
      <c r="N151" s="200">
        <v>0</v>
      </c>
      <c r="O151" s="200">
        <v>14.210526315789473</v>
      </c>
      <c r="P151" s="201">
        <f t="shared" si="35"/>
        <v>0</v>
      </c>
      <c r="Q151" s="201">
        <f t="shared" si="36"/>
        <v>0</v>
      </c>
      <c r="R151" s="201">
        <f t="shared" si="37"/>
        <v>44.84210526315789</v>
      </c>
      <c r="S151" s="202">
        <f t="shared" si="38"/>
        <v>44.84210526315789</v>
      </c>
      <c r="T151" s="203"/>
      <c r="U151" s="204">
        <f t="shared" si="39"/>
        <v>15.6</v>
      </c>
      <c r="V151" s="204">
        <f t="shared" si="40"/>
        <v>15.6</v>
      </c>
      <c r="W151" s="204">
        <f t="shared" si="41"/>
        <v>13.642105263157895</v>
      </c>
      <c r="Y151" s="205">
        <f t="shared" si="42"/>
        <v>12.48</v>
      </c>
      <c r="Z151" s="205">
        <f t="shared" si="42"/>
        <v>12.48</v>
      </c>
      <c r="AA151" s="205">
        <f t="shared" si="42"/>
        <v>10.913684210526316</v>
      </c>
      <c r="AC151">
        <v>15.6</v>
      </c>
      <c r="AD151" s="205">
        <f t="shared" si="45"/>
        <v>0</v>
      </c>
      <c r="AJ151">
        <v>15.6</v>
      </c>
      <c r="AK151" s="205">
        <f t="shared" si="43"/>
        <v>0</v>
      </c>
    </row>
    <row r="152" spans="1:37" x14ac:dyDescent="0.35">
      <c r="A152" s="197">
        <v>3302465</v>
      </c>
      <c r="B152" s="197">
        <v>2465</v>
      </c>
      <c r="C152" s="197" t="s">
        <v>51</v>
      </c>
      <c r="D152" s="198" t="s">
        <v>27</v>
      </c>
      <c r="E152" s="198"/>
      <c r="F152" s="197"/>
      <c r="G152" s="199">
        <v>0</v>
      </c>
      <c r="H152" s="199">
        <v>0</v>
      </c>
      <c r="I152" s="199">
        <v>0</v>
      </c>
      <c r="J152" s="199">
        <v>0</v>
      </c>
      <c r="K152" s="199">
        <v>15</v>
      </c>
      <c r="L152" s="199">
        <v>0</v>
      </c>
      <c r="M152" s="200">
        <v>0</v>
      </c>
      <c r="N152" s="200">
        <v>4.7368421052631575</v>
      </c>
      <c r="O152" s="200">
        <v>0</v>
      </c>
      <c r="P152" s="201">
        <f t="shared" si="35"/>
        <v>0</v>
      </c>
      <c r="Q152" s="201">
        <f t="shared" si="36"/>
        <v>73.034210526315789</v>
      </c>
      <c r="R152" s="201">
        <f t="shared" si="37"/>
        <v>0</v>
      </c>
      <c r="S152" s="202">
        <f t="shared" si="38"/>
        <v>73.034210526315789</v>
      </c>
      <c r="T152" s="203"/>
      <c r="U152" s="204">
        <f t="shared" si="39"/>
        <v>0</v>
      </c>
      <c r="V152" s="204">
        <f t="shared" si="40"/>
        <v>56.55</v>
      </c>
      <c r="W152" s="204">
        <f t="shared" si="41"/>
        <v>16.484210526315788</v>
      </c>
      <c r="Y152" s="205">
        <f t="shared" si="42"/>
        <v>0</v>
      </c>
      <c r="Z152" s="205">
        <f t="shared" si="42"/>
        <v>45.24</v>
      </c>
      <c r="AA152" s="205">
        <f t="shared" si="42"/>
        <v>13.187368421052632</v>
      </c>
      <c r="AC152" t="s">
        <v>50</v>
      </c>
      <c r="AJ152">
        <v>0</v>
      </c>
      <c r="AK152" s="205">
        <f t="shared" si="43"/>
        <v>0</v>
      </c>
    </row>
    <row r="153" spans="1:37" x14ac:dyDescent="0.35">
      <c r="A153" s="197">
        <v>3302466</v>
      </c>
      <c r="B153" s="197">
        <v>2466</v>
      </c>
      <c r="C153" s="197" t="s">
        <v>343</v>
      </c>
      <c r="D153" s="198" t="s">
        <v>27</v>
      </c>
      <c r="E153" s="198"/>
      <c r="F153" s="197"/>
      <c r="G153" s="199">
        <v>30</v>
      </c>
      <c r="H153" s="199">
        <v>225</v>
      </c>
      <c r="I153" s="199">
        <v>555</v>
      </c>
      <c r="J153" s="199">
        <v>30</v>
      </c>
      <c r="K153" s="199">
        <v>90</v>
      </c>
      <c r="L153" s="199">
        <v>480</v>
      </c>
      <c r="M153" s="200">
        <v>28.421052631578945</v>
      </c>
      <c r="N153" s="200">
        <v>175.26315789473682</v>
      </c>
      <c r="O153" s="200">
        <v>468.94736842105266</v>
      </c>
      <c r="P153" s="201">
        <f t="shared" si="35"/>
        <v>683.84210526315792</v>
      </c>
      <c r="Q153" s="201">
        <f t="shared" si="36"/>
        <v>1797.465789473684</v>
      </c>
      <c r="R153" s="201">
        <f t="shared" si="37"/>
        <v>1526.5894736842106</v>
      </c>
      <c r="S153" s="202">
        <f t="shared" si="38"/>
        <v>4007.8973684210528</v>
      </c>
      <c r="T153" s="203"/>
      <c r="U153" s="204">
        <f t="shared" si="39"/>
        <v>1663.35</v>
      </c>
      <c r="V153" s="204">
        <f t="shared" si="40"/>
        <v>1076.3999999999999</v>
      </c>
      <c r="W153" s="204">
        <f t="shared" si="41"/>
        <v>1268.1473684210525</v>
      </c>
      <c r="Y153" s="205">
        <f t="shared" si="42"/>
        <v>1330.68</v>
      </c>
      <c r="Z153" s="205">
        <f t="shared" si="42"/>
        <v>861.11999999999989</v>
      </c>
      <c r="AA153" s="205">
        <f t="shared" si="42"/>
        <v>1014.5178947368421</v>
      </c>
      <c r="AC153" t="s">
        <v>82</v>
      </c>
      <c r="AJ153">
        <v>1663.35</v>
      </c>
      <c r="AK153" s="205">
        <f t="shared" si="43"/>
        <v>0</v>
      </c>
    </row>
    <row r="154" spans="1:37" x14ac:dyDescent="0.35">
      <c r="A154" s="197">
        <v>3302471</v>
      </c>
      <c r="B154" s="197">
        <v>2471</v>
      </c>
      <c r="C154" s="197" t="s">
        <v>344</v>
      </c>
      <c r="D154" s="198" t="s">
        <v>49</v>
      </c>
      <c r="E154" s="198"/>
      <c r="F154" s="197"/>
      <c r="G154" s="199">
        <v>0</v>
      </c>
      <c r="H154" s="199">
        <v>330</v>
      </c>
      <c r="I154" s="199">
        <v>225</v>
      </c>
      <c r="J154" s="199">
        <v>0</v>
      </c>
      <c r="K154" s="199">
        <v>270</v>
      </c>
      <c r="L154" s="199">
        <v>225</v>
      </c>
      <c r="M154" s="200">
        <v>0</v>
      </c>
      <c r="N154" s="200">
        <v>293.68421052631578</v>
      </c>
      <c r="O154" s="200">
        <v>213.15789473684211</v>
      </c>
      <c r="P154" s="201">
        <f t="shared" si="35"/>
        <v>0</v>
      </c>
      <c r="Q154" s="201">
        <f t="shared" si="36"/>
        <v>3284.0210526315786</v>
      </c>
      <c r="R154" s="201">
        <f t="shared" si="37"/>
        <v>672.63157894736844</v>
      </c>
      <c r="S154" s="202">
        <f t="shared" si="38"/>
        <v>3956.652631578947</v>
      </c>
      <c r="T154" s="203"/>
      <c r="U154" s="204">
        <f t="shared" si="39"/>
        <v>1478.1</v>
      </c>
      <c r="V154" s="204">
        <f t="shared" si="40"/>
        <v>1251.9000000000001</v>
      </c>
      <c r="W154" s="204">
        <f t="shared" si="41"/>
        <v>1226.6526315789474</v>
      </c>
      <c r="Y154" s="205">
        <f t="shared" si="42"/>
        <v>1182.48</v>
      </c>
      <c r="Z154" s="205">
        <f t="shared" si="42"/>
        <v>1001.5200000000001</v>
      </c>
      <c r="AA154" s="205">
        <f t="shared" si="42"/>
        <v>981.32210526315794</v>
      </c>
      <c r="AC154">
        <v>1478.1</v>
      </c>
      <c r="AD154" s="205">
        <f>AC154-U154</f>
        <v>0</v>
      </c>
      <c r="AJ154">
        <v>1478.1</v>
      </c>
      <c r="AK154" s="205">
        <f t="shared" si="43"/>
        <v>0</v>
      </c>
    </row>
    <row r="155" spans="1:37" x14ac:dyDescent="0.35">
      <c r="A155" s="197">
        <v>3302478</v>
      </c>
      <c r="B155" s="197">
        <v>2478</v>
      </c>
      <c r="C155" s="197" t="s">
        <v>171</v>
      </c>
      <c r="D155" s="198" t="s">
        <v>27</v>
      </c>
      <c r="E155" s="198"/>
      <c r="F155" s="197"/>
      <c r="G155" s="199">
        <v>0</v>
      </c>
      <c r="H155" s="199">
        <v>0</v>
      </c>
      <c r="I155" s="199">
        <v>45</v>
      </c>
      <c r="J155" s="199">
        <v>0</v>
      </c>
      <c r="K155" s="199">
        <v>0</v>
      </c>
      <c r="L155" s="199">
        <v>15</v>
      </c>
      <c r="M155" s="200">
        <v>0</v>
      </c>
      <c r="N155" s="200">
        <v>0</v>
      </c>
      <c r="O155" s="200">
        <v>33.157894736842103</v>
      </c>
      <c r="P155" s="201">
        <f t="shared" si="35"/>
        <v>0</v>
      </c>
      <c r="Q155" s="201">
        <f t="shared" si="36"/>
        <v>0</v>
      </c>
      <c r="R155" s="201">
        <f t="shared" si="37"/>
        <v>94.231578947368433</v>
      </c>
      <c r="S155" s="202">
        <f t="shared" si="38"/>
        <v>94.231578947368433</v>
      </c>
      <c r="T155" s="203"/>
      <c r="U155" s="204">
        <f t="shared" si="39"/>
        <v>46.800000000000004</v>
      </c>
      <c r="V155" s="204">
        <f t="shared" si="40"/>
        <v>15.6</v>
      </c>
      <c r="W155" s="204">
        <f t="shared" si="41"/>
        <v>31.831578947368421</v>
      </c>
      <c r="Y155" s="205">
        <f t="shared" si="42"/>
        <v>37.440000000000005</v>
      </c>
      <c r="Z155" s="205">
        <f t="shared" si="42"/>
        <v>12.48</v>
      </c>
      <c r="AA155" s="205">
        <f t="shared" si="42"/>
        <v>25.465263157894739</v>
      </c>
      <c r="AC155" t="s">
        <v>170</v>
      </c>
      <c r="AJ155">
        <v>46.800000000000004</v>
      </c>
      <c r="AK155" s="205">
        <f t="shared" si="43"/>
        <v>0</v>
      </c>
    </row>
    <row r="156" spans="1:37" x14ac:dyDescent="0.35">
      <c r="A156" s="197">
        <v>3302479</v>
      </c>
      <c r="B156" s="197">
        <v>2479</v>
      </c>
      <c r="C156" s="197" t="s">
        <v>34</v>
      </c>
      <c r="D156" s="198" t="s">
        <v>27</v>
      </c>
      <c r="E156" s="198"/>
      <c r="F156" s="197"/>
      <c r="G156" s="199">
        <v>360</v>
      </c>
      <c r="H156" s="199">
        <v>765</v>
      </c>
      <c r="I156" s="199">
        <v>90</v>
      </c>
      <c r="J156" s="199">
        <v>225</v>
      </c>
      <c r="K156" s="199">
        <v>525</v>
      </c>
      <c r="L156" s="199">
        <v>75</v>
      </c>
      <c r="M156" s="200">
        <v>303.15789473684208</v>
      </c>
      <c r="N156" s="200">
        <v>630</v>
      </c>
      <c r="O156" s="200">
        <v>71.05263157894737</v>
      </c>
      <c r="P156" s="201">
        <f t="shared" si="35"/>
        <v>6858.1657894736836</v>
      </c>
      <c r="Q156" s="201">
        <f t="shared" si="36"/>
        <v>7055.6999999999989</v>
      </c>
      <c r="R156" s="201">
        <f t="shared" si="37"/>
        <v>239.8105263157895</v>
      </c>
      <c r="S156" s="202">
        <f t="shared" si="38"/>
        <v>14153.676315789471</v>
      </c>
      <c r="T156" s="203"/>
      <c r="U156" s="204">
        <f t="shared" si="39"/>
        <v>5832.45</v>
      </c>
      <c r="V156" s="204">
        <f t="shared" si="40"/>
        <v>3841.5</v>
      </c>
      <c r="W156" s="204">
        <f t="shared" si="41"/>
        <v>4479.7263157894731</v>
      </c>
      <c r="Y156" s="205">
        <f t="shared" si="42"/>
        <v>4665.96</v>
      </c>
      <c r="Z156" s="205">
        <f t="shared" si="42"/>
        <v>3073.2000000000003</v>
      </c>
      <c r="AA156" s="205">
        <f t="shared" si="42"/>
        <v>3583.7810526315789</v>
      </c>
      <c r="AC156" t="s">
        <v>33</v>
      </c>
      <c r="AJ156">
        <v>5832.45</v>
      </c>
      <c r="AK156" s="205">
        <f t="shared" si="43"/>
        <v>0</v>
      </c>
    </row>
    <row r="157" spans="1:37" x14ac:dyDescent="0.35">
      <c r="A157" s="197">
        <v>3302480</v>
      </c>
      <c r="B157" s="197">
        <v>2480</v>
      </c>
      <c r="C157" s="197" t="s">
        <v>345</v>
      </c>
      <c r="D157" s="198" t="s">
        <v>49</v>
      </c>
      <c r="E157" s="198"/>
      <c r="F157" s="197"/>
      <c r="G157" s="199">
        <v>315</v>
      </c>
      <c r="H157" s="199">
        <v>0</v>
      </c>
      <c r="I157" s="199">
        <v>15</v>
      </c>
      <c r="J157" s="199">
        <v>240</v>
      </c>
      <c r="K157" s="199">
        <v>0</v>
      </c>
      <c r="L157" s="199">
        <v>0</v>
      </c>
      <c r="M157" s="200">
        <v>227.36842105263156</v>
      </c>
      <c r="N157" s="200">
        <v>0</v>
      </c>
      <c r="O157" s="200">
        <v>4.7368421052631575</v>
      </c>
      <c r="P157" s="201">
        <f t="shared" si="35"/>
        <v>6065.4868421052633</v>
      </c>
      <c r="Q157" s="201">
        <f t="shared" si="36"/>
        <v>0</v>
      </c>
      <c r="R157" s="201">
        <f t="shared" si="37"/>
        <v>20.147368421052633</v>
      </c>
      <c r="S157" s="202">
        <f t="shared" si="38"/>
        <v>6085.6342105263157</v>
      </c>
      <c r="T157" s="203"/>
      <c r="U157" s="204">
        <f t="shared" si="39"/>
        <v>2513.5500000000002</v>
      </c>
      <c r="V157" s="204">
        <f t="shared" si="40"/>
        <v>1903.2</v>
      </c>
      <c r="W157" s="204">
        <f t="shared" si="41"/>
        <v>1668.8842105263154</v>
      </c>
      <c r="Y157" s="205">
        <f t="shared" si="42"/>
        <v>2010.8400000000001</v>
      </c>
      <c r="Z157" s="205">
        <f t="shared" si="42"/>
        <v>1522.5600000000002</v>
      </c>
      <c r="AA157" s="205">
        <f t="shared" si="42"/>
        <v>1335.1073684210523</v>
      </c>
      <c r="AC157">
        <v>2513.5500000000002</v>
      </c>
      <c r="AD157" s="205">
        <f t="shared" ref="AD157:AD159" si="46">AC157-U157</f>
        <v>0</v>
      </c>
      <c r="AJ157">
        <v>2513.5500000000002</v>
      </c>
      <c r="AK157" s="205">
        <f t="shared" si="43"/>
        <v>0</v>
      </c>
    </row>
    <row r="158" spans="1:37" x14ac:dyDescent="0.35">
      <c r="A158" s="197">
        <v>3302481</v>
      </c>
      <c r="B158" s="197">
        <v>2481</v>
      </c>
      <c r="C158" s="197" t="s">
        <v>346</v>
      </c>
      <c r="D158" s="198" t="s">
        <v>49</v>
      </c>
      <c r="E158" s="198"/>
      <c r="F158" s="197"/>
      <c r="G158" s="199">
        <v>0</v>
      </c>
      <c r="H158" s="199">
        <v>30</v>
      </c>
      <c r="I158" s="199">
        <v>525</v>
      </c>
      <c r="J158" s="199">
        <v>0</v>
      </c>
      <c r="K158" s="199">
        <v>30</v>
      </c>
      <c r="L158" s="199">
        <v>555</v>
      </c>
      <c r="M158" s="200">
        <v>0</v>
      </c>
      <c r="N158" s="200">
        <v>28.421052631578945</v>
      </c>
      <c r="O158" s="200">
        <v>530.52631578947364</v>
      </c>
      <c r="P158" s="201">
        <f t="shared" si="35"/>
        <v>0</v>
      </c>
      <c r="Q158" s="201">
        <f t="shared" si="36"/>
        <v>325.10526315789468</v>
      </c>
      <c r="R158" s="201">
        <f t="shared" si="37"/>
        <v>1632.5052631578947</v>
      </c>
      <c r="S158" s="202">
        <f t="shared" si="38"/>
        <v>1957.6105263157892</v>
      </c>
      <c r="T158" s="203"/>
      <c r="U158" s="204">
        <f t="shared" si="39"/>
        <v>659.1</v>
      </c>
      <c r="V158" s="204">
        <f t="shared" si="40"/>
        <v>690.3</v>
      </c>
      <c r="W158" s="204">
        <f t="shared" si="41"/>
        <v>608.21052631578948</v>
      </c>
      <c r="Y158" s="205">
        <f t="shared" si="42"/>
        <v>527.28000000000009</v>
      </c>
      <c r="Z158" s="205">
        <f t="shared" si="42"/>
        <v>552.24</v>
      </c>
      <c r="AA158" s="205">
        <f t="shared" si="42"/>
        <v>486.56842105263161</v>
      </c>
      <c r="AC158">
        <v>659.1</v>
      </c>
      <c r="AD158" s="205">
        <f t="shared" si="46"/>
        <v>0</v>
      </c>
      <c r="AJ158">
        <v>659.1</v>
      </c>
      <c r="AK158" s="205">
        <f t="shared" si="43"/>
        <v>0</v>
      </c>
    </row>
    <row r="159" spans="1:37" x14ac:dyDescent="0.35">
      <c r="A159" s="197">
        <v>3302221</v>
      </c>
      <c r="B159" s="197">
        <v>2221</v>
      </c>
      <c r="C159" s="197" t="s">
        <v>347</v>
      </c>
      <c r="D159" s="198" t="s">
        <v>49</v>
      </c>
      <c r="E159" s="198"/>
      <c r="F159" s="197"/>
      <c r="G159" s="199">
        <v>0</v>
      </c>
      <c r="H159" s="199">
        <v>0</v>
      </c>
      <c r="I159" s="199">
        <v>645</v>
      </c>
      <c r="J159" s="199">
        <v>0</v>
      </c>
      <c r="K159" s="199">
        <v>15</v>
      </c>
      <c r="L159" s="199">
        <v>405</v>
      </c>
      <c r="M159" s="200">
        <v>0</v>
      </c>
      <c r="N159" s="200">
        <v>4.7368421052631575</v>
      </c>
      <c r="O159" s="200">
        <v>549.47368421052636</v>
      </c>
      <c r="P159" s="201">
        <f t="shared" si="35"/>
        <v>0</v>
      </c>
      <c r="Q159" s="201">
        <f t="shared" si="36"/>
        <v>73.034210526315789</v>
      </c>
      <c r="R159" s="201">
        <f t="shared" si="37"/>
        <v>1619.4947368421053</v>
      </c>
      <c r="S159" s="202">
        <f t="shared" si="38"/>
        <v>1692.5289473684211</v>
      </c>
      <c r="T159" s="203"/>
      <c r="U159" s="204">
        <f t="shared" si="39"/>
        <v>670.80000000000007</v>
      </c>
      <c r="V159" s="204">
        <f t="shared" si="40"/>
        <v>477.75</v>
      </c>
      <c r="W159" s="204">
        <f t="shared" si="41"/>
        <v>543.97894736842113</v>
      </c>
      <c r="Y159" s="205">
        <f t="shared" si="42"/>
        <v>536.6400000000001</v>
      </c>
      <c r="Z159" s="205">
        <f t="shared" si="42"/>
        <v>382.20000000000005</v>
      </c>
      <c r="AA159" s="205">
        <f t="shared" si="42"/>
        <v>435.18315789473695</v>
      </c>
      <c r="AC159">
        <v>670.80000000000007</v>
      </c>
      <c r="AD159" s="205">
        <f t="shared" si="46"/>
        <v>0</v>
      </c>
      <c r="AJ159">
        <v>670.80000000000007</v>
      </c>
      <c r="AK159" s="205">
        <f t="shared" si="43"/>
        <v>0</v>
      </c>
    </row>
    <row r="160" spans="1:37" x14ac:dyDescent="0.35">
      <c r="A160" s="197">
        <v>3302486</v>
      </c>
      <c r="B160" s="197">
        <v>2486</v>
      </c>
      <c r="C160" s="197" t="s">
        <v>75</v>
      </c>
      <c r="D160" s="198" t="s">
        <v>27</v>
      </c>
      <c r="E160" s="198"/>
      <c r="F160" s="197"/>
      <c r="G160" s="199">
        <v>225</v>
      </c>
      <c r="H160" s="199">
        <v>45</v>
      </c>
      <c r="I160" s="199">
        <v>0</v>
      </c>
      <c r="J160" s="199">
        <v>180</v>
      </c>
      <c r="K160" s="199">
        <v>15</v>
      </c>
      <c r="L160" s="199">
        <v>0</v>
      </c>
      <c r="M160" s="200">
        <v>194.21052631578948</v>
      </c>
      <c r="N160" s="200">
        <v>33.157894736842103</v>
      </c>
      <c r="O160" s="200">
        <v>0</v>
      </c>
      <c r="P160" s="201">
        <f t="shared" si="35"/>
        <v>4633.2710526315786</v>
      </c>
      <c r="Q160" s="201">
        <f t="shared" si="36"/>
        <v>341.58947368421047</v>
      </c>
      <c r="R160" s="201">
        <f t="shared" si="37"/>
        <v>0</v>
      </c>
      <c r="S160" s="202">
        <f t="shared" si="38"/>
        <v>4974.8605263157888</v>
      </c>
      <c r="T160" s="203"/>
      <c r="U160" s="204">
        <f t="shared" si="39"/>
        <v>1953.9</v>
      </c>
      <c r="V160" s="204">
        <f t="shared" si="40"/>
        <v>1483.9499999999998</v>
      </c>
      <c r="W160" s="204">
        <f t="shared" si="41"/>
        <v>1537.0105263157895</v>
      </c>
      <c r="Y160" s="205">
        <f t="shared" si="42"/>
        <v>1563.1200000000001</v>
      </c>
      <c r="Z160" s="205">
        <f t="shared" si="42"/>
        <v>1187.1599999999999</v>
      </c>
      <c r="AA160" s="205">
        <f t="shared" si="42"/>
        <v>1229.6084210526317</v>
      </c>
      <c r="AC160" t="s">
        <v>74</v>
      </c>
      <c r="AJ160">
        <v>1953.9</v>
      </c>
      <c r="AK160" s="205">
        <f t="shared" si="43"/>
        <v>0</v>
      </c>
    </row>
    <row r="161" spans="1:37" x14ac:dyDescent="0.35">
      <c r="A161" s="197">
        <v>3303002</v>
      </c>
      <c r="B161" s="197">
        <v>3002</v>
      </c>
      <c r="C161" s="197" t="s">
        <v>348</v>
      </c>
      <c r="D161" s="198" t="s">
        <v>27</v>
      </c>
      <c r="E161" s="198"/>
      <c r="F161" s="197"/>
      <c r="G161" s="199">
        <v>270</v>
      </c>
      <c r="H161" s="199">
        <v>15</v>
      </c>
      <c r="I161" s="199">
        <v>45</v>
      </c>
      <c r="J161" s="199">
        <v>120</v>
      </c>
      <c r="K161" s="199">
        <v>0</v>
      </c>
      <c r="L161" s="199">
        <v>45</v>
      </c>
      <c r="M161" s="200">
        <v>197.0526315789474</v>
      </c>
      <c r="N161" s="200">
        <v>14.210526315789473</v>
      </c>
      <c r="O161" s="200">
        <v>42.631578947368425</v>
      </c>
      <c r="P161" s="201">
        <f t="shared" si="35"/>
        <v>4535.1252631578946</v>
      </c>
      <c r="Q161" s="201">
        <f t="shared" si="36"/>
        <v>106.00263157894736</v>
      </c>
      <c r="R161" s="201">
        <f t="shared" si="37"/>
        <v>134.5263157894737</v>
      </c>
      <c r="S161" s="202">
        <f t="shared" si="38"/>
        <v>4775.6542105263152</v>
      </c>
      <c r="T161" s="203"/>
      <c r="U161" s="204">
        <f t="shared" si="39"/>
        <v>2244.4500000000003</v>
      </c>
      <c r="V161" s="204">
        <f t="shared" si="40"/>
        <v>998.4</v>
      </c>
      <c r="W161" s="204">
        <f t="shared" si="41"/>
        <v>1532.8042105263157</v>
      </c>
      <c r="Y161" s="205">
        <f t="shared" si="42"/>
        <v>1795.5600000000004</v>
      </c>
      <c r="Z161" s="205">
        <f t="shared" si="42"/>
        <v>798.72</v>
      </c>
      <c r="AA161" s="205">
        <f t="shared" si="42"/>
        <v>1226.2433684210525</v>
      </c>
      <c r="AC161" t="s">
        <v>58</v>
      </c>
      <c r="AJ161">
        <v>2244.4500000000003</v>
      </c>
      <c r="AK161" s="205">
        <f t="shared" si="43"/>
        <v>0</v>
      </c>
    </row>
    <row r="162" spans="1:37" x14ac:dyDescent="0.35">
      <c r="A162" s="197">
        <v>3303015</v>
      </c>
      <c r="B162" s="197">
        <v>3015</v>
      </c>
      <c r="C162" s="197" t="s">
        <v>349</v>
      </c>
      <c r="D162" s="198" t="s">
        <v>49</v>
      </c>
      <c r="E162" s="198"/>
      <c r="F162" s="197"/>
      <c r="G162" s="199">
        <v>0</v>
      </c>
      <c r="H162" s="199">
        <v>180</v>
      </c>
      <c r="I162" s="199">
        <v>60</v>
      </c>
      <c r="J162" s="199">
        <v>15</v>
      </c>
      <c r="K162" s="199">
        <v>135</v>
      </c>
      <c r="L162" s="199">
        <v>45</v>
      </c>
      <c r="M162" s="200">
        <v>4.7368421052631575</v>
      </c>
      <c r="N162" s="200">
        <v>151.57894736842104</v>
      </c>
      <c r="O162" s="200">
        <v>52.10526315789474</v>
      </c>
      <c r="P162" s="201">
        <f t="shared" si="35"/>
        <v>153.62368421052633</v>
      </c>
      <c r="Q162" s="201">
        <f t="shared" si="36"/>
        <v>1715.0447368421051</v>
      </c>
      <c r="R162" s="201">
        <f t="shared" si="37"/>
        <v>159.22105263157897</v>
      </c>
      <c r="S162" s="202">
        <f t="shared" si="38"/>
        <v>2027.8894736842103</v>
      </c>
      <c r="T162" s="203"/>
      <c r="U162" s="204">
        <f t="shared" si="39"/>
        <v>740.99999999999989</v>
      </c>
      <c r="V162" s="204">
        <f t="shared" si="40"/>
        <v>674.69999999999993</v>
      </c>
      <c r="W162" s="204">
        <f t="shared" si="41"/>
        <v>612.1894736842105</v>
      </c>
      <c r="Y162" s="205">
        <f t="shared" si="42"/>
        <v>592.79999999999995</v>
      </c>
      <c r="Z162" s="205">
        <f t="shared" si="42"/>
        <v>539.76</v>
      </c>
      <c r="AA162" s="205">
        <f t="shared" si="42"/>
        <v>489.75157894736844</v>
      </c>
      <c r="AC162">
        <v>740.99999999999989</v>
      </c>
      <c r="AD162" s="205">
        <f t="shared" ref="AD162:AD164" si="47">AC162-U162</f>
        <v>0</v>
      </c>
      <c r="AJ162">
        <v>740.99999999999989</v>
      </c>
      <c r="AK162" s="205">
        <f t="shared" si="43"/>
        <v>0</v>
      </c>
    </row>
    <row r="163" spans="1:37" x14ac:dyDescent="0.35">
      <c r="A163" s="197">
        <v>3303302</v>
      </c>
      <c r="B163" s="197">
        <v>3302</v>
      </c>
      <c r="C163" s="197" t="s">
        <v>350</v>
      </c>
      <c r="D163" s="198" t="s">
        <v>49</v>
      </c>
      <c r="E163" s="198"/>
      <c r="F163" s="197"/>
      <c r="G163" s="199">
        <v>60</v>
      </c>
      <c r="H163" s="199">
        <v>75</v>
      </c>
      <c r="I163" s="199">
        <v>45</v>
      </c>
      <c r="J163" s="199">
        <v>75</v>
      </c>
      <c r="K163" s="199">
        <v>75</v>
      </c>
      <c r="L163" s="199">
        <v>60</v>
      </c>
      <c r="M163" s="200">
        <v>61.578947368421055</v>
      </c>
      <c r="N163" s="200">
        <v>66.315789473684205</v>
      </c>
      <c r="O163" s="200">
        <v>47.368421052631575</v>
      </c>
      <c r="P163" s="201">
        <f t="shared" si="35"/>
        <v>1521.3078947368422</v>
      </c>
      <c r="Q163" s="201">
        <f t="shared" si="36"/>
        <v>796.27894736842109</v>
      </c>
      <c r="R163" s="201">
        <f t="shared" si="37"/>
        <v>154.67368421052632</v>
      </c>
      <c r="S163" s="202">
        <f t="shared" si="38"/>
        <v>2472.2605263157893</v>
      </c>
      <c r="T163" s="203"/>
      <c r="U163" s="204">
        <f t="shared" si="39"/>
        <v>805.34999999999991</v>
      </c>
      <c r="V163" s="204">
        <f t="shared" si="40"/>
        <v>939.9</v>
      </c>
      <c r="W163" s="204">
        <f t="shared" si="41"/>
        <v>727.01052631578943</v>
      </c>
      <c r="Y163" s="205">
        <f t="shared" si="42"/>
        <v>644.28</v>
      </c>
      <c r="Z163" s="205">
        <f t="shared" si="42"/>
        <v>751.92000000000007</v>
      </c>
      <c r="AA163" s="205">
        <f t="shared" si="42"/>
        <v>581.60842105263157</v>
      </c>
      <c r="AC163">
        <v>805.34999999999991</v>
      </c>
      <c r="AD163" s="205">
        <f t="shared" si="47"/>
        <v>0</v>
      </c>
      <c r="AJ163">
        <v>805.34999999999991</v>
      </c>
      <c r="AK163" s="205">
        <f t="shared" si="43"/>
        <v>0</v>
      </c>
    </row>
    <row r="164" spans="1:37" x14ac:dyDescent="0.35">
      <c r="A164" s="197">
        <v>3303306</v>
      </c>
      <c r="B164" s="197">
        <v>3306</v>
      </c>
      <c r="C164" s="197" t="s">
        <v>351</v>
      </c>
      <c r="D164" s="198" t="s">
        <v>49</v>
      </c>
      <c r="E164" s="198"/>
      <c r="F164" s="197"/>
      <c r="G164" s="199">
        <v>0</v>
      </c>
      <c r="H164" s="199">
        <v>15</v>
      </c>
      <c r="I164" s="199">
        <v>615</v>
      </c>
      <c r="J164" s="199">
        <v>0</v>
      </c>
      <c r="K164" s="199">
        <v>15</v>
      </c>
      <c r="L164" s="199">
        <v>435</v>
      </c>
      <c r="M164" s="200">
        <v>0</v>
      </c>
      <c r="N164" s="200">
        <v>14.210526315789473</v>
      </c>
      <c r="O164" s="200">
        <v>530.52631578947364</v>
      </c>
      <c r="P164" s="201">
        <f t="shared" si="35"/>
        <v>0</v>
      </c>
      <c r="Q164" s="201">
        <f t="shared" si="36"/>
        <v>162.55263157894734</v>
      </c>
      <c r="R164" s="201">
        <f t="shared" si="37"/>
        <v>1601.3052631578948</v>
      </c>
      <c r="S164" s="202">
        <f t="shared" si="38"/>
        <v>1763.8578947368421</v>
      </c>
      <c r="T164" s="203"/>
      <c r="U164" s="204">
        <f t="shared" si="39"/>
        <v>696.15</v>
      </c>
      <c r="V164" s="204">
        <f t="shared" si="40"/>
        <v>508.95000000000005</v>
      </c>
      <c r="W164" s="204">
        <f t="shared" si="41"/>
        <v>558.7578947368421</v>
      </c>
      <c r="Y164" s="205">
        <f t="shared" si="42"/>
        <v>556.91999999999996</v>
      </c>
      <c r="Z164" s="205">
        <f t="shared" si="42"/>
        <v>407.16000000000008</v>
      </c>
      <c r="AA164" s="205">
        <f t="shared" si="42"/>
        <v>447.00631578947372</v>
      </c>
      <c r="AC164">
        <v>696.15</v>
      </c>
      <c r="AD164" s="205">
        <f t="shared" si="47"/>
        <v>0</v>
      </c>
      <c r="AJ164">
        <v>696.15</v>
      </c>
      <c r="AK164" s="205">
        <f t="shared" si="43"/>
        <v>0</v>
      </c>
    </row>
    <row r="165" spans="1:37" x14ac:dyDescent="0.35">
      <c r="A165" s="197">
        <v>3303310</v>
      </c>
      <c r="B165" s="197">
        <v>3310</v>
      </c>
      <c r="C165" s="197" t="s">
        <v>217</v>
      </c>
      <c r="D165" s="198" t="s">
        <v>245</v>
      </c>
      <c r="E165" s="198"/>
      <c r="F165" s="197"/>
      <c r="G165" s="199">
        <v>195</v>
      </c>
      <c r="H165" s="199">
        <v>105</v>
      </c>
      <c r="I165" s="199">
        <v>0</v>
      </c>
      <c r="J165" s="199">
        <v>180</v>
      </c>
      <c r="K165" s="199">
        <v>15</v>
      </c>
      <c r="L165" s="199">
        <v>30</v>
      </c>
      <c r="M165" s="200">
        <v>170.5263157894737</v>
      </c>
      <c r="N165" s="200">
        <v>71.05263157894737</v>
      </c>
      <c r="O165" s="200">
        <v>9.473684210526315</v>
      </c>
      <c r="P165" s="201">
        <f t="shared" si="35"/>
        <v>4222.0026315789473</v>
      </c>
      <c r="Q165" s="201">
        <f t="shared" si="36"/>
        <v>699.66315789473674</v>
      </c>
      <c r="R165" s="201">
        <f t="shared" si="37"/>
        <v>40.294736842105266</v>
      </c>
      <c r="S165" s="202">
        <f t="shared" si="38"/>
        <v>4961.9605263157891</v>
      </c>
      <c r="T165" s="203"/>
      <c r="U165" s="204">
        <f t="shared" si="39"/>
        <v>1942.2</v>
      </c>
      <c r="V165" s="204">
        <f t="shared" si="40"/>
        <v>1515.1499999999999</v>
      </c>
      <c r="W165" s="204">
        <f t="shared" si="41"/>
        <v>1504.6105263157895</v>
      </c>
      <c r="Y165" s="205">
        <f t="shared" si="42"/>
        <v>1553.7600000000002</v>
      </c>
      <c r="Z165" s="205">
        <f t="shared" si="42"/>
        <v>1212.1199999999999</v>
      </c>
      <c r="AA165" s="205">
        <f t="shared" si="42"/>
        <v>1203.6884210526316</v>
      </c>
      <c r="AC165" t="s">
        <v>216</v>
      </c>
      <c r="AJ165">
        <v>1942.2</v>
      </c>
      <c r="AK165" s="205">
        <f t="shared" si="43"/>
        <v>0</v>
      </c>
    </row>
    <row r="166" spans="1:37" x14ac:dyDescent="0.35">
      <c r="A166" s="197">
        <v>3303311</v>
      </c>
      <c r="B166" s="197">
        <v>3311</v>
      </c>
      <c r="C166" s="197" t="s">
        <v>352</v>
      </c>
      <c r="D166" s="198" t="s">
        <v>49</v>
      </c>
      <c r="E166" s="198"/>
      <c r="F166" s="197"/>
      <c r="G166" s="199">
        <v>195</v>
      </c>
      <c r="H166" s="199">
        <v>105</v>
      </c>
      <c r="I166" s="199">
        <v>15</v>
      </c>
      <c r="J166" s="199">
        <v>330</v>
      </c>
      <c r="K166" s="199">
        <v>105</v>
      </c>
      <c r="L166" s="199">
        <v>15</v>
      </c>
      <c r="M166" s="200">
        <v>208.42105263157896</v>
      </c>
      <c r="N166" s="200">
        <v>90</v>
      </c>
      <c r="O166" s="200">
        <v>14.210526315789473</v>
      </c>
      <c r="P166" s="201">
        <f t="shared" si="35"/>
        <v>5688.8921052631576</v>
      </c>
      <c r="Q166" s="201">
        <f t="shared" si="36"/>
        <v>1104.8999999999999</v>
      </c>
      <c r="R166" s="201">
        <f t="shared" si="37"/>
        <v>44.84210526315789</v>
      </c>
      <c r="S166" s="202">
        <f t="shared" si="38"/>
        <v>6838.6342105263157</v>
      </c>
      <c r="T166" s="203"/>
      <c r="U166" s="204">
        <f t="shared" si="39"/>
        <v>1957.8</v>
      </c>
      <c r="V166" s="204">
        <f t="shared" si="40"/>
        <v>3028.3499999999995</v>
      </c>
      <c r="W166" s="204">
        <f t="shared" si="41"/>
        <v>1852.4842105263158</v>
      </c>
      <c r="Y166" s="205">
        <f t="shared" si="42"/>
        <v>1566.24</v>
      </c>
      <c r="Z166" s="205">
        <f t="shared" si="42"/>
        <v>2422.6799999999998</v>
      </c>
      <c r="AA166" s="205">
        <f t="shared" si="42"/>
        <v>1481.9873684210527</v>
      </c>
      <c r="AC166">
        <v>1957.8</v>
      </c>
      <c r="AD166" s="205">
        <f t="shared" ref="AD166:AD167" si="48">AC166-U166</f>
        <v>0</v>
      </c>
      <c r="AJ166">
        <v>1957.8</v>
      </c>
      <c r="AK166" s="205">
        <f t="shared" si="43"/>
        <v>0</v>
      </c>
    </row>
    <row r="167" spans="1:37" x14ac:dyDescent="0.35">
      <c r="A167" s="197">
        <v>3303314</v>
      </c>
      <c r="B167" s="197">
        <v>3314</v>
      </c>
      <c r="C167" s="197" t="s">
        <v>353</v>
      </c>
      <c r="D167" s="198" t="s">
        <v>49</v>
      </c>
      <c r="E167" s="198"/>
      <c r="F167" s="197"/>
      <c r="G167" s="199">
        <v>210</v>
      </c>
      <c r="H167" s="199">
        <v>30</v>
      </c>
      <c r="I167" s="199">
        <v>15</v>
      </c>
      <c r="J167" s="199">
        <v>195</v>
      </c>
      <c r="K167" s="199">
        <v>15</v>
      </c>
      <c r="L167" s="199">
        <v>45</v>
      </c>
      <c r="M167" s="200">
        <v>194.21052631578948</v>
      </c>
      <c r="N167" s="200">
        <v>23.684210526315788</v>
      </c>
      <c r="O167" s="200">
        <v>18.94736842105263</v>
      </c>
      <c r="P167" s="201">
        <f t="shared" si="35"/>
        <v>4633.2710526315786</v>
      </c>
      <c r="Q167" s="201">
        <f t="shared" si="36"/>
        <v>252.07105263157891</v>
      </c>
      <c r="R167" s="201">
        <f t="shared" si="37"/>
        <v>80.589473684210532</v>
      </c>
      <c r="S167" s="202">
        <f t="shared" si="38"/>
        <v>4965.9315789473676</v>
      </c>
      <c r="T167" s="203"/>
      <c r="U167" s="204">
        <f t="shared" si="39"/>
        <v>1793.9999999999998</v>
      </c>
      <c r="V167" s="204">
        <f t="shared" si="40"/>
        <v>1649.7</v>
      </c>
      <c r="W167" s="204">
        <f t="shared" si="41"/>
        <v>1522.2315789473685</v>
      </c>
      <c r="Y167" s="205">
        <f t="shared" si="42"/>
        <v>1435.1999999999998</v>
      </c>
      <c r="Z167" s="205">
        <f t="shared" si="42"/>
        <v>1319.7600000000002</v>
      </c>
      <c r="AA167" s="205">
        <f t="shared" si="42"/>
        <v>1217.7852631578949</v>
      </c>
      <c r="AC167">
        <v>1793.9999999999998</v>
      </c>
      <c r="AD167" s="205">
        <f t="shared" si="48"/>
        <v>0</v>
      </c>
      <c r="AJ167">
        <v>1793.9999999999998</v>
      </c>
      <c r="AK167" s="205">
        <f t="shared" si="43"/>
        <v>0</v>
      </c>
    </row>
    <row r="168" spans="1:37" x14ac:dyDescent="0.35">
      <c r="A168" s="197">
        <v>3303317</v>
      </c>
      <c r="B168" s="197">
        <v>3317</v>
      </c>
      <c r="C168" s="197" t="s">
        <v>95</v>
      </c>
      <c r="D168" s="198" t="s">
        <v>27</v>
      </c>
      <c r="E168" s="198"/>
      <c r="F168" s="197"/>
      <c r="G168" s="199">
        <v>0</v>
      </c>
      <c r="H168" s="199">
        <v>0</v>
      </c>
      <c r="I168" s="199">
        <v>255</v>
      </c>
      <c r="J168" s="199">
        <v>0</v>
      </c>
      <c r="K168" s="199">
        <v>15</v>
      </c>
      <c r="L168" s="199">
        <v>165</v>
      </c>
      <c r="M168" s="200">
        <v>0</v>
      </c>
      <c r="N168" s="200">
        <v>4.7368421052631575</v>
      </c>
      <c r="O168" s="200">
        <v>213.15789473684211</v>
      </c>
      <c r="P168" s="201">
        <f t="shared" si="35"/>
        <v>0</v>
      </c>
      <c r="Q168" s="201">
        <f t="shared" si="36"/>
        <v>73.034210526315789</v>
      </c>
      <c r="R168" s="201">
        <f t="shared" si="37"/>
        <v>641.43157894736851</v>
      </c>
      <c r="S168" s="202">
        <f t="shared" si="38"/>
        <v>714.46578947368425</v>
      </c>
      <c r="T168" s="203"/>
      <c r="U168" s="204">
        <f t="shared" si="39"/>
        <v>265.20000000000005</v>
      </c>
      <c r="V168" s="204">
        <f t="shared" si="40"/>
        <v>228.15000000000003</v>
      </c>
      <c r="W168" s="204">
        <f t="shared" si="41"/>
        <v>221.11578947368423</v>
      </c>
      <c r="Y168" s="205">
        <f t="shared" si="42"/>
        <v>212.16000000000005</v>
      </c>
      <c r="Z168" s="205">
        <f t="shared" si="42"/>
        <v>182.52000000000004</v>
      </c>
      <c r="AA168" s="205">
        <f t="shared" si="42"/>
        <v>176.8926315789474</v>
      </c>
      <c r="AC168" t="s">
        <v>94</v>
      </c>
      <c r="AJ168">
        <v>265.20000000000005</v>
      </c>
      <c r="AK168" s="205">
        <f t="shared" si="43"/>
        <v>0</v>
      </c>
    </row>
    <row r="169" spans="1:37" x14ac:dyDescent="0.35">
      <c r="A169" s="197">
        <v>3303319</v>
      </c>
      <c r="B169" s="197">
        <v>3319</v>
      </c>
      <c r="C169" s="197" t="s">
        <v>61</v>
      </c>
      <c r="D169" s="198" t="s">
        <v>27</v>
      </c>
      <c r="E169" s="198"/>
      <c r="F169" s="197"/>
      <c r="G169" s="199">
        <v>180</v>
      </c>
      <c r="H169" s="199">
        <v>165</v>
      </c>
      <c r="I169" s="199">
        <v>30</v>
      </c>
      <c r="J169" s="199">
        <v>120</v>
      </c>
      <c r="K169" s="199">
        <v>210</v>
      </c>
      <c r="L169" s="199">
        <v>30</v>
      </c>
      <c r="M169" s="200">
        <v>151.57894736842104</v>
      </c>
      <c r="N169" s="200">
        <v>175.26315789473682</v>
      </c>
      <c r="O169" s="200">
        <v>28.421052631578945</v>
      </c>
      <c r="P169" s="201">
        <f t="shared" si="35"/>
        <v>3488.5578947368422</v>
      </c>
      <c r="Q169" s="201">
        <f t="shared" si="36"/>
        <v>2023.6657894736841</v>
      </c>
      <c r="R169" s="201">
        <f t="shared" si="37"/>
        <v>89.68421052631578</v>
      </c>
      <c r="S169" s="202">
        <f t="shared" si="38"/>
        <v>5601.9078947368416</v>
      </c>
      <c r="T169" s="203"/>
      <c r="U169" s="204">
        <f t="shared" si="39"/>
        <v>2080.6499999999996</v>
      </c>
      <c r="V169" s="204">
        <f t="shared" si="40"/>
        <v>1774.5</v>
      </c>
      <c r="W169" s="204">
        <f t="shared" si="41"/>
        <v>1746.757894736842</v>
      </c>
      <c r="Y169" s="205">
        <f t="shared" si="42"/>
        <v>1664.5199999999998</v>
      </c>
      <c r="Z169" s="205">
        <f t="shared" si="42"/>
        <v>1419.6000000000001</v>
      </c>
      <c r="AA169" s="205">
        <f t="shared" si="42"/>
        <v>1397.4063157894736</v>
      </c>
      <c r="AC169" t="s">
        <v>60</v>
      </c>
      <c r="AJ169">
        <v>2080.6499999999996</v>
      </c>
      <c r="AK169" s="205">
        <f t="shared" si="43"/>
        <v>0</v>
      </c>
    </row>
    <row r="170" spans="1:37" x14ac:dyDescent="0.35">
      <c r="A170" s="197">
        <v>3303322</v>
      </c>
      <c r="B170" s="197">
        <v>3322</v>
      </c>
      <c r="C170" s="197" t="s">
        <v>111</v>
      </c>
      <c r="D170" s="198" t="s">
        <v>27</v>
      </c>
      <c r="E170" s="198"/>
      <c r="F170" s="197"/>
      <c r="G170" s="199">
        <v>60</v>
      </c>
      <c r="H170" s="199">
        <v>45</v>
      </c>
      <c r="I170" s="199">
        <v>15</v>
      </c>
      <c r="J170" s="199">
        <v>15</v>
      </c>
      <c r="K170" s="199">
        <v>15</v>
      </c>
      <c r="L170" s="199">
        <v>0</v>
      </c>
      <c r="M170" s="200">
        <v>37.89473684210526</v>
      </c>
      <c r="N170" s="200">
        <v>28.421052631578945</v>
      </c>
      <c r="O170" s="200">
        <v>9.473684210526315</v>
      </c>
      <c r="P170" s="201">
        <f t="shared" si="35"/>
        <v>872.13947368421054</v>
      </c>
      <c r="Q170" s="201">
        <f t="shared" si="36"/>
        <v>325.10526315789468</v>
      </c>
      <c r="R170" s="201">
        <f t="shared" si="37"/>
        <v>24.694736842105264</v>
      </c>
      <c r="S170" s="202">
        <f t="shared" si="38"/>
        <v>1221.9394736842105</v>
      </c>
      <c r="T170" s="203"/>
      <c r="U170" s="204">
        <f t="shared" si="39"/>
        <v>661.05000000000007</v>
      </c>
      <c r="V170" s="204">
        <f t="shared" si="40"/>
        <v>175.5</v>
      </c>
      <c r="W170" s="204">
        <f t="shared" si="41"/>
        <v>385.38947368421054</v>
      </c>
      <c r="Y170" s="205">
        <f t="shared" si="42"/>
        <v>528.84</v>
      </c>
      <c r="Z170" s="205">
        <f t="shared" si="42"/>
        <v>140.4</v>
      </c>
      <c r="AA170" s="205">
        <f t="shared" si="42"/>
        <v>308.31157894736845</v>
      </c>
      <c r="AC170" t="s">
        <v>110</v>
      </c>
      <c r="AJ170">
        <v>661.05000000000007</v>
      </c>
      <c r="AK170" s="205">
        <f t="shared" si="43"/>
        <v>0</v>
      </c>
    </row>
    <row r="171" spans="1:37" x14ac:dyDescent="0.35">
      <c r="A171" s="197">
        <v>3303323</v>
      </c>
      <c r="B171" s="197">
        <v>3323</v>
      </c>
      <c r="C171" s="197" t="s">
        <v>354</v>
      </c>
      <c r="D171" s="198" t="s">
        <v>27</v>
      </c>
      <c r="E171" s="198"/>
      <c r="F171" s="197"/>
      <c r="G171" s="199">
        <v>180</v>
      </c>
      <c r="H171" s="199">
        <v>15</v>
      </c>
      <c r="I171" s="199">
        <v>45</v>
      </c>
      <c r="J171" s="199">
        <v>105</v>
      </c>
      <c r="K171" s="199">
        <v>0</v>
      </c>
      <c r="L171" s="199">
        <v>15</v>
      </c>
      <c r="M171" s="200">
        <v>146.84210526315789</v>
      </c>
      <c r="N171" s="200">
        <v>4.7368421052631575</v>
      </c>
      <c r="O171" s="200">
        <v>28.421052631578945</v>
      </c>
      <c r="P171" s="201">
        <f t="shared" si="35"/>
        <v>3334.9342105263154</v>
      </c>
      <c r="Q171" s="201">
        <f t="shared" si="36"/>
        <v>73.034210526315789</v>
      </c>
      <c r="R171" s="201">
        <f t="shared" si="37"/>
        <v>89.684210526315795</v>
      </c>
      <c r="S171" s="202">
        <f t="shared" si="38"/>
        <v>3497.652631578947</v>
      </c>
      <c r="T171" s="203"/>
      <c r="U171" s="204">
        <f t="shared" si="39"/>
        <v>1530.7499999999998</v>
      </c>
      <c r="V171" s="204">
        <f t="shared" si="40"/>
        <v>848.25</v>
      </c>
      <c r="W171" s="204">
        <f t="shared" si="41"/>
        <v>1118.6526315789472</v>
      </c>
      <c r="Y171" s="205">
        <f t="shared" si="42"/>
        <v>1224.5999999999999</v>
      </c>
      <c r="Z171" s="205">
        <f t="shared" si="42"/>
        <v>678.6</v>
      </c>
      <c r="AA171" s="205">
        <f t="shared" si="42"/>
        <v>894.92210526315785</v>
      </c>
      <c r="AC171" t="s">
        <v>156</v>
      </c>
      <c r="AJ171">
        <v>1530.7499999999998</v>
      </c>
      <c r="AK171" s="205">
        <f t="shared" si="43"/>
        <v>0</v>
      </c>
    </row>
    <row r="172" spans="1:37" x14ac:dyDescent="0.35">
      <c r="A172" s="197">
        <v>3303325</v>
      </c>
      <c r="B172" s="197">
        <v>3325</v>
      </c>
      <c r="C172" s="197" t="s">
        <v>355</v>
      </c>
      <c r="D172" s="198" t="s">
        <v>49</v>
      </c>
      <c r="E172" s="198"/>
      <c r="F172" s="197"/>
      <c r="G172" s="199">
        <v>15</v>
      </c>
      <c r="H172" s="199">
        <v>30</v>
      </c>
      <c r="I172" s="199">
        <v>195</v>
      </c>
      <c r="J172" s="199">
        <v>0</v>
      </c>
      <c r="K172" s="199">
        <v>0</v>
      </c>
      <c r="L172" s="199">
        <v>150</v>
      </c>
      <c r="M172" s="200">
        <v>9.473684210526315</v>
      </c>
      <c r="N172" s="200">
        <v>18.94736842105263</v>
      </c>
      <c r="O172" s="200">
        <v>161.05263157894737</v>
      </c>
      <c r="P172" s="201">
        <f t="shared" si="35"/>
        <v>188.29736842105262</v>
      </c>
      <c r="Q172" s="201">
        <f t="shared" si="36"/>
        <v>179.03684210526313</v>
      </c>
      <c r="R172" s="201">
        <f t="shared" si="37"/>
        <v>513.41052631578941</v>
      </c>
      <c r="S172" s="202">
        <f t="shared" si="38"/>
        <v>880.74473684210511</v>
      </c>
      <c r="T172" s="203"/>
      <c r="U172" s="204">
        <f t="shared" si="39"/>
        <v>434.85</v>
      </c>
      <c r="V172" s="204">
        <f t="shared" si="40"/>
        <v>156</v>
      </c>
      <c r="W172" s="204">
        <f t="shared" si="41"/>
        <v>289.89473684210532</v>
      </c>
      <c r="Y172" s="205">
        <f t="shared" si="42"/>
        <v>347.88000000000005</v>
      </c>
      <c r="Z172" s="205">
        <f t="shared" si="42"/>
        <v>124.80000000000001</v>
      </c>
      <c r="AA172" s="205">
        <f t="shared" si="42"/>
        <v>231.91578947368427</v>
      </c>
      <c r="AC172">
        <v>434.85</v>
      </c>
      <c r="AD172" s="205">
        <f>AC172-U172</f>
        <v>0</v>
      </c>
      <c r="AJ172">
        <v>434.85</v>
      </c>
      <c r="AK172" s="205">
        <f t="shared" si="43"/>
        <v>0</v>
      </c>
    </row>
    <row r="173" spans="1:37" x14ac:dyDescent="0.35">
      <c r="A173" s="197">
        <v>3303328</v>
      </c>
      <c r="B173" s="197">
        <v>3328</v>
      </c>
      <c r="C173" s="197" t="s">
        <v>356</v>
      </c>
      <c r="D173" s="198" t="s">
        <v>27</v>
      </c>
      <c r="E173" s="198"/>
      <c r="F173" s="197"/>
      <c r="G173" s="199">
        <v>90</v>
      </c>
      <c r="H173" s="199">
        <v>75</v>
      </c>
      <c r="I173" s="199">
        <v>60</v>
      </c>
      <c r="J173" s="199">
        <v>15</v>
      </c>
      <c r="K173" s="199">
        <v>30</v>
      </c>
      <c r="L173" s="199">
        <v>60</v>
      </c>
      <c r="M173" s="200">
        <v>66.315789473684205</v>
      </c>
      <c r="N173" s="200">
        <v>56.84210526315789</v>
      </c>
      <c r="O173" s="200">
        <v>56.84210526315789</v>
      </c>
      <c r="P173" s="201">
        <f t="shared" si="35"/>
        <v>1318.0815789473684</v>
      </c>
      <c r="Q173" s="201">
        <f t="shared" si="36"/>
        <v>593.66052631578941</v>
      </c>
      <c r="R173" s="201">
        <f t="shared" si="37"/>
        <v>179.36842105263156</v>
      </c>
      <c r="S173" s="202">
        <f t="shared" si="38"/>
        <v>2091.1105263157892</v>
      </c>
      <c r="T173" s="203"/>
      <c r="U173" s="204">
        <f t="shared" si="39"/>
        <v>1058.8499999999999</v>
      </c>
      <c r="V173" s="204">
        <f t="shared" si="40"/>
        <v>294.45</v>
      </c>
      <c r="W173" s="204">
        <f t="shared" si="41"/>
        <v>737.81052631578939</v>
      </c>
      <c r="Y173" s="205">
        <f t="shared" si="42"/>
        <v>847.07999999999993</v>
      </c>
      <c r="Z173" s="205">
        <f t="shared" si="42"/>
        <v>235.56</v>
      </c>
      <c r="AA173" s="205">
        <f t="shared" si="42"/>
        <v>590.24842105263156</v>
      </c>
      <c r="AC173" t="s">
        <v>120</v>
      </c>
      <c r="AJ173">
        <v>1058.8499999999999</v>
      </c>
      <c r="AK173" s="205">
        <f t="shared" si="43"/>
        <v>0</v>
      </c>
    </row>
    <row r="174" spans="1:37" x14ac:dyDescent="0.35">
      <c r="A174" s="197">
        <v>3303329</v>
      </c>
      <c r="B174" s="197">
        <v>3329</v>
      </c>
      <c r="C174" s="197" t="s">
        <v>209</v>
      </c>
      <c r="D174" s="198" t="s">
        <v>245</v>
      </c>
      <c r="E174" s="198"/>
      <c r="F174" s="197"/>
      <c r="G174" s="199">
        <v>0</v>
      </c>
      <c r="H174" s="199">
        <v>90</v>
      </c>
      <c r="I174" s="199">
        <v>270</v>
      </c>
      <c r="J174" s="199">
        <v>0</v>
      </c>
      <c r="K174" s="199">
        <v>60</v>
      </c>
      <c r="L174" s="199">
        <v>270</v>
      </c>
      <c r="M174" s="200">
        <v>0</v>
      </c>
      <c r="N174" s="200">
        <v>75.78947368421052</v>
      </c>
      <c r="O174" s="200">
        <v>260.52631578947364</v>
      </c>
      <c r="P174" s="201">
        <f t="shared" si="35"/>
        <v>0</v>
      </c>
      <c r="Q174" s="201">
        <f t="shared" si="36"/>
        <v>829.24736842105267</v>
      </c>
      <c r="R174" s="201">
        <f t="shared" si="37"/>
        <v>811.70526315789471</v>
      </c>
      <c r="S174" s="202">
        <f t="shared" si="38"/>
        <v>1640.9526315789474</v>
      </c>
      <c r="T174" s="203"/>
      <c r="U174" s="204">
        <f t="shared" si="39"/>
        <v>620.09999999999991</v>
      </c>
      <c r="V174" s="204">
        <f t="shared" si="40"/>
        <v>507</v>
      </c>
      <c r="W174" s="204">
        <f t="shared" si="41"/>
        <v>513.85263157894724</v>
      </c>
      <c r="Y174" s="205">
        <f t="shared" si="42"/>
        <v>496.07999999999993</v>
      </c>
      <c r="Z174" s="205">
        <f t="shared" si="42"/>
        <v>405.6</v>
      </c>
      <c r="AA174" s="205">
        <f t="shared" si="42"/>
        <v>411.08210526315781</v>
      </c>
      <c r="AC174" t="s">
        <v>208</v>
      </c>
      <c r="AJ174">
        <v>620.09999999999991</v>
      </c>
      <c r="AK174" s="205">
        <f t="shared" si="43"/>
        <v>0</v>
      </c>
    </row>
    <row r="175" spans="1:37" x14ac:dyDescent="0.35">
      <c r="A175" s="197">
        <v>3303330</v>
      </c>
      <c r="B175" s="197">
        <v>3330</v>
      </c>
      <c r="C175" s="197" t="s">
        <v>357</v>
      </c>
      <c r="D175" s="198" t="s">
        <v>49</v>
      </c>
      <c r="E175" s="198"/>
      <c r="F175" s="197"/>
      <c r="G175" s="199">
        <v>105</v>
      </c>
      <c r="H175" s="199">
        <v>75</v>
      </c>
      <c r="I175" s="199">
        <v>30</v>
      </c>
      <c r="J175" s="199">
        <v>135</v>
      </c>
      <c r="K175" s="199">
        <v>75</v>
      </c>
      <c r="L175" s="199">
        <v>45</v>
      </c>
      <c r="M175" s="200">
        <v>118.42105263157895</v>
      </c>
      <c r="N175" s="200">
        <v>71.05263157894737</v>
      </c>
      <c r="O175" s="200">
        <v>28.421052631578945</v>
      </c>
      <c r="P175" s="201">
        <f t="shared" si="35"/>
        <v>2770.0421052631577</v>
      </c>
      <c r="Q175" s="201">
        <f t="shared" si="36"/>
        <v>812.76315789473688</v>
      </c>
      <c r="R175" s="201">
        <f t="shared" si="37"/>
        <v>105.28421052631579</v>
      </c>
      <c r="S175" s="202">
        <f t="shared" si="38"/>
        <v>3688.0894736842101</v>
      </c>
      <c r="T175" s="203"/>
      <c r="U175" s="204">
        <f t="shared" si="39"/>
        <v>1146.6000000000001</v>
      </c>
      <c r="V175" s="204">
        <f t="shared" si="40"/>
        <v>1400.1</v>
      </c>
      <c r="W175" s="204">
        <f t="shared" si="41"/>
        <v>1141.3894736842103</v>
      </c>
      <c r="Y175" s="205">
        <f t="shared" si="42"/>
        <v>917.2800000000002</v>
      </c>
      <c r="Z175" s="205">
        <f t="shared" si="42"/>
        <v>1120.08</v>
      </c>
      <c r="AA175" s="205">
        <f t="shared" si="42"/>
        <v>913.11157894736834</v>
      </c>
      <c r="AC175">
        <v>1146.6000000000001</v>
      </c>
      <c r="AD175" s="205">
        <f>AC175-U175</f>
        <v>0</v>
      </c>
      <c r="AJ175">
        <v>1146.6000000000001</v>
      </c>
      <c r="AK175" s="205">
        <f t="shared" si="43"/>
        <v>0</v>
      </c>
    </row>
    <row r="176" spans="1:37" x14ac:dyDescent="0.35">
      <c r="A176" s="197">
        <v>3303331</v>
      </c>
      <c r="B176" s="197">
        <v>3331</v>
      </c>
      <c r="C176" s="197" t="s">
        <v>358</v>
      </c>
      <c r="D176" s="198" t="s">
        <v>27</v>
      </c>
      <c r="E176" s="198"/>
      <c r="F176" s="197"/>
      <c r="G176" s="199">
        <v>210</v>
      </c>
      <c r="H176" s="199">
        <v>15</v>
      </c>
      <c r="I176" s="199">
        <v>30</v>
      </c>
      <c r="J176" s="199">
        <v>120</v>
      </c>
      <c r="K176" s="199">
        <v>0</v>
      </c>
      <c r="L176" s="199">
        <v>30</v>
      </c>
      <c r="M176" s="200">
        <v>189.4736842105263</v>
      </c>
      <c r="N176" s="200">
        <v>9.473684210526315</v>
      </c>
      <c r="O176" s="200">
        <v>28.421052631578945</v>
      </c>
      <c r="P176" s="201">
        <f t="shared" si="35"/>
        <v>4003.8473684210526</v>
      </c>
      <c r="Q176" s="201">
        <f t="shared" si="36"/>
        <v>89.518421052631567</v>
      </c>
      <c r="R176" s="201">
        <f t="shared" si="37"/>
        <v>89.68421052631578</v>
      </c>
      <c r="S176" s="202">
        <f t="shared" si="38"/>
        <v>4183.05</v>
      </c>
      <c r="T176" s="203"/>
      <c r="U176" s="204">
        <f t="shared" si="39"/>
        <v>1753.05</v>
      </c>
      <c r="V176" s="204">
        <f t="shared" si="40"/>
        <v>982.80000000000007</v>
      </c>
      <c r="W176" s="204">
        <f t="shared" si="41"/>
        <v>1447.1999999999998</v>
      </c>
      <c r="Y176" s="205">
        <f t="shared" si="42"/>
        <v>1402.44</v>
      </c>
      <c r="Z176" s="205">
        <f t="shared" si="42"/>
        <v>786.24000000000012</v>
      </c>
      <c r="AA176" s="205">
        <f t="shared" si="42"/>
        <v>1157.76</v>
      </c>
      <c r="AC176" t="s">
        <v>140</v>
      </c>
      <c r="AJ176">
        <v>1753.05</v>
      </c>
      <c r="AK176" s="205">
        <f t="shared" si="43"/>
        <v>0</v>
      </c>
    </row>
    <row r="177" spans="1:37" x14ac:dyDescent="0.35">
      <c r="A177" s="197">
        <v>3303346</v>
      </c>
      <c r="B177" s="197">
        <v>3346</v>
      </c>
      <c r="C177" s="197" t="s">
        <v>213</v>
      </c>
      <c r="D177" s="198" t="s">
        <v>245</v>
      </c>
      <c r="E177" s="198"/>
      <c r="F177" s="197"/>
      <c r="G177" s="199">
        <v>90</v>
      </c>
      <c r="H177" s="199">
        <v>225</v>
      </c>
      <c r="I177" s="199">
        <v>0</v>
      </c>
      <c r="J177" s="199">
        <v>75</v>
      </c>
      <c r="K177" s="199">
        <v>225</v>
      </c>
      <c r="L177" s="199">
        <v>30</v>
      </c>
      <c r="M177" s="200">
        <v>80.526315789473685</v>
      </c>
      <c r="N177" s="200">
        <v>208.42105263157896</v>
      </c>
      <c r="O177" s="200">
        <v>9.473684210526315</v>
      </c>
      <c r="P177" s="201">
        <f t="shared" si="35"/>
        <v>1897.9026315789472</v>
      </c>
      <c r="Q177" s="201">
        <f t="shared" si="36"/>
        <v>2421.8052631578948</v>
      </c>
      <c r="R177" s="201">
        <f t="shared" si="37"/>
        <v>40.294736842105266</v>
      </c>
      <c r="S177" s="202">
        <f t="shared" si="38"/>
        <v>4360.0026315789473</v>
      </c>
      <c r="T177" s="203"/>
      <c r="U177" s="204">
        <f t="shared" si="39"/>
        <v>1561.9499999999998</v>
      </c>
      <c r="V177" s="204">
        <f t="shared" si="40"/>
        <v>1474.2</v>
      </c>
      <c r="W177" s="204">
        <f t="shared" si="41"/>
        <v>1323.8526315789472</v>
      </c>
      <c r="Y177" s="205">
        <f t="shared" si="42"/>
        <v>1249.56</v>
      </c>
      <c r="Z177" s="205">
        <f t="shared" si="42"/>
        <v>1179.3600000000001</v>
      </c>
      <c r="AA177" s="205">
        <f t="shared" si="42"/>
        <v>1059.0821052631579</v>
      </c>
      <c r="AC177" t="s">
        <v>212</v>
      </c>
      <c r="AJ177">
        <v>1561.9499999999998</v>
      </c>
      <c r="AK177" s="205">
        <f t="shared" si="43"/>
        <v>0</v>
      </c>
    </row>
    <row r="178" spans="1:37" x14ac:dyDescent="0.35">
      <c r="A178" s="197">
        <v>3303351</v>
      </c>
      <c r="B178" s="197">
        <v>3351</v>
      </c>
      <c r="C178" s="197" t="s">
        <v>359</v>
      </c>
      <c r="D178" s="198" t="s">
        <v>27</v>
      </c>
      <c r="E178" s="198"/>
      <c r="F178" s="197"/>
      <c r="G178" s="199">
        <v>45</v>
      </c>
      <c r="H178" s="199">
        <v>165</v>
      </c>
      <c r="I178" s="199">
        <v>60</v>
      </c>
      <c r="J178" s="199">
        <v>60</v>
      </c>
      <c r="K178" s="199">
        <v>135</v>
      </c>
      <c r="L178" s="199">
        <v>60</v>
      </c>
      <c r="M178" s="200">
        <v>47.368421052631575</v>
      </c>
      <c r="N178" s="200">
        <v>137.36842105263159</v>
      </c>
      <c r="O178" s="200">
        <v>56.84210526315789</v>
      </c>
      <c r="P178" s="201">
        <f t="shared" si="35"/>
        <v>1179.386842105263</v>
      </c>
      <c r="Q178" s="201">
        <f t="shared" si="36"/>
        <v>1609.042105263158</v>
      </c>
      <c r="R178" s="201">
        <f t="shared" si="37"/>
        <v>179.36842105263156</v>
      </c>
      <c r="S178" s="202">
        <f t="shared" si="38"/>
        <v>2967.7973684210524</v>
      </c>
      <c r="T178" s="203"/>
      <c r="U178" s="204">
        <f t="shared" si="39"/>
        <v>1041.3</v>
      </c>
      <c r="V178" s="204">
        <f t="shared" si="40"/>
        <v>1047.1500000000001</v>
      </c>
      <c r="W178" s="204">
        <f t="shared" si="41"/>
        <v>879.34736842105269</v>
      </c>
      <c r="Y178" s="205">
        <f t="shared" si="42"/>
        <v>833.04</v>
      </c>
      <c r="Z178" s="205">
        <f t="shared" si="42"/>
        <v>837.72000000000014</v>
      </c>
      <c r="AA178" s="205">
        <f t="shared" si="42"/>
        <v>703.47789473684225</v>
      </c>
      <c r="AC178" t="s">
        <v>118</v>
      </c>
      <c r="AJ178">
        <v>1041.3</v>
      </c>
      <c r="AK178" s="205">
        <f t="shared" si="43"/>
        <v>0</v>
      </c>
    </row>
    <row r="179" spans="1:37" x14ac:dyDescent="0.35">
      <c r="A179" s="197">
        <v>3303352</v>
      </c>
      <c r="B179" s="197">
        <v>3352</v>
      </c>
      <c r="C179" s="197" t="s">
        <v>360</v>
      </c>
      <c r="D179" s="198" t="s">
        <v>245</v>
      </c>
      <c r="E179" s="198"/>
      <c r="F179" s="197"/>
      <c r="G179" s="199">
        <v>0</v>
      </c>
      <c r="H179" s="199">
        <v>45</v>
      </c>
      <c r="I179" s="199">
        <v>60</v>
      </c>
      <c r="J179" s="199">
        <v>0</v>
      </c>
      <c r="K179" s="199">
        <v>30</v>
      </c>
      <c r="L179" s="199">
        <v>0</v>
      </c>
      <c r="M179" s="200">
        <v>0</v>
      </c>
      <c r="N179" s="200">
        <v>33.157894736842103</v>
      </c>
      <c r="O179" s="200">
        <v>37.89473684210526</v>
      </c>
      <c r="P179" s="201">
        <f t="shared" si="35"/>
        <v>0</v>
      </c>
      <c r="Q179" s="201">
        <f t="shared" si="36"/>
        <v>398.13947368421054</v>
      </c>
      <c r="R179" s="201">
        <f t="shared" si="37"/>
        <v>98.778947368421058</v>
      </c>
      <c r="S179" s="202">
        <f t="shared" si="38"/>
        <v>496.91842105263163</v>
      </c>
      <c r="T179" s="203"/>
      <c r="U179" s="204">
        <f t="shared" si="39"/>
        <v>232.04999999999998</v>
      </c>
      <c r="V179" s="204">
        <f t="shared" si="40"/>
        <v>113.1</v>
      </c>
      <c r="W179" s="204">
        <f t="shared" si="41"/>
        <v>151.76842105263157</v>
      </c>
      <c r="Y179" s="205">
        <f t="shared" si="42"/>
        <v>185.64</v>
      </c>
      <c r="Z179" s="205">
        <f t="shared" si="42"/>
        <v>90.48</v>
      </c>
      <c r="AA179" s="205">
        <f t="shared" si="42"/>
        <v>121.41473684210526</v>
      </c>
      <c r="AC179" t="s">
        <v>190</v>
      </c>
      <c r="AJ179">
        <v>232.04999999999998</v>
      </c>
      <c r="AK179" s="205">
        <f t="shared" si="43"/>
        <v>0</v>
      </c>
    </row>
    <row r="180" spans="1:37" x14ac:dyDescent="0.35">
      <c r="A180" s="197">
        <v>3303359</v>
      </c>
      <c r="B180" s="197">
        <v>3359</v>
      </c>
      <c r="C180" s="197" t="s">
        <v>403</v>
      </c>
      <c r="D180" s="198" t="s">
        <v>49</v>
      </c>
      <c r="E180" s="198"/>
      <c r="F180" s="197"/>
      <c r="G180" s="199">
        <v>0</v>
      </c>
      <c r="H180" s="199">
        <v>0</v>
      </c>
      <c r="I180" s="199">
        <v>0</v>
      </c>
      <c r="J180" s="199">
        <v>120</v>
      </c>
      <c r="K180" s="199">
        <v>75</v>
      </c>
      <c r="L180" s="199">
        <v>0</v>
      </c>
      <c r="M180" s="200">
        <v>61.578947368421055</v>
      </c>
      <c r="N180" s="200">
        <v>52.10526315789474</v>
      </c>
      <c r="O180" s="200">
        <v>4.7368421052631575</v>
      </c>
      <c r="P180" s="201">
        <f t="shared" si="35"/>
        <v>1402.3578947368421</v>
      </c>
      <c r="Q180" s="201">
        <f t="shared" si="36"/>
        <v>464.07631578947371</v>
      </c>
      <c r="R180" s="201">
        <f t="shared" si="37"/>
        <v>4.5473684210526315</v>
      </c>
      <c r="S180" s="202">
        <f t="shared" si="38"/>
        <v>1870.9815789473685</v>
      </c>
      <c r="T180" s="203"/>
      <c r="U180" s="204">
        <f t="shared" si="39"/>
        <v>0</v>
      </c>
      <c r="V180" s="204">
        <f t="shared" si="40"/>
        <v>1234.3499999999999</v>
      </c>
      <c r="W180" s="204">
        <f t="shared" si="41"/>
        <v>636.63157894736844</v>
      </c>
      <c r="Y180" s="205">
        <f t="shared" si="42"/>
        <v>0</v>
      </c>
      <c r="Z180" s="205">
        <f t="shared" si="42"/>
        <v>987.48</v>
      </c>
      <c r="AA180" s="205">
        <f t="shared" si="42"/>
        <v>509.30526315789479</v>
      </c>
      <c r="AC180">
        <v>0</v>
      </c>
      <c r="AD180" s="205">
        <f>AC180-U180</f>
        <v>0</v>
      </c>
      <c r="AJ180">
        <v>0</v>
      </c>
      <c r="AK180" s="205">
        <f t="shared" si="43"/>
        <v>0</v>
      </c>
    </row>
    <row r="181" spans="1:37" x14ac:dyDescent="0.35">
      <c r="A181" s="197">
        <v>3303361</v>
      </c>
      <c r="B181" s="197">
        <v>3361</v>
      </c>
      <c r="C181" s="197" t="s">
        <v>361</v>
      </c>
      <c r="D181" s="198" t="s">
        <v>27</v>
      </c>
      <c r="E181" s="198"/>
      <c r="F181" s="197"/>
      <c r="G181" s="199">
        <v>30</v>
      </c>
      <c r="H181" s="199">
        <v>135</v>
      </c>
      <c r="I181" s="199">
        <v>90</v>
      </c>
      <c r="J181" s="199">
        <v>75</v>
      </c>
      <c r="K181" s="199">
        <v>75</v>
      </c>
      <c r="L181" s="199">
        <v>30</v>
      </c>
      <c r="M181" s="200">
        <v>42.631578947368425</v>
      </c>
      <c r="N181" s="200">
        <v>108.94736842105263</v>
      </c>
      <c r="O181" s="200">
        <v>71.05263157894737</v>
      </c>
      <c r="P181" s="201">
        <f t="shared" si="35"/>
        <v>1144.7131578947369</v>
      </c>
      <c r="Q181" s="201">
        <f t="shared" si="36"/>
        <v>1170.8368421052633</v>
      </c>
      <c r="R181" s="201">
        <f t="shared" si="37"/>
        <v>193.01052631578949</v>
      </c>
      <c r="S181" s="202">
        <f t="shared" si="38"/>
        <v>2508.5605263157895</v>
      </c>
      <c r="T181" s="203"/>
      <c r="U181" s="204">
        <f t="shared" si="39"/>
        <v>840.45</v>
      </c>
      <c r="V181" s="204">
        <f t="shared" si="40"/>
        <v>908.7</v>
      </c>
      <c r="W181" s="204">
        <f t="shared" si="41"/>
        <v>759.41052631578941</v>
      </c>
      <c r="Y181" s="205">
        <f t="shared" si="42"/>
        <v>672.36000000000013</v>
      </c>
      <c r="Z181" s="205">
        <f t="shared" si="42"/>
        <v>726.96</v>
      </c>
      <c r="AA181" s="205">
        <f t="shared" si="42"/>
        <v>607.52842105263153</v>
      </c>
      <c r="AC181" t="s">
        <v>150</v>
      </c>
      <c r="AJ181">
        <v>840.45</v>
      </c>
      <c r="AK181" s="205">
        <f t="shared" si="43"/>
        <v>0</v>
      </c>
    </row>
    <row r="182" spans="1:37" x14ac:dyDescent="0.35">
      <c r="A182" s="197">
        <v>3303363</v>
      </c>
      <c r="B182" s="197">
        <v>3363</v>
      </c>
      <c r="C182" s="197" t="s">
        <v>362</v>
      </c>
      <c r="D182" s="198" t="s">
        <v>27</v>
      </c>
      <c r="E182" s="198"/>
      <c r="F182" s="197"/>
      <c r="G182" s="199">
        <v>30</v>
      </c>
      <c r="H182" s="199">
        <v>0</v>
      </c>
      <c r="I182" s="199">
        <v>30</v>
      </c>
      <c r="J182" s="199">
        <v>45</v>
      </c>
      <c r="K182" s="199">
        <v>0</v>
      </c>
      <c r="L182" s="199">
        <v>45</v>
      </c>
      <c r="M182" s="200">
        <v>33.157894736842103</v>
      </c>
      <c r="N182" s="200">
        <v>0</v>
      </c>
      <c r="O182" s="200">
        <v>33.157894736842103</v>
      </c>
      <c r="P182" s="201">
        <f t="shared" si="35"/>
        <v>837.46578947368414</v>
      </c>
      <c r="Q182" s="201">
        <f t="shared" si="36"/>
        <v>0</v>
      </c>
      <c r="R182" s="201">
        <f t="shared" si="37"/>
        <v>109.83157894736843</v>
      </c>
      <c r="S182" s="202">
        <f t="shared" si="38"/>
        <v>947.29736842105262</v>
      </c>
      <c r="T182" s="203"/>
      <c r="U182" s="204">
        <f t="shared" si="39"/>
        <v>269.10000000000002</v>
      </c>
      <c r="V182" s="204">
        <f t="shared" si="40"/>
        <v>403.65</v>
      </c>
      <c r="W182" s="204">
        <f t="shared" si="41"/>
        <v>274.54736842105257</v>
      </c>
      <c r="Y182" s="205">
        <f t="shared" si="42"/>
        <v>215.28000000000003</v>
      </c>
      <c r="Z182" s="205">
        <f t="shared" si="42"/>
        <v>322.92</v>
      </c>
      <c r="AA182" s="205">
        <f t="shared" si="42"/>
        <v>219.63789473684207</v>
      </c>
      <c r="AC182" t="s">
        <v>144</v>
      </c>
      <c r="AJ182">
        <v>269.10000000000002</v>
      </c>
      <c r="AK182" s="205">
        <f t="shared" si="43"/>
        <v>0</v>
      </c>
    </row>
    <row r="183" spans="1:37" x14ac:dyDescent="0.35">
      <c r="A183" s="197">
        <v>3303366</v>
      </c>
      <c r="B183" s="197">
        <v>3366</v>
      </c>
      <c r="C183" s="197" t="s">
        <v>363</v>
      </c>
      <c r="D183" s="198" t="s">
        <v>49</v>
      </c>
      <c r="E183" s="198"/>
      <c r="F183" s="197"/>
      <c r="G183" s="199">
        <v>90</v>
      </c>
      <c r="H183" s="199">
        <v>45</v>
      </c>
      <c r="I183" s="199">
        <v>0</v>
      </c>
      <c r="J183" s="199">
        <v>45</v>
      </c>
      <c r="K183" s="199">
        <v>30</v>
      </c>
      <c r="L183" s="199">
        <v>0</v>
      </c>
      <c r="M183" s="200">
        <v>71.05263157894737</v>
      </c>
      <c r="N183" s="200">
        <v>33.157894736842103</v>
      </c>
      <c r="O183" s="200">
        <v>0</v>
      </c>
      <c r="P183" s="201">
        <f t="shared" si="35"/>
        <v>1590.6552631578948</v>
      </c>
      <c r="Q183" s="201">
        <f t="shared" si="36"/>
        <v>398.13947368421054</v>
      </c>
      <c r="R183" s="201">
        <f t="shared" si="37"/>
        <v>0</v>
      </c>
      <c r="S183" s="202">
        <f t="shared" si="38"/>
        <v>1988.7947368421053</v>
      </c>
      <c r="T183" s="203"/>
      <c r="U183" s="204">
        <f t="shared" si="39"/>
        <v>883.34999999999991</v>
      </c>
      <c r="V183" s="204">
        <f t="shared" si="40"/>
        <v>469.94999999999993</v>
      </c>
      <c r="W183" s="204">
        <f t="shared" si="41"/>
        <v>635.49473684210534</v>
      </c>
      <c r="Y183" s="205">
        <f t="shared" si="42"/>
        <v>706.68</v>
      </c>
      <c r="Z183" s="205">
        <f t="shared" si="42"/>
        <v>375.96</v>
      </c>
      <c r="AA183" s="205">
        <f t="shared" si="42"/>
        <v>508.39578947368432</v>
      </c>
      <c r="AC183">
        <v>883.34999999999991</v>
      </c>
      <c r="AD183" s="205">
        <f>AC183-U183</f>
        <v>0</v>
      </c>
      <c r="AJ183">
        <v>883.34999999999991</v>
      </c>
      <c r="AK183" s="205">
        <f t="shared" si="43"/>
        <v>0</v>
      </c>
    </row>
    <row r="184" spans="1:37" x14ac:dyDescent="0.35">
      <c r="A184" s="197">
        <v>3303367</v>
      </c>
      <c r="B184" s="197">
        <v>3367</v>
      </c>
      <c r="C184" s="197" t="s">
        <v>364</v>
      </c>
      <c r="D184" s="198" t="s">
        <v>27</v>
      </c>
      <c r="E184" s="198"/>
      <c r="F184" s="197"/>
      <c r="G184" s="199">
        <v>225</v>
      </c>
      <c r="H184" s="199">
        <v>0</v>
      </c>
      <c r="I184" s="199">
        <v>75</v>
      </c>
      <c r="J184" s="199">
        <v>180</v>
      </c>
      <c r="K184" s="199">
        <v>30</v>
      </c>
      <c r="L184" s="199">
        <v>30</v>
      </c>
      <c r="M184" s="200">
        <v>198.9473684210526</v>
      </c>
      <c r="N184" s="200">
        <v>9.473684210526315</v>
      </c>
      <c r="O184" s="200">
        <v>56.84210526315789</v>
      </c>
      <c r="P184" s="201">
        <f t="shared" si="35"/>
        <v>4667.9447368421042</v>
      </c>
      <c r="Q184" s="201">
        <f t="shared" si="36"/>
        <v>146.06842105263158</v>
      </c>
      <c r="R184" s="201">
        <f t="shared" si="37"/>
        <v>163.7684210526316</v>
      </c>
      <c r="S184" s="202">
        <f t="shared" si="38"/>
        <v>4977.7815789473671</v>
      </c>
      <c r="T184" s="203"/>
      <c r="U184" s="204">
        <f t="shared" si="39"/>
        <v>1862.25</v>
      </c>
      <c r="V184" s="204">
        <f t="shared" si="40"/>
        <v>1571.6999999999998</v>
      </c>
      <c r="W184" s="204">
        <f t="shared" si="41"/>
        <v>1543.8315789473681</v>
      </c>
      <c r="Y184" s="205">
        <f t="shared" si="42"/>
        <v>1489.8000000000002</v>
      </c>
      <c r="Z184" s="205">
        <f t="shared" si="42"/>
        <v>1257.3599999999999</v>
      </c>
      <c r="AA184" s="205">
        <f t="shared" si="42"/>
        <v>1235.0652631578946</v>
      </c>
      <c r="AC184" t="s">
        <v>146</v>
      </c>
      <c r="AJ184">
        <v>1862.25</v>
      </c>
      <c r="AK184" s="205">
        <f t="shared" si="43"/>
        <v>0</v>
      </c>
    </row>
    <row r="185" spans="1:37" x14ac:dyDescent="0.35">
      <c r="A185" s="197">
        <v>3303372</v>
      </c>
      <c r="B185" s="197">
        <v>3372</v>
      </c>
      <c r="C185" s="197" t="s">
        <v>365</v>
      </c>
      <c r="D185" s="198" t="s">
        <v>27</v>
      </c>
      <c r="E185" s="198"/>
      <c r="F185" s="197"/>
      <c r="G185" s="199">
        <v>105</v>
      </c>
      <c r="H185" s="199">
        <v>90</v>
      </c>
      <c r="I185" s="199">
        <v>435</v>
      </c>
      <c r="J185" s="199">
        <v>120</v>
      </c>
      <c r="K185" s="199">
        <v>120</v>
      </c>
      <c r="L185" s="199">
        <v>270</v>
      </c>
      <c r="M185" s="200">
        <v>108.94736842105263</v>
      </c>
      <c r="N185" s="200">
        <v>94.73684210526315</v>
      </c>
      <c r="O185" s="200">
        <v>350.52631578947364</v>
      </c>
      <c r="P185" s="201">
        <f t="shared" si="35"/>
        <v>2581.7447368421053</v>
      </c>
      <c r="Q185" s="201">
        <f t="shared" si="36"/>
        <v>1121.3842105263157</v>
      </c>
      <c r="R185" s="201">
        <f t="shared" si="37"/>
        <v>1069.7052631578947</v>
      </c>
      <c r="S185" s="202">
        <f t="shared" si="38"/>
        <v>4772.8342105263155</v>
      </c>
      <c r="T185" s="203"/>
      <c r="U185" s="204">
        <f t="shared" si="39"/>
        <v>1624.35</v>
      </c>
      <c r="V185" s="204">
        <f t="shared" si="40"/>
        <v>1684.8</v>
      </c>
      <c r="W185" s="204">
        <f t="shared" si="41"/>
        <v>1463.6842105263158</v>
      </c>
      <c r="Y185" s="205">
        <f t="shared" si="42"/>
        <v>1299.48</v>
      </c>
      <c r="Z185" s="205">
        <f t="shared" si="42"/>
        <v>1347.8400000000001</v>
      </c>
      <c r="AA185" s="205">
        <f t="shared" si="42"/>
        <v>1170.9473684210527</v>
      </c>
      <c r="AC185" t="s">
        <v>138</v>
      </c>
      <c r="AJ185">
        <v>1624.35</v>
      </c>
      <c r="AK185" s="205">
        <f t="shared" si="43"/>
        <v>0</v>
      </c>
    </row>
    <row r="186" spans="1:37" x14ac:dyDescent="0.35">
      <c r="A186" s="197">
        <v>3303377</v>
      </c>
      <c r="B186" s="197">
        <v>3377</v>
      </c>
      <c r="C186" s="197" t="s">
        <v>366</v>
      </c>
      <c r="D186" s="198" t="s">
        <v>27</v>
      </c>
      <c r="E186" s="198"/>
      <c r="F186" s="197"/>
      <c r="G186" s="199">
        <v>195</v>
      </c>
      <c r="H186" s="199">
        <v>90</v>
      </c>
      <c r="I186" s="199">
        <v>0</v>
      </c>
      <c r="J186" s="199">
        <v>165</v>
      </c>
      <c r="K186" s="199">
        <v>30</v>
      </c>
      <c r="L186" s="199">
        <v>0</v>
      </c>
      <c r="M186" s="200">
        <v>156.31578947368422</v>
      </c>
      <c r="N186" s="200">
        <v>61.578947368421055</v>
      </c>
      <c r="O186" s="200">
        <v>0</v>
      </c>
      <c r="P186" s="201">
        <f t="shared" si="35"/>
        <v>3999.0315789473689</v>
      </c>
      <c r="Q186" s="201">
        <f t="shared" si="36"/>
        <v>666.69473684210527</v>
      </c>
      <c r="R186" s="201">
        <f t="shared" si="37"/>
        <v>0</v>
      </c>
      <c r="S186" s="202">
        <f t="shared" si="38"/>
        <v>4665.726315789474</v>
      </c>
      <c r="T186" s="203"/>
      <c r="U186" s="204">
        <f t="shared" si="39"/>
        <v>1885.65</v>
      </c>
      <c r="V186" s="204">
        <f t="shared" si="40"/>
        <v>1421.5499999999997</v>
      </c>
      <c r="W186" s="204">
        <f t="shared" si="41"/>
        <v>1358.5263157894738</v>
      </c>
      <c r="Y186" s="205">
        <f t="shared" si="42"/>
        <v>1508.5200000000002</v>
      </c>
      <c r="Z186" s="205">
        <f t="shared" si="42"/>
        <v>1137.2399999999998</v>
      </c>
      <c r="AA186" s="205">
        <f t="shared" si="42"/>
        <v>1086.8210526315791</v>
      </c>
      <c r="AC186" t="s">
        <v>148</v>
      </c>
      <c r="AJ186">
        <v>1885.65</v>
      </c>
      <c r="AK186" s="205">
        <f t="shared" si="43"/>
        <v>0</v>
      </c>
    </row>
    <row r="187" spans="1:37" x14ac:dyDescent="0.35">
      <c r="A187" s="197">
        <v>3303386</v>
      </c>
      <c r="B187" s="197">
        <v>3386</v>
      </c>
      <c r="C187" s="197" t="s">
        <v>143</v>
      </c>
      <c r="D187" s="198" t="s">
        <v>27</v>
      </c>
      <c r="E187" s="198"/>
      <c r="F187" s="197"/>
      <c r="G187" s="199">
        <v>75</v>
      </c>
      <c r="H187" s="199">
        <v>240</v>
      </c>
      <c r="I187" s="199">
        <v>75</v>
      </c>
      <c r="J187" s="199">
        <v>15</v>
      </c>
      <c r="K187" s="199">
        <v>255</v>
      </c>
      <c r="L187" s="199">
        <v>30</v>
      </c>
      <c r="M187" s="200">
        <v>47.368421052631575</v>
      </c>
      <c r="N187" s="200">
        <v>222.63157894736844</v>
      </c>
      <c r="O187" s="200">
        <v>56.84210526315789</v>
      </c>
      <c r="P187" s="201">
        <f t="shared" si="35"/>
        <v>1060.4368421052632</v>
      </c>
      <c r="Q187" s="201">
        <f t="shared" si="36"/>
        <v>2640.9078947368421</v>
      </c>
      <c r="R187" s="201">
        <f t="shared" si="37"/>
        <v>163.7684210526316</v>
      </c>
      <c r="S187" s="202">
        <f t="shared" si="38"/>
        <v>3865.113157894737</v>
      </c>
      <c r="T187" s="203"/>
      <c r="U187" s="204">
        <f t="shared" si="39"/>
        <v>1577.55</v>
      </c>
      <c r="V187" s="204">
        <f t="shared" si="40"/>
        <v>1111.5</v>
      </c>
      <c r="W187" s="204">
        <f t="shared" si="41"/>
        <v>1176.0631578947368</v>
      </c>
      <c r="Y187" s="205">
        <f t="shared" si="42"/>
        <v>1262.04</v>
      </c>
      <c r="Z187" s="205">
        <f t="shared" si="42"/>
        <v>889.2</v>
      </c>
      <c r="AA187" s="205">
        <f t="shared" si="42"/>
        <v>940.85052631578947</v>
      </c>
      <c r="AC187" t="s">
        <v>142</v>
      </c>
      <c r="AJ187">
        <v>1577.55</v>
      </c>
      <c r="AK187" s="205">
        <f t="shared" si="43"/>
        <v>0</v>
      </c>
    </row>
    <row r="188" spans="1:37" x14ac:dyDescent="0.35">
      <c r="A188" s="197">
        <v>3303406</v>
      </c>
      <c r="B188" s="197">
        <v>3406</v>
      </c>
      <c r="C188" s="197" t="s">
        <v>367</v>
      </c>
      <c r="D188" s="198" t="s">
        <v>245</v>
      </c>
      <c r="E188" s="198"/>
      <c r="F188" s="197"/>
      <c r="G188" s="199">
        <v>15</v>
      </c>
      <c r="H188" s="199">
        <v>120</v>
      </c>
      <c r="I188" s="199">
        <v>60</v>
      </c>
      <c r="J188" s="199">
        <v>15</v>
      </c>
      <c r="K188" s="199">
        <v>180</v>
      </c>
      <c r="L188" s="199">
        <v>45</v>
      </c>
      <c r="M188" s="200">
        <v>9.473684210526315</v>
      </c>
      <c r="N188" s="200">
        <v>137.36842105263159</v>
      </c>
      <c r="O188" s="200">
        <v>52.10526315789474</v>
      </c>
      <c r="P188" s="201">
        <f t="shared" si="35"/>
        <v>307.24736842105267</v>
      </c>
      <c r="Q188" s="201">
        <f t="shared" si="36"/>
        <v>1609.042105263158</v>
      </c>
      <c r="R188" s="201">
        <f t="shared" si="37"/>
        <v>159.22105263157897</v>
      </c>
      <c r="S188" s="202">
        <f t="shared" si="38"/>
        <v>2075.5105263157893</v>
      </c>
      <c r="T188" s="203"/>
      <c r="U188" s="204">
        <f t="shared" si="39"/>
        <v>633.75</v>
      </c>
      <c r="V188" s="204">
        <f t="shared" si="40"/>
        <v>844.34999999999991</v>
      </c>
      <c r="W188" s="204">
        <f t="shared" si="41"/>
        <v>597.41052631578953</v>
      </c>
      <c r="Y188" s="205">
        <f t="shared" si="42"/>
        <v>507</v>
      </c>
      <c r="Z188" s="205">
        <f t="shared" si="42"/>
        <v>675.48</v>
      </c>
      <c r="AA188" s="205">
        <f t="shared" si="42"/>
        <v>477.92842105263162</v>
      </c>
      <c r="AC188" t="s">
        <v>210</v>
      </c>
      <c r="AJ188">
        <v>633.75</v>
      </c>
      <c r="AK188" s="205">
        <f t="shared" si="43"/>
        <v>0</v>
      </c>
    </row>
    <row r="189" spans="1:37" x14ac:dyDescent="0.35">
      <c r="A189" s="197">
        <v>3303411</v>
      </c>
      <c r="B189" s="197">
        <v>3411</v>
      </c>
      <c r="C189" s="197" t="s">
        <v>368</v>
      </c>
      <c r="D189" s="198" t="s">
        <v>27</v>
      </c>
      <c r="E189" s="198"/>
      <c r="F189" s="197"/>
      <c r="G189" s="199">
        <v>510</v>
      </c>
      <c r="H189" s="199">
        <v>30</v>
      </c>
      <c r="I189" s="199">
        <v>30</v>
      </c>
      <c r="J189" s="199">
        <v>420</v>
      </c>
      <c r="K189" s="199">
        <v>45</v>
      </c>
      <c r="L189" s="199">
        <v>0</v>
      </c>
      <c r="M189" s="200">
        <v>440.52631578947364</v>
      </c>
      <c r="N189" s="200">
        <v>28.421052631578945</v>
      </c>
      <c r="O189" s="200">
        <v>18.94736842105263</v>
      </c>
      <c r="P189" s="201">
        <f t="shared" si="35"/>
        <v>10599.552631578947</v>
      </c>
      <c r="Q189" s="201">
        <f t="shared" si="36"/>
        <v>381.65526315789475</v>
      </c>
      <c r="R189" s="201">
        <f t="shared" si="37"/>
        <v>49.389473684210529</v>
      </c>
      <c r="S189" s="202">
        <f t="shared" si="38"/>
        <v>11030.597368421051</v>
      </c>
      <c r="T189" s="203"/>
      <c r="U189" s="204">
        <f t="shared" si="39"/>
        <v>4188.5999999999995</v>
      </c>
      <c r="V189" s="204">
        <f t="shared" si="40"/>
        <v>3500.25</v>
      </c>
      <c r="W189" s="204">
        <f t="shared" si="41"/>
        <v>3341.7473684210522</v>
      </c>
      <c r="Y189" s="205">
        <f t="shared" si="42"/>
        <v>3350.8799999999997</v>
      </c>
      <c r="Z189" s="205">
        <f t="shared" si="42"/>
        <v>2800.2000000000003</v>
      </c>
      <c r="AA189" s="205">
        <f t="shared" si="42"/>
        <v>2673.3978947368419</v>
      </c>
      <c r="AC189" t="s">
        <v>92</v>
      </c>
      <c r="AJ189">
        <v>4188.5999999999995</v>
      </c>
      <c r="AK189" s="205">
        <f t="shared" si="43"/>
        <v>0</v>
      </c>
    </row>
    <row r="190" spans="1:37" x14ac:dyDescent="0.35">
      <c r="A190" s="197">
        <v>3303412</v>
      </c>
      <c r="B190" s="197">
        <v>3412</v>
      </c>
      <c r="C190" s="197" t="s">
        <v>369</v>
      </c>
      <c r="D190" s="198" t="s">
        <v>49</v>
      </c>
      <c r="E190" s="198"/>
      <c r="F190" s="197"/>
      <c r="G190" s="199">
        <v>315</v>
      </c>
      <c r="H190" s="199">
        <v>390</v>
      </c>
      <c r="I190" s="199">
        <v>30</v>
      </c>
      <c r="J190" s="199">
        <v>195</v>
      </c>
      <c r="K190" s="199">
        <v>420</v>
      </c>
      <c r="L190" s="199">
        <v>30</v>
      </c>
      <c r="M190" s="200">
        <v>246.31578947368422</v>
      </c>
      <c r="N190" s="200">
        <v>374.21052631578948</v>
      </c>
      <c r="O190" s="200">
        <v>23.684210526315788</v>
      </c>
      <c r="P190" s="201">
        <f t="shared" si="35"/>
        <v>5847.3315789473691</v>
      </c>
      <c r="Q190" s="201">
        <f t="shared" si="36"/>
        <v>4355.9526315789471</v>
      </c>
      <c r="R190" s="201">
        <f t="shared" si="37"/>
        <v>85.136842105263156</v>
      </c>
      <c r="S190" s="202">
        <f t="shared" si="38"/>
        <v>10288.42105263158</v>
      </c>
      <c r="T190" s="203"/>
      <c r="U190" s="204">
        <f t="shared" si="39"/>
        <v>3999.45</v>
      </c>
      <c r="V190" s="204">
        <f t="shared" si="40"/>
        <v>3160.95</v>
      </c>
      <c r="W190" s="204">
        <f t="shared" si="41"/>
        <v>3128.0210526315791</v>
      </c>
      <c r="Y190" s="205">
        <f t="shared" si="42"/>
        <v>3199.56</v>
      </c>
      <c r="Z190" s="205">
        <f t="shared" si="42"/>
        <v>2528.7600000000002</v>
      </c>
      <c r="AA190" s="205">
        <f t="shared" si="42"/>
        <v>2502.4168421052636</v>
      </c>
      <c r="AC190">
        <v>3999.45</v>
      </c>
      <c r="AD190" s="205">
        <f>AC190-U190</f>
        <v>0</v>
      </c>
      <c r="AJ190">
        <v>3999.45</v>
      </c>
      <c r="AK190" s="205">
        <f t="shared" si="43"/>
        <v>0</v>
      </c>
    </row>
    <row r="191" spans="1:37" x14ac:dyDescent="0.35">
      <c r="A191" s="197">
        <v>3303428</v>
      </c>
      <c r="B191" s="197">
        <v>3428</v>
      </c>
      <c r="C191" s="197" t="s">
        <v>370</v>
      </c>
      <c r="D191" s="198" t="s">
        <v>27</v>
      </c>
      <c r="E191" s="198"/>
      <c r="F191" s="197"/>
      <c r="G191" s="199">
        <v>30</v>
      </c>
      <c r="H191" s="199">
        <v>45</v>
      </c>
      <c r="I191" s="199">
        <v>15</v>
      </c>
      <c r="J191" s="199">
        <v>15</v>
      </c>
      <c r="K191" s="199">
        <v>30</v>
      </c>
      <c r="L191" s="199">
        <v>15</v>
      </c>
      <c r="M191" s="200">
        <v>23.684210526315788</v>
      </c>
      <c r="N191" s="200">
        <v>42.631578947368425</v>
      </c>
      <c r="O191" s="200">
        <v>14.210526315789473</v>
      </c>
      <c r="P191" s="201">
        <f t="shared" si="35"/>
        <v>530.21842105263158</v>
      </c>
      <c r="Q191" s="201">
        <f t="shared" si="36"/>
        <v>431.10789473684213</v>
      </c>
      <c r="R191" s="201">
        <f t="shared" si="37"/>
        <v>44.84210526315789</v>
      </c>
      <c r="S191" s="202">
        <f t="shared" si="38"/>
        <v>1006.1684210526316</v>
      </c>
      <c r="T191" s="203"/>
      <c r="U191" s="204">
        <f t="shared" si="39"/>
        <v>423.15</v>
      </c>
      <c r="V191" s="204">
        <f t="shared" si="40"/>
        <v>247.65</v>
      </c>
      <c r="W191" s="204">
        <f t="shared" si="41"/>
        <v>335.36842105263156</v>
      </c>
      <c r="Y191" s="205">
        <f t="shared" si="42"/>
        <v>338.52</v>
      </c>
      <c r="Z191" s="205">
        <f t="shared" si="42"/>
        <v>198.12</v>
      </c>
      <c r="AA191" s="205">
        <f t="shared" si="42"/>
        <v>268.29473684210524</v>
      </c>
      <c r="AC191" t="s">
        <v>152</v>
      </c>
      <c r="AJ191">
        <v>423.15</v>
      </c>
      <c r="AK191" s="205">
        <f t="shared" si="43"/>
        <v>0</v>
      </c>
    </row>
    <row r="192" spans="1:37" x14ac:dyDescent="0.35">
      <c r="A192" s="197">
        <v>3303431</v>
      </c>
      <c r="B192" s="197">
        <v>3431</v>
      </c>
      <c r="C192" s="197" t="s">
        <v>199</v>
      </c>
      <c r="D192" s="198" t="s">
        <v>245</v>
      </c>
      <c r="E192" s="198"/>
      <c r="F192" s="197"/>
      <c r="G192" s="199">
        <v>120</v>
      </c>
      <c r="H192" s="199">
        <v>15</v>
      </c>
      <c r="I192" s="199">
        <v>15</v>
      </c>
      <c r="J192" s="199">
        <v>75</v>
      </c>
      <c r="K192" s="199">
        <v>15</v>
      </c>
      <c r="L192" s="199">
        <v>45</v>
      </c>
      <c r="M192" s="200">
        <v>90</v>
      </c>
      <c r="N192" s="200">
        <v>14.210526315789473</v>
      </c>
      <c r="O192" s="200">
        <v>23.684210526315788</v>
      </c>
      <c r="P192" s="201">
        <f t="shared" si="35"/>
        <v>2205.1499999999996</v>
      </c>
      <c r="Q192" s="201">
        <f t="shared" si="36"/>
        <v>162.55263157894734</v>
      </c>
      <c r="R192" s="201">
        <f t="shared" si="37"/>
        <v>85.136842105263156</v>
      </c>
      <c r="S192" s="202">
        <f t="shared" si="38"/>
        <v>2452.8394736842101</v>
      </c>
      <c r="T192" s="203"/>
      <c r="U192" s="204">
        <f t="shared" si="39"/>
        <v>1023.75</v>
      </c>
      <c r="V192" s="204">
        <f t="shared" si="40"/>
        <v>698.09999999999991</v>
      </c>
      <c r="W192" s="204">
        <f t="shared" si="41"/>
        <v>730.98947368421045</v>
      </c>
      <c r="Y192" s="205">
        <f t="shared" si="42"/>
        <v>819</v>
      </c>
      <c r="Z192" s="205">
        <f t="shared" si="42"/>
        <v>558.4799999999999</v>
      </c>
      <c r="AA192" s="205">
        <f t="shared" si="42"/>
        <v>584.79157894736841</v>
      </c>
      <c r="AC192" t="s">
        <v>198</v>
      </c>
      <c r="AJ192">
        <v>1023.75</v>
      </c>
      <c r="AK192" s="205">
        <f t="shared" si="43"/>
        <v>0</v>
      </c>
    </row>
    <row r="193" spans="1:37" x14ac:dyDescent="0.35">
      <c r="A193" s="197">
        <v>3303432</v>
      </c>
      <c r="B193" s="197">
        <v>3432</v>
      </c>
      <c r="C193" s="197" t="s">
        <v>63</v>
      </c>
      <c r="D193" s="198" t="s">
        <v>27</v>
      </c>
      <c r="E193" s="198"/>
      <c r="F193" s="197"/>
      <c r="G193" s="199">
        <v>405</v>
      </c>
      <c r="H193" s="199">
        <v>810</v>
      </c>
      <c r="I193" s="199">
        <v>135</v>
      </c>
      <c r="J193" s="199">
        <v>300</v>
      </c>
      <c r="K193" s="199">
        <v>565</v>
      </c>
      <c r="L193" s="199">
        <v>20</v>
      </c>
      <c r="M193" s="200">
        <v>331.57894736842104</v>
      </c>
      <c r="N193" s="200">
        <v>675.78947368421052</v>
      </c>
      <c r="O193" s="200">
        <v>77.368421052631589</v>
      </c>
      <c r="P193" s="201">
        <f t="shared" si="35"/>
        <v>8017.8078947368413</v>
      </c>
      <c r="Q193" s="201">
        <f t="shared" si="36"/>
        <v>7535.4973684210527</v>
      </c>
      <c r="R193" s="201">
        <f t="shared" si="37"/>
        <v>235.47368421052636</v>
      </c>
      <c r="S193" s="202">
        <f t="shared" si="38"/>
        <v>15788.778947368421</v>
      </c>
      <c r="T193" s="203"/>
      <c r="U193" s="204">
        <f t="shared" si="39"/>
        <v>6405.7499999999991</v>
      </c>
      <c r="V193" s="204">
        <f t="shared" si="40"/>
        <v>4529.8499999999995</v>
      </c>
      <c r="W193" s="204">
        <f t="shared" si="41"/>
        <v>4853.1789473684203</v>
      </c>
      <c r="Y193" s="205">
        <f t="shared" si="42"/>
        <v>5124.5999999999995</v>
      </c>
      <c r="Z193" s="205">
        <f t="shared" si="42"/>
        <v>3623.8799999999997</v>
      </c>
      <c r="AA193" s="205">
        <f t="shared" si="42"/>
        <v>3882.5431578947364</v>
      </c>
      <c r="AC193" t="s">
        <v>62</v>
      </c>
      <c r="AJ193">
        <v>6405.7499999999991</v>
      </c>
      <c r="AK193" s="205">
        <f t="shared" si="43"/>
        <v>0</v>
      </c>
    </row>
    <row r="194" spans="1:37" x14ac:dyDescent="0.35">
      <c r="A194" s="197">
        <v>3303433</v>
      </c>
      <c r="B194" s="197">
        <v>3433</v>
      </c>
      <c r="C194" s="197" t="s">
        <v>371</v>
      </c>
      <c r="D194" s="198" t="s">
        <v>49</v>
      </c>
      <c r="E194" s="198"/>
      <c r="F194" s="197"/>
      <c r="G194" s="199">
        <v>195</v>
      </c>
      <c r="H194" s="199">
        <v>60</v>
      </c>
      <c r="I194" s="199">
        <v>90</v>
      </c>
      <c r="J194" s="199">
        <v>120</v>
      </c>
      <c r="K194" s="199">
        <v>45</v>
      </c>
      <c r="L194" s="199">
        <v>135</v>
      </c>
      <c r="M194" s="200">
        <v>161.05263157894737</v>
      </c>
      <c r="N194" s="200">
        <v>52.10526315789474</v>
      </c>
      <c r="O194" s="200">
        <v>104.21052631578948</v>
      </c>
      <c r="P194" s="201">
        <f t="shared" si="35"/>
        <v>3676.855263157895</v>
      </c>
      <c r="Q194" s="201">
        <f t="shared" si="36"/>
        <v>577.17631578947362</v>
      </c>
      <c r="R194" s="201">
        <f t="shared" si="37"/>
        <v>334.04210526315791</v>
      </c>
      <c r="S194" s="202">
        <f t="shared" si="38"/>
        <v>4588.0736842105271</v>
      </c>
      <c r="T194" s="203"/>
      <c r="U194" s="204">
        <f t="shared" si="39"/>
        <v>1866.15</v>
      </c>
      <c r="V194" s="204">
        <f t="shared" si="40"/>
        <v>1261.6500000000001</v>
      </c>
      <c r="W194" s="204">
        <f t="shared" si="41"/>
        <v>1460.2736842105264</v>
      </c>
      <c r="Y194" s="205">
        <f t="shared" si="42"/>
        <v>1492.92</v>
      </c>
      <c r="Z194" s="205">
        <f t="shared" si="42"/>
        <v>1009.3200000000002</v>
      </c>
      <c r="AA194" s="205">
        <f t="shared" si="42"/>
        <v>1168.2189473684211</v>
      </c>
      <c r="AC194">
        <v>1866.15</v>
      </c>
      <c r="AD194" s="205">
        <f t="shared" ref="AD194:AD198" si="49">AC194-U194</f>
        <v>0</v>
      </c>
      <c r="AJ194">
        <v>1866.15</v>
      </c>
      <c r="AK194" s="205">
        <f t="shared" si="43"/>
        <v>0</v>
      </c>
    </row>
    <row r="195" spans="1:37" x14ac:dyDescent="0.35">
      <c r="A195" s="197">
        <v>3304001</v>
      </c>
      <c r="B195" s="197">
        <v>4001</v>
      </c>
      <c r="C195" s="197" t="s">
        <v>372</v>
      </c>
      <c r="D195" s="198" t="s">
        <v>49</v>
      </c>
      <c r="E195" s="198"/>
      <c r="F195" s="197"/>
      <c r="G195" s="199">
        <v>270</v>
      </c>
      <c r="H195" s="199">
        <v>90</v>
      </c>
      <c r="I195" s="199">
        <v>0</v>
      </c>
      <c r="J195" s="199">
        <v>180</v>
      </c>
      <c r="K195" s="199">
        <v>105</v>
      </c>
      <c r="L195" s="199">
        <v>0</v>
      </c>
      <c r="M195" s="200">
        <v>222.63157894736844</v>
      </c>
      <c r="N195" s="200">
        <v>85.26315789473685</v>
      </c>
      <c r="O195" s="200">
        <v>0</v>
      </c>
      <c r="P195" s="201">
        <f t="shared" si="35"/>
        <v>5198.1631578947372</v>
      </c>
      <c r="Q195" s="201">
        <f t="shared" si="36"/>
        <v>1031.8657894736841</v>
      </c>
      <c r="R195" s="201">
        <f t="shared" si="37"/>
        <v>0</v>
      </c>
      <c r="S195" s="202">
        <f t="shared" si="38"/>
        <v>6230.0289473684215</v>
      </c>
      <c r="T195" s="203"/>
      <c r="U195" s="204">
        <f t="shared" si="39"/>
        <v>2480.3999999999996</v>
      </c>
      <c r="V195" s="204">
        <f t="shared" si="40"/>
        <v>1823.2499999999998</v>
      </c>
      <c r="W195" s="204">
        <f t="shared" si="41"/>
        <v>1926.3789473684214</v>
      </c>
      <c r="Y195" s="205">
        <f t="shared" si="42"/>
        <v>1984.3199999999997</v>
      </c>
      <c r="Z195" s="205">
        <f t="shared" si="42"/>
        <v>1458.6</v>
      </c>
      <c r="AA195" s="205">
        <f t="shared" si="42"/>
        <v>1541.1031578947373</v>
      </c>
      <c r="AC195">
        <v>2480.3999999999996</v>
      </c>
      <c r="AD195" s="205">
        <f t="shared" si="49"/>
        <v>0</v>
      </c>
      <c r="AJ195">
        <v>2480.3999999999996</v>
      </c>
      <c r="AK195" s="205">
        <f t="shared" si="43"/>
        <v>0</v>
      </c>
    </row>
    <row r="196" spans="1:37" x14ac:dyDescent="0.35">
      <c r="A196" s="197">
        <v>3304019</v>
      </c>
      <c r="B196" s="197">
        <v>4019</v>
      </c>
      <c r="C196" s="197" t="s">
        <v>373</v>
      </c>
      <c r="D196" s="198" t="s">
        <v>49</v>
      </c>
      <c r="E196" s="198"/>
      <c r="F196" s="197"/>
      <c r="G196" s="199">
        <v>0</v>
      </c>
      <c r="H196" s="199">
        <v>0</v>
      </c>
      <c r="I196" s="199">
        <v>945</v>
      </c>
      <c r="J196" s="199">
        <v>0</v>
      </c>
      <c r="K196" s="199">
        <v>15</v>
      </c>
      <c r="L196" s="199">
        <v>600</v>
      </c>
      <c r="M196" s="200">
        <v>4.7368421052631575</v>
      </c>
      <c r="N196" s="200">
        <v>4.7368421052631575</v>
      </c>
      <c r="O196" s="200">
        <v>696.31578947368416</v>
      </c>
      <c r="P196" s="201">
        <f t="shared" si="35"/>
        <v>34.673684210526318</v>
      </c>
      <c r="Q196" s="201">
        <f t="shared" si="36"/>
        <v>73.034210526315789</v>
      </c>
      <c r="R196" s="201">
        <f t="shared" si="37"/>
        <v>2275.2631578947371</v>
      </c>
      <c r="S196" s="202">
        <f t="shared" si="38"/>
        <v>2382.9710526315794</v>
      </c>
      <c r="T196" s="203"/>
      <c r="U196" s="204">
        <f t="shared" si="39"/>
        <v>982.80000000000007</v>
      </c>
      <c r="V196" s="204">
        <f t="shared" si="40"/>
        <v>680.55</v>
      </c>
      <c r="W196" s="204">
        <f t="shared" si="41"/>
        <v>719.62105263157889</v>
      </c>
      <c r="Y196" s="205">
        <f t="shared" si="42"/>
        <v>786.24000000000012</v>
      </c>
      <c r="Z196" s="205">
        <f t="shared" si="42"/>
        <v>544.43999999999994</v>
      </c>
      <c r="AA196" s="205">
        <f t="shared" si="42"/>
        <v>575.69684210526316</v>
      </c>
      <c r="AC196">
        <v>982.80000000000007</v>
      </c>
      <c r="AD196" s="205">
        <f t="shared" si="49"/>
        <v>0</v>
      </c>
      <c r="AJ196">
        <v>982.80000000000007</v>
      </c>
      <c r="AK196" s="205">
        <f t="shared" si="43"/>
        <v>0</v>
      </c>
    </row>
    <row r="197" spans="1:37" x14ac:dyDescent="0.35">
      <c r="A197" s="197">
        <v>3304038</v>
      </c>
      <c r="B197" s="197">
        <v>4038</v>
      </c>
      <c r="C197" s="197" t="s">
        <v>374</v>
      </c>
      <c r="D197" s="198" t="s">
        <v>49</v>
      </c>
      <c r="E197" s="198"/>
      <c r="F197" s="197"/>
      <c r="G197" s="199">
        <v>210</v>
      </c>
      <c r="H197" s="199">
        <v>405</v>
      </c>
      <c r="I197" s="199">
        <v>1140</v>
      </c>
      <c r="J197" s="199">
        <v>120</v>
      </c>
      <c r="K197" s="199">
        <v>360</v>
      </c>
      <c r="L197" s="199">
        <v>855</v>
      </c>
      <c r="M197" s="200">
        <v>170.5263157894737</v>
      </c>
      <c r="N197" s="200">
        <v>369.47368421052636</v>
      </c>
      <c r="O197" s="200">
        <v>947.36842105263156</v>
      </c>
      <c r="P197" s="201">
        <f t="shared" si="35"/>
        <v>3865.1526315789474</v>
      </c>
      <c r="Q197" s="201">
        <f t="shared" si="36"/>
        <v>4169.8184210526315</v>
      </c>
      <c r="R197" s="201">
        <f t="shared" si="37"/>
        <v>2984.2736842105264</v>
      </c>
      <c r="S197" s="202">
        <f t="shared" si="38"/>
        <v>11019.244736842105</v>
      </c>
      <c r="T197" s="203"/>
      <c r="U197" s="204">
        <f t="shared" si="39"/>
        <v>4377.75</v>
      </c>
      <c r="V197" s="204">
        <f t="shared" si="40"/>
        <v>3198</v>
      </c>
      <c r="W197" s="204">
        <f t="shared" si="41"/>
        <v>3443.4947368421049</v>
      </c>
      <c r="Y197" s="205">
        <f t="shared" si="42"/>
        <v>3502.2000000000003</v>
      </c>
      <c r="Z197" s="205">
        <f t="shared" si="42"/>
        <v>2558.4</v>
      </c>
      <c r="AA197" s="205">
        <f t="shared" si="42"/>
        <v>2754.7957894736842</v>
      </c>
      <c r="AC197">
        <v>4377.75</v>
      </c>
      <c r="AD197" s="205">
        <f t="shared" si="49"/>
        <v>0</v>
      </c>
      <c r="AJ197">
        <v>4377.75</v>
      </c>
      <c r="AK197" s="205">
        <f t="shared" si="43"/>
        <v>0</v>
      </c>
    </row>
    <row r="198" spans="1:37" x14ac:dyDescent="0.35">
      <c r="A198" s="197">
        <v>3305201</v>
      </c>
      <c r="B198" s="197">
        <v>5201</v>
      </c>
      <c r="C198" s="197" t="s">
        <v>375</v>
      </c>
      <c r="D198" s="198" t="s">
        <v>49</v>
      </c>
      <c r="E198" s="198"/>
      <c r="F198" s="197"/>
      <c r="G198" s="199">
        <v>0</v>
      </c>
      <c r="H198" s="199">
        <v>0</v>
      </c>
      <c r="I198" s="199">
        <v>0</v>
      </c>
      <c r="J198" s="199">
        <v>0</v>
      </c>
      <c r="K198" s="199">
        <v>0</v>
      </c>
      <c r="L198" s="199">
        <v>15</v>
      </c>
      <c r="M198" s="200">
        <v>0</v>
      </c>
      <c r="N198" s="200">
        <v>0</v>
      </c>
      <c r="O198" s="200">
        <v>4.7368421052631575</v>
      </c>
      <c r="P198" s="201">
        <f t="shared" si="35"/>
        <v>0</v>
      </c>
      <c r="Q198" s="201">
        <f t="shared" si="36"/>
        <v>0</v>
      </c>
      <c r="R198" s="201">
        <f t="shared" si="37"/>
        <v>20.147368421052633</v>
      </c>
      <c r="S198" s="202">
        <f t="shared" si="38"/>
        <v>20.147368421052633</v>
      </c>
      <c r="T198" s="203"/>
      <c r="U198" s="204">
        <f t="shared" si="39"/>
        <v>0</v>
      </c>
      <c r="V198" s="204">
        <f t="shared" si="40"/>
        <v>15.6</v>
      </c>
      <c r="W198" s="204">
        <f t="shared" si="41"/>
        <v>4.5473684210526315</v>
      </c>
      <c r="Y198" s="205">
        <f t="shared" si="42"/>
        <v>0</v>
      </c>
      <c r="Z198" s="205">
        <f t="shared" si="42"/>
        <v>12.48</v>
      </c>
      <c r="AA198" s="205">
        <f t="shared" si="42"/>
        <v>3.6378947368421053</v>
      </c>
      <c r="AC198">
        <v>0</v>
      </c>
      <c r="AD198" s="205">
        <f t="shared" si="49"/>
        <v>0</v>
      </c>
      <c r="AJ198">
        <v>0</v>
      </c>
      <c r="AK198" s="205">
        <f t="shared" si="43"/>
        <v>0</v>
      </c>
    </row>
    <row r="199" spans="1:37" x14ac:dyDescent="0.35">
      <c r="A199" s="197">
        <v>3305203</v>
      </c>
      <c r="B199" s="197">
        <v>5203</v>
      </c>
      <c r="C199" s="197" t="s">
        <v>159</v>
      </c>
      <c r="D199" s="198" t="s">
        <v>27</v>
      </c>
      <c r="E199" s="198"/>
      <c r="F199" s="197"/>
      <c r="G199" s="199">
        <v>30</v>
      </c>
      <c r="H199" s="199">
        <v>0</v>
      </c>
      <c r="I199" s="199">
        <v>30</v>
      </c>
      <c r="J199" s="199">
        <v>0</v>
      </c>
      <c r="K199" s="199">
        <v>0</v>
      </c>
      <c r="L199" s="199">
        <v>30</v>
      </c>
      <c r="M199" s="200">
        <v>18.94736842105263</v>
      </c>
      <c r="N199" s="200">
        <v>0</v>
      </c>
      <c r="O199" s="200">
        <v>28.421052631578945</v>
      </c>
      <c r="P199" s="201">
        <f t="shared" si="35"/>
        <v>376.59473684210525</v>
      </c>
      <c r="Q199" s="201">
        <f t="shared" si="36"/>
        <v>0</v>
      </c>
      <c r="R199" s="201">
        <f t="shared" si="37"/>
        <v>89.68421052631578</v>
      </c>
      <c r="S199" s="202">
        <f t="shared" si="38"/>
        <v>466.27894736842103</v>
      </c>
      <c r="T199" s="203"/>
      <c r="U199" s="204">
        <f t="shared" si="39"/>
        <v>269.10000000000002</v>
      </c>
      <c r="V199" s="204">
        <f t="shared" si="40"/>
        <v>31.2</v>
      </c>
      <c r="W199" s="204">
        <f t="shared" si="41"/>
        <v>165.97894736842107</v>
      </c>
      <c r="Y199" s="205">
        <f t="shared" si="42"/>
        <v>215.28000000000003</v>
      </c>
      <c r="Z199" s="205">
        <f t="shared" si="42"/>
        <v>24.96</v>
      </c>
      <c r="AA199" s="205">
        <f t="shared" si="42"/>
        <v>132.78315789473686</v>
      </c>
      <c r="AC199" t="s">
        <v>158</v>
      </c>
      <c r="AJ199">
        <v>269.10000000000002</v>
      </c>
      <c r="AK199" s="205">
        <f t="shared" si="43"/>
        <v>0</v>
      </c>
    </row>
    <row r="200" spans="1:37" x14ac:dyDescent="0.35">
      <c r="A200" s="197">
        <v>3305205</v>
      </c>
      <c r="B200" s="197">
        <v>5205</v>
      </c>
      <c r="C200" s="197" t="s">
        <v>376</v>
      </c>
      <c r="D200" s="198" t="s">
        <v>49</v>
      </c>
      <c r="E200" s="198"/>
      <c r="F200" s="197"/>
      <c r="G200" s="199">
        <v>15</v>
      </c>
      <c r="H200" s="199">
        <v>15</v>
      </c>
      <c r="I200" s="199">
        <v>45</v>
      </c>
      <c r="J200" s="199">
        <v>30</v>
      </c>
      <c r="K200" s="199">
        <v>15</v>
      </c>
      <c r="L200" s="199">
        <v>45</v>
      </c>
      <c r="M200" s="200">
        <v>18.94736842105263</v>
      </c>
      <c r="N200" s="200">
        <v>14.210526315789473</v>
      </c>
      <c r="O200" s="200">
        <v>42.631578947368425</v>
      </c>
      <c r="P200" s="201">
        <f t="shared" si="35"/>
        <v>495.54473684210529</v>
      </c>
      <c r="Q200" s="201">
        <f t="shared" si="36"/>
        <v>162.55263157894734</v>
      </c>
      <c r="R200" s="201">
        <f t="shared" si="37"/>
        <v>134.5263157894737</v>
      </c>
      <c r="S200" s="202">
        <f t="shared" si="38"/>
        <v>792.62368421052633</v>
      </c>
      <c r="T200" s="203"/>
      <c r="U200" s="204">
        <f t="shared" si="39"/>
        <v>222.3</v>
      </c>
      <c r="V200" s="204">
        <f t="shared" si="40"/>
        <v>341.25</v>
      </c>
      <c r="W200" s="204">
        <f t="shared" si="41"/>
        <v>229.07368421052632</v>
      </c>
      <c r="Y200" s="205">
        <f t="shared" si="42"/>
        <v>177.84000000000003</v>
      </c>
      <c r="Z200" s="205">
        <f t="shared" si="42"/>
        <v>273</v>
      </c>
      <c r="AA200" s="205">
        <f t="shared" si="42"/>
        <v>183.25894736842108</v>
      </c>
      <c r="AC200">
        <v>222.3</v>
      </c>
      <c r="AD200" s="205">
        <f>AC200-U200</f>
        <v>0</v>
      </c>
      <c r="AJ200">
        <v>222.3</v>
      </c>
      <c r="AK200" s="205">
        <f t="shared" si="43"/>
        <v>0</v>
      </c>
    </row>
    <row r="201" spans="1:37" x14ac:dyDescent="0.35">
      <c r="A201" s="208">
        <v>200</v>
      </c>
      <c r="B201" s="197">
        <v>200</v>
      </c>
      <c r="C201" s="209" t="s">
        <v>536</v>
      </c>
      <c r="D201" s="198"/>
      <c r="E201" s="209"/>
      <c r="F201" s="209"/>
      <c r="G201" s="209">
        <f t="shared" ref="G201:O201" si="50">SUM(G11:G200)</f>
        <v>32204</v>
      </c>
      <c r="H201" s="209">
        <f t="shared" si="50"/>
        <v>28077</v>
      </c>
      <c r="I201" s="209">
        <f t="shared" si="50"/>
        <v>35332</v>
      </c>
      <c r="J201" s="209">
        <f t="shared" si="50"/>
        <v>24465</v>
      </c>
      <c r="K201" s="209">
        <f t="shared" si="50"/>
        <v>21970</v>
      </c>
      <c r="L201" s="209">
        <f t="shared" si="50"/>
        <v>28739</v>
      </c>
      <c r="M201" s="209">
        <f t="shared" si="50"/>
        <v>25924.105263157911</v>
      </c>
      <c r="N201" s="209">
        <f t="shared" si="50"/>
        <v>23306.526315789491</v>
      </c>
      <c r="O201" s="209">
        <f t="shared" si="50"/>
        <v>30007.263157894758</v>
      </c>
      <c r="P201" s="210">
        <f>SUM(P11:P200)</f>
        <v>639149.62052631599</v>
      </c>
      <c r="Q201" s="210">
        <f t="shared" ref="Q201:S201" si="51">SUM(Q11:Q200)</f>
        <v>269783.90157894755</v>
      </c>
      <c r="R201" s="210">
        <f t="shared" si="51"/>
        <v>95440.812631578956</v>
      </c>
      <c r="S201" s="210">
        <f t="shared" si="51"/>
        <v>1004374.334736842</v>
      </c>
      <c r="T201" s="210"/>
      <c r="U201" s="210">
        <f>SUM(U11:U200)</f>
        <v>397791.93999999971</v>
      </c>
      <c r="V201" s="210">
        <f>SUM(V11:V200)</f>
        <v>306722.90999999997</v>
      </c>
      <c r="W201" s="210">
        <f>SUM(W11:W200)</f>
        <v>299678.13473684213</v>
      </c>
      <c r="Y201" s="210">
        <f>SUM(Y11:Y200)</f>
        <v>318233.55200000008</v>
      </c>
      <c r="Z201" s="210">
        <f>SUM(Z11:Z200)</f>
        <v>245378.32800000015</v>
      </c>
      <c r="AA201" s="210">
        <f>SUM(AA11:AA200)</f>
        <v>239742.50778947363</v>
      </c>
      <c r="AC201">
        <v>0</v>
      </c>
    </row>
    <row r="202" spans="1:37" x14ac:dyDescent="0.35">
      <c r="D202" s="198"/>
      <c r="G202" s="211">
        <v>32264</v>
      </c>
      <c r="H202" s="211">
        <v>28167</v>
      </c>
      <c r="I202" s="211">
        <v>35362</v>
      </c>
      <c r="M202" s="200"/>
      <c r="U202" s="204"/>
      <c r="V202" s="212"/>
      <c r="W202" s="212"/>
      <c r="AC202">
        <v>0</v>
      </c>
    </row>
    <row r="203" spans="1:37" x14ac:dyDescent="0.35">
      <c r="AJ203" s="213"/>
    </row>
    <row r="204" spans="1:37" x14ac:dyDescent="0.35">
      <c r="U204" s="213">
        <f>SUMIFS(U11:U200,$D$11:$D$200,"Chq Bk")+SUMIFS(U11:U200,$D$11:$D$200,"Non Chq Bk")+SUMIFS(U11:U200,$D$11:$D$200,"EPA")-U111</f>
        <v>259787.06</v>
      </c>
      <c r="X204" t="s">
        <v>384</v>
      </c>
      <c r="Y204" s="205">
        <f>SUMIFS(Y11:Y200,$D$11:$D$200,"Chq Bk")+SUMIFS(Y11:Y200,$D$11:$D$200,"Non Chq Bk")+SUMIFS(Y11:Y200,$D$11:$D$200,"EPA")-Y111</f>
        <v>207829.64799999999</v>
      </c>
      <c r="Z204" s="205">
        <f t="shared" ref="Z204:AA204" si="52">SUMIFS(Z11:Z200,$D$11:$D$200,"Chq Bk")+SUMIFS(Z11:Z200,$D$11:$D$200,"Non Chq Bk")+SUMIFS(Z11:Z200,$D$11:$D$200,"EPA")</f>
        <v>158973.35999999999</v>
      </c>
      <c r="AA204" s="205">
        <f t="shared" si="52"/>
        <v>152989.78357894733</v>
      </c>
      <c r="AJ204" s="213">
        <f>SUMIFS(AJ11:AJ200,$D$11:$D$200,"Chq Bk")+SUMIFS(AJ11:AJ200,$D$11:$D$200,"Non Chq Bk")+SUMIFS(AJ11:AJ200,$D$11:$D$200,"EPA")-AJ111</f>
        <v>258546.86</v>
      </c>
    </row>
    <row r="205" spans="1:37" x14ac:dyDescent="0.35">
      <c r="U205" s="213">
        <f>SUMIFS(U11:U200,$D$11:$D$200,$X$205)</f>
        <v>138004.88000000003</v>
      </c>
      <c r="V205" s="213">
        <f>SUMIFS(V11:V200,$D$11:$D$200,$X$205)</f>
        <v>108006.21000000004</v>
      </c>
      <c r="W205" s="213">
        <f>SUMIFS(W11:W200,$D$11:$D$200,$X$205)</f>
        <v>108440.9052631579</v>
      </c>
      <c r="X205" t="s">
        <v>49</v>
      </c>
      <c r="Y205" s="214">
        <f>SUMIFS(Y11:Y200,$D$11:$D$200,$X$205)</f>
        <v>110403.90399999998</v>
      </c>
      <c r="Z205" s="205">
        <f t="shared" ref="Z205:AA205" si="53">SUMIFS(Z11:Z200,$D$11:$D$200,$X$205)</f>
        <v>86404.967999999993</v>
      </c>
      <c r="AA205" s="205">
        <f t="shared" si="53"/>
        <v>86752.724210526314</v>
      </c>
      <c r="AJ205" s="213">
        <f>SUMIFS(AJ11:AJ200,$D$11:$D$200,$X$205)</f>
        <v>138004.88000000003</v>
      </c>
    </row>
    <row r="206" spans="1:37" x14ac:dyDescent="0.35">
      <c r="U206" s="213">
        <f>SUM(U204:U205)</f>
        <v>397791.94000000006</v>
      </c>
      <c r="Y206" s="205">
        <f>SUM(Y204:Y205)</f>
        <v>318233.55199999997</v>
      </c>
      <c r="Z206" s="205">
        <f t="shared" ref="Z206:AA206" si="54">SUM(Z204:Z205)</f>
        <v>245378.32799999998</v>
      </c>
      <c r="AA206" s="205">
        <f t="shared" si="54"/>
        <v>239742.50778947363</v>
      </c>
      <c r="AJ206" s="213">
        <f>SUM(AJ204:AJ205)</f>
        <v>396551.74</v>
      </c>
    </row>
    <row r="207" spans="1:37" x14ac:dyDescent="0.35">
      <c r="Y207" s="205">
        <f>Y206-Y201</f>
        <v>0</v>
      </c>
      <c r="Z207" s="205">
        <f t="shared" ref="Z207:AA207" si="55">Z206-Z201</f>
        <v>0</v>
      </c>
      <c r="AA207" s="205">
        <f t="shared" si="55"/>
        <v>0</v>
      </c>
    </row>
    <row r="210" spans="21:27" x14ac:dyDescent="0.35">
      <c r="X210" t="s">
        <v>537</v>
      </c>
    </row>
    <row r="212" spans="21:27" x14ac:dyDescent="0.35">
      <c r="Y212" s="205">
        <f>Y205-Y139-Y159</f>
        <v>108168.42399999998</v>
      </c>
    </row>
    <row r="215" spans="21:27" x14ac:dyDescent="0.35">
      <c r="U215" t="s">
        <v>538</v>
      </c>
      <c r="V215">
        <v>1131</v>
      </c>
      <c r="W215">
        <v>1011.2210526315788</v>
      </c>
      <c r="Z215">
        <v>904.80000000000007</v>
      </c>
      <c r="AA215">
        <v>808.97684210526313</v>
      </c>
    </row>
    <row r="216" spans="21:27" x14ac:dyDescent="0.35">
      <c r="U216" t="s">
        <v>539</v>
      </c>
      <c r="V216" s="215">
        <f>V205+V215</f>
        <v>109137.21000000004</v>
      </c>
      <c r="W216" s="215">
        <f>W205+W215</f>
        <v>109452.12631578947</v>
      </c>
      <c r="Z216" s="205">
        <f>Z205+Z215</f>
        <v>87309.767999999996</v>
      </c>
      <c r="AA216" s="205">
        <f>AA205+AA215</f>
        <v>87561.701052631572</v>
      </c>
    </row>
  </sheetData>
  <autoFilter ref="A10:AK202" xr:uid="{5D2EBA72-D298-4A2C-B6EF-DA230F93A787}"/>
  <mergeCells count="8">
    <mergeCell ref="R9:R10"/>
    <mergeCell ref="S9:S10"/>
    <mergeCell ref="A9:F9"/>
    <mergeCell ref="G9:I9"/>
    <mergeCell ref="J9:L9"/>
    <mergeCell ref="M9:O9"/>
    <mergeCell ref="P9:P10"/>
    <mergeCell ref="Q9:Q10"/>
  </mergeCells>
  <pageMargins left="0.7" right="0.7" top="0.75" bottom="0.75" header="0.3" footer="0.3"/>
  <headerFooter>
    <oddFooter>&amp;C_x000D_&amp;1#&amp;"Calibri"&amp;10&amp;K000000 OFFICIAL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4F01E-C7B0-4B1E-823D-625722C13A6E}">
  <dimension ref="A1:CH224"/>
  <sheetViews>
    <sheetView topLeftCell="H4" zoomScale="60" zoomScaleNormal="60" workbookViewId="0">
      <selection activeCell="AI22" sqref="AI22"/>
    </sheetView>
  </sheetViews>
  <sheetFormatPr defaultColWidth="11.81640625" defaultRowHeight="15.5" x14ac:dyDescent="0.35"/>
  <cols>
    <col min="1" max="1" width="9.81640625" style="182" customWidth="1"/>
    <col min="2" max="2" width="8.81640625" style="226" customWidth="1"/>
    <col min="3" max="3" width="30.7265625" style="227" customWidth="1"/>
    <col min="4" max="4" width="29.453125" style="182" customWidth="1"/>
    <col min="5" max="6" width="39.26953125" style="182" customWidth="1"/>
    <col min="7" max="7" width="24.26953125" style="182" customWidth="1"/>
    <col min="8" max="8" width="27.54296875" style="182" customWidth="1"/>
    <col min="9" max="9" width="20.1796875" style="229" customWidth="1"/>
    <col min="10" max="10" width="17.54296875" style="182" customWidth="1"/>
    <col min="11" max="12" width="17" style="182" customWidth="1"/>
    <col min="13" max="13" width="15" style="182" customWidth="1"/>
    <col min="14" max="14" width="17.81640625" style="230" customWidth="1"/>
    <col min="15" max="15" width="15" style="182" customWidth="1"/>
    <col min="16" max="18" width="14.453125" style="182" customWidth="1"/>
    <col min="19" max="19" width="26.1796875" style="182" bestFit="1" customWidth="1"/>
    <col min="20" max="20" width="23.26953125" style="182" hidden="1" customWidth="1"/>
    <col min="21" max="21" width="22.7265625" style="182" hidden="1" customWidth="1"/>
    <col min="22" max="22" width="11.81640625" style="123"/>
    <col min="23" max="23" width="16" style="123" customWidth="1"/>
    <col min="24" max="24" width="15.26953125" style="123" bestFit="1" customWidth="1"/>
    <col min="25" max="25" width="13" style="123" bestFit="1" customWidth="1"/>
    <col min="26" max="27" width="11.81640625" style="123"/>
    <col min="28" max="28" width="24.7265625" style="123" bestFit="1" customWidth="1"/>
    <col min="29" max="86" width="11.81640625" style="123"/>
    <col min="87" max="16384" width="11.81640625" style="182"/>
  </cols>
  <sheetData>
    <row r="1" spans="1:37" x14ac:dyDescent="0.35">
      <c r="A1" s="182">
        <v>1</v>
      </c>
      <c r="B1" s="226">
        <v>2</v>
      </c>
      <c r="C1" s="227">
        <v>3</v>
      </c>
      <c r="D1" s="182">
        <v>4</v>
      </c>
      <c r="E1" s="182">
        <v>5</v>
      </c>
      <c r="F1" s="226">
        <v>6</v>
      </c>
      <c r="G1" s="227">
        <v>7</v>
      </c>
      <c r="H1" s="182">
        <v>8</v>
      </c>
      <c r="I1" s="182">
        <v>9</v>
      </c>
      <c r="J1" s="226">
        <v>10</v>
      </c>
      <c r="K1" s="227">
        <v>11</v>
      </c>
      <c r="L1" s="182">
        <v>12</v>
      </c>
      <c r="M1" s="182">
        <v>13</v>
      </c>
      <c r="N1" s="226">
        <v>14</v>
      </c>
      <c r="O1" s="227">
        <v>15</v>
      </c>
      <c r="P1" s="182">
        <v>16</v>
      </c>
      <c r="Q1" s="182">
        <v>17</v>
      </c>
      <c r="R1" s="226">
        <v>18</v>
      </c>
      <c r="S1" s="227">
        <v>19</v>
      </c>
      <c r="T1" s="182">
        <v>20</v>
      </c>
      <c r="U1" s="182">
        <v>21</v>
      </c>
      <c r="V1" s="226">
        <v>22</v>
      </c>
      <c r="W1" s="227">
        <v>23</v>
      </c>
      <c r="X1" s="182">
        <v>24</v>
      </c>
      <c r="Y1" s="182">
        <v>25</v>
      </c>
      <c r="Z1" s="226">
        <v>26</v>
      </c>
      <c r="AA1" s="227">
        <v>27</v>
      </c>
      <c r="AB1" s="182">
        <v>28</v>
      </c>
      <c r="AC1" s="182">
        <v>29</v>
      </c>
      <c r="AD1" s="226">
        <v>30</v>
      </c>
      <c r="AE1" s="227">
        <v>31</v>
      </c>
      <c r="AF1" s="182">
        <v>32</v>
      </c>
      <c r="AG1" s="182">
        <v>33</v>
      </c>
    </row>
    <row r="2" spans="1:37" x14ac:dyDescent="0.35">
      <c r="H2" s="182" t="s">
        <v>224</v>
      </c>
      <c r="I2" s="228">
        <f>I7-I8</f>
        <v>0</v>
      </c>
      <c r="J2" s="228">
        <f t="shared" ref="J2" si="0">J7-J8</f>
        <v>0</v>
      </c>
      <c r="K2" s="228">
        <f>K7-K8</f>
        <v>0</v>
      </c>
      <c r="L2" s="228">
        <f t="shared" ref="L2" si="1">L7-L8</f>
        <v>0</v>
      </c>
      <c r="M2" s="228">
        <f>M7-M8</f>
        <v>0</v>
      </c>
      <c r="N2" s="228">
        <f>N7-N8</f>
        <v>0</v>
      </c>
      <c r="O2" s="228">
        <f t="shared" ref="O2:R2" si="2">O7-O8</f>
        <v>0</v>
      </c>
      <c r="P2" s="228">
        <f t="shared" si="2"/>
        <v>0</v>
      </c>
      <c r="Q2" s="228">
        <f t="shared" si="2"/>
        <v>0</v>
      </c>
      <c r="R2" s="228">
        <f t="shared" si="2"/>
        <v>0</v>
      </c>
      <c r="S2" s="228"/>
      <c r="T2" s="228"/>
      <c r="U2" s="228"/>
    </row>
    <row r="3" spans="1:37" x14ac:dyDescent="0.35">
      <c r="P3" s="231"/>
    </row>
    <row r="4" spans="1:37" x14ac:dyDescent="0.35">
      <c r="D4" s="232"/>
      <c r="AG4" s="123">
        <f>938/38*13</f>
        <v>320.89473684210526</v>
      </c>
      <c r="AI4" s="123">
        <v>38</v>
      </c>
    </row>
    <row r="5" spans="1:37" s="233" customFormat="1" x14ac:dyDescent="0.35">
      <c r="A5" s="233" t="s">
        <v>546</v>
      </c>
      <c r="B5" s="234"/>
      <c r="C5" s="235"/>
      <c r="I5" s="236"/>
      <c r="L5" s="237"/>
      <c r="Q5" s="182"/>
      <c r="V5" s="238" t="s">
        <v>732</v>
      </c>
      <c r="W5" s="238">
        <v>13</v>
      </c>
      <c r="X5" s="238"/>
      <c r="Y5" s="238"/>
      <c r="Z5" s="238"/>
      <c r="AA5" s="238"/>
      <c r="AB5" s="238"/>
      <c r="AC5" s="238">
        <v>15</v>
      </c>
      <c r="AD5" s="238"/>
      <c r="AE5" s="238">
        <v>5.74</v>
      </c>
      <c r="AF5" s="238"/>
      <c r="AG5" s="238"/>
    </row>
    <row r="6" spans="1:37" s="233" customFormat="1" ht="31" x14ac:dyDescent="0.35">
      <c r="A6" s="233" t="s">
        <v>547</v>
      </c>
      <c r="B6" s="234"/>
      <c r="C6" s="235"/>
      <c r="I6" s="239"/>
      <c r="M6" s="236"/>
      <c r="N6" s="236"/>
      <c r="O6" s="236" t="s">
        <v>548</v>
      </c>
      <c r="Q6" s="182"/>
      <c r="S6" s="240"/>
      <c r="V6" s="238"/>
      <c r="W6" s="238"/>
      <c r="X6" s="241"/>
      <c r="Y6" s="238"/>
      <c r="Z6" s="238"/>
      <c r="AA6" s="238"/>
      <c r="AB6" s="238"/>
      <c r="AC6" s="238"/>
      <c r="AD6" s="238"/>
      <c r="AE6" s="238"/>
      <c r="AF6" s="238"/>
      <c r="AG6" s="238"/>
    </row>
    <row r="7" spans="1:37" s="233" customFormat="1" x14ac:dyDescent="0.35">
      <c r="B7" s="234"/>
      <c r="C7" s="235"/>
      <c r="I7" s="242">
        <v>9042408.0759999994</v>
      </c>
      <c r="J7" s="243">
        <v>1580137.858</v>
      </c>
      <c r="K7" s="243">
        <v>1344154.5</v>
      </c>
      <c r="L7" s="243">
        <v>6973.2000000000007</v>
      </c>
      <c r="M7" s="243">
        <v>50700.619999999988</v>
      </c>
      <c r="N7" s="243">
        <v>381743.86900000012</v>
      </c>
      <c r="O7" s="243">
        <v>183016.73684210522</v>
      </c>
      <c r="P7" s="243">
        <v>691860</v>
      </c>
      <c r="Q7" s="243">
        <v>1346.4</v>
      </c>
      <c r="R7" s="243">
        <v>8282.844000000001</v>
      </c>
      <c r="S7" s="243"/>
      <c r="T7" s="243"/>
      <c r="U7" s="243"/>
      <c r="V7" s="238"/>
      <c r="W7" s="238"/>
      <c r="X7" s="238"/>
      <c r="Y7" s="238"/>
      <c r="Z7" s="238"/>
      <c r="AA7" s="238"/>
      <c r="AB7" s="238"/>
      <c r="AC7" s="238"/>
      <c r="AD7" s="238"/>
      <c r="AE7" s="238"/>
      <c r="AF7" s="238"/>
      <c r="AG7" s="238"/>
    </row>
    <row r="8" spans="1:37" x14ac:dyDescent="0.35">
      <c r="I8" s="244">
        <f t="shared" ref="I8:J8" si="3">SUM(I11:I201)</f>
        <v>9042408.0759999994</v>
      </c>
      <c r="J8" s="244">
        <f t="shared" si="3"/>
        <v>1580137.858</v>
      </c>
      <c r="K8" s="244">
        <f t="shared" ref="K8:U8" si="4">SUM(K11:K201)</f>
        <v>1344154.5</v>
      </c>
      <c r="L8" s="244">
        <f t="shared" si="4"/>
        <v>6973.2000000000007</v>
      </c>
      <c r="M8" s="244">
        <f t="shared" si="4"/>
        <v>50700.619999999988</v>
      </c>
      <c r="N8" s="244">
        <f t="shared" si="4"/>
        <v>381743.86900000006</v>
      </c>
      <c r="O8" s="244">
        <f t="shared" si="4"/>
        <v>183016.73684210522</v>
      </c>
      <c r="P8" s="244">
        <f t="shared" si="4"/>
        <v>691860</v>
      </c>
      <c r="Q8" s="244">
        <f t="shared" si="4"/>
        <v>1346.4</v>
      </c>
      <c r="R8" s="244">
        <f t="shared" si="4"/>
        <v>8282.844000000001</v>
      </c>
      <c r="S8" s="244">
        <f t="shared" si="4"/>
        <v>13290624.103842111</v>
      </c>
      <c r="T8" s="244" t="e">
        <f t="shared" si="4"/>
        <v>#REF!</v>
      </c>
      <c r="U8" s="244" t="e">
        <f t="shared" si="4"/>
        <v>#REF!</v>
      </c>
      <c r="W8" s="123">
        <v>5.66</v>
      </c>
      <c r="X8" s="123">
        <v>5.66</v>
      </c>
      <c r="Y8" s="123">
        <v>8.51</v>
      </c>
      <c r="Z8" s="123">
        <v>8.51</v>
      </c>
      <c r="AA8" s="123">
        <v>11.92</v>
      </c>
      <c r="AB8" s="123">
        <v>0.61</v>
      </c>
      <c r="AC8" s="123">
        <v>0.28999999999999998</v>
      </c>
      <c r="AD8" s="123">
        <v>0.08</v>
      </c>
      <c r="AE8" s="123">
        <v>0.38245614035087716</v>
      </c>
      <c r="AF8" s="123">
        <v>1</v>
      </c>
      <c r="AG8" s="123">
        <v>938</v>
      </c>
    </row>
    <row r="9" spans="1:37" x14ac:dyDescent="0.35">
      <c r="A9" s="539"/>
      <c r="B9" s="539"/>
      <c r="C9" s="539"/>
      <c r="D9" s="539"/>
      <c r="E9" s="539"/>
      <c r="F9" s="539"/>
      <c r="G9" s="539"/>
      <c r="H9" s="539"/>
      <c r="I9" s="245" t="s">
        <v>549</v>
      </c>
      <c r="J9" s="246" t="s">
        <v>549</v>
      </c>
      <c r="K9" s="247" t="s">
        <v>549</v>
      </c>
      <c r="L9" s="247"/>
      <c r="M9" s="249" t="s">
        <v>549</v>
      </c>
      <c r="N9" s="249" t="s">
        <v>549</v>
      </c>
      <c r="O9" s="249" t="s">
        <v>549</v>
      </c>
      <c r="P9" s="249" t="s">
        <v>549</v>
      </c>
      <c r="Q9" s="249"/>
      <c r="R9" s="249"/>
      <c r="S9" s="248" t="s">
        <v>549</v>
      </c>
      <c r="T9" s="248" t="s">
        <v>549</v>
      </c>
      <c r="U9" s="248"/>
      <c r="W9" s="123" t="s">
        <v>9</v>
      </c>
      <c r="X9" s="123" t="s">
        <v>10</v>
      </c>
      <c r="Y9" s="123" t="s">
        <v>11</v>
      </c>
      <c r="Z9" s="123" t="s">
        <v>220</v>
      </c>
      <c r="AA9" s="123" t="s">
        <v>12</v>
      </c>
      <c r="AB9" s="123" t="s">
        <v>492</v>
      </c>
      <c r="AC9" s="123" t="s">
        <v>493</v>
      </c>
      <c r="AD9" s="123" t="s">
        <v>494</v>
      </c>
      <c r="AE9" s="123" t="s">
        <v>507</v>
      </c>
      <c r="AF9" s="123" t="s">
        <v>13</v>
      </c>
      <c r="AG9" s="123" t="s">
        <v>544</v>
      </c>
    </row>
    <row r="10" spans="1:37" ht="55" customHeight="1" x14ac:dyDescent="0.35">
      <c r="A10" s="250" t="s">
        <v>550</v>
      </c>
      <c r="B10" s="251" t="s">
        <v>525</v>
      </c>
      <c r="C10" s="252" t="s">
        <v>226</v>
      </c>
      <c r="D10" s="250" t="s">
        <v>527</v>
      </c>
      <c r="E10" s="250" t="s">
        <v>49</v>
      </c>
      <c r="F10" s="250" t="s">
        <v>23</v>
      </c>
      <c r="G10" s="250" t="s">
        <v>443</v>
      </c>
      <c r="H10" s="250" t="s">
        <v>551</v>
      </c>
      <c r="I10" s="253" t="s">
        <v>552</v>
      </c>
      <c r="J10" s="254" t="s">
        <v>553</v>
      </c>
      <c r="K10" s="255" t="s">
        <v>554</v>
      </c>
      <c r="L10" s="256" t="s">
        <v>555</v>
      </c>
      <c r="M10" s="257" t="s">
        <v>14</v>
      </c>
      <c r="N10" s="258" t="s">
        <v>556</v>
      </c>
      <c r="O10" s="259" t="s">
        <v>507</v>
      </c>
      <c r="P10" s="260" t="s">
        <v>557</v>
      </c>
      <c r="Q10" s="261" t="s">
        <v>558</v>
      </c>
      <c r="R10" s="261" t="s">
        <v>559</v>
      </c>
      <c r="S10" s="262" t="s">
        <v>560</v>
      </c>
      <c r="T10" s="262" t="s">
        <v>561</v>
      </c>
      <c r="U10" s="262" t="s">
        <v>562</v>
      </c>
      <c r="Y10" s="263"/>
    </row>
    <row r="11" spans="1:37" x14ac:dyDescent="0.35">
      <c r="A11" s="197">
        <v>1000</v>
      </c>
      <c r="B11" s="198">
        <v>3301000</v>
      </c>
      <c r="C11" s="264" t="s">
        <v>207</v>
      </c>
      <c r="D11" s="198" t="s">
        <v>449</v>
      </c>
      <c r="E11" s="198" t="s">
        <v>450</v>
      </c>
      <c r="F11" s="198" t="s">
        <v>27</v>
      </c>
      <c r="G11" s="197" t="s">
        <v>451</v>
      </c>
      <c r="H11" s="197"/>
      <c r="I11" s="265">
        <v>80349.36</v>
      </c>
      <c r="J11" s="265">
        <v>19984.328000000001</v>
      </c>
      <c r="K11" s="266">
        <v>0</v>
      </c>
      <c r="L11" s="266">
        <v>0</v>
      </c>
      <c r="M11" s="267">
        <v>320.89</v>
      </c>
      <c r="N11" s="268">
        <v>1973.3999999999996</v>
      </c>
      <c r="O11" s="268">
        <v>1118.6842105263158</v>
      </c>
      <c r="P11" s="268">
        <v>3120</v>
      </c>
      <c r="Q11" s="268">
        <v>0</v>
      </c>
      <c r="R11" s="268">
        <v>0</v>
      </c>
      <c r="S11" s="270">
        <f t="shared" ref="S11:S42" si="5">SUM(I11:R11)</f>
        <v>106866.66221052631</v>
      </c>
      <c r="T11" s="270" t="e">
        <f>#REF!+#REF!+#REF!+#REF!+#REF!+#REF!+#REF!+#REF!+#REF!</f>
        <v>#REF!</v>
      </c>
      <c r="U11" s="271" t="e">
        <f>S11-T11</f>
        <v>#REF!</v>
      </c>
      <c r="V11" s="274"/>
      <c r="W11" s="123">
        <f t="shared" ref="W11:W42" si="6">(I11+R11)/$W$8</f>
        <v>14196</v>
      </c>
      <c r="X11" s="123">
        <f t="shared" ref="X11:X42" si="7">J11/$X$8</f>
        <v>3530.8</v>
      </c>
      <c r="Y11" s="123">
        <f t="shared" ref="Y11:Y42" si="8">(K11+Q11)/$Y$8</f>
        <v>0</v>
      </c>
      <c r="Z11" s="123">
        <f>L11/$Z$8</f>
        <v>0</v>
      </c>
      <c r="AA11" s="123">
        <f t="shared" ref="AA11:AA42" si="9">L11/$AA$8</f>
        <v>0</v>
      </c>
      <c r="AB11" s="123">
        <f t="shared" ref="AB11:AB31" si="10">N11/$AB$8</f>
        <v>3235.0819672131142</v>
      </c>
      <c r="AC11" s="123">
        <f t="shared" ref="AC11:AC31" si="11">O11/$AC$8</f>
        <v>3857.5317604355723</v>
      </c>
      <c r="AD11" s="123">
        <f t="shared" ref="AD11:AD31" si="12">P11/$AD$8</f>
        <v>39000</v>
      </c>
      <c r="AE11" s="123">
        <f>O11/$W$5/$AE$5</f>
        <v>14.99174766183752</v>
      </c>
      <c r="AF11" s="123">
        <f t="shared" ref="AF11:AF42" si="13">P11/$AF$8</f>
        <v>3120</v>
      </c>
      <c r="AG11" s="298">
        <f>M11/($AG$8/$AI$4*13)</f>
        <v>0.99998523864195499</v>
      </c>
    </row>
    <row r="12" spans="1:37" ht="26" x14ac:dyDescent="0.35">
      <c r="A12" s="197">
        <v>1001</v>
      </c>
      <c r="B12" s="198">
        <v>3301001</v>
      </c>
      <c r="C12" s="264" t="s">
        <v>181</v>
      </c>
      <c r="D12" s="198" t="s">
        <v>449</v>
      </c>
      <c r="E12" s="198" t="s">
        <v>450</v>
      </c>
      <c r="F12" s="198" t="s">
        <v>27</v>
      </c>
      <c r="G12" s="197" t="s">
        <v>452</v>
      </c>
      <c r="H12" s="197"/>
      <c r="I12" s="265">
        <v>69533.100000000006</v>
      </c>
      <c r="J12" s="265">
        <v>8829.6</v>
      </c>
      <c r="K12" s="267">
        <v>38167.35</v>
      </c>
      <c r="L12" s="267">
        <v>0</v>
      </c>
      <c r="M12" s="267">
        <v>320.89</v>
      </c>
      <c r="N12" s="269">
        <v>2022.1499999999999</v>
      </c>
      <c r="O12" s="269">
        <v>0</v>
      </c>
      <c r="P12" s="269">
        <v>6825</v>
      </c>
      <c r="Q12" s="269">
        <v>0</v>
      </c>
      <c r="R12" s="269">
        <v>0</v>
      </c>
      <c r="S12" s="270">
        <f t="shared" si="5"/>
        <v>125698.09000000001</v>
      </c>
      <c r="T12" s="272" t="e">
        <f>#REF!+#REF!+#REF!+#REF!+#REF!+#REF!+#REF!+#REF!+#REF!</f>
        <v>#REF!</v>
      </c>
      <c r="U12" s="273" t="e">
        <f t="shared" ref="U12:U75" si="14">S12-T12</f>
        <v>#REF!</v>
      </c>
      <c r="V12" s="274"/>
      <c r="W12" s="123">
        <f t="shared" si="6"/>
        <v>12285</v>
      </c>
      <c r="X12" s="123">
        <f t="shared" si="7"/>
        <v>1560</v>
      </c>
      <c r="Y12" s="123">
        <f t="shared" si="8"/>
        <v>4485</v>
      </c>
      <c r="Z12" s="123">
        <f t="shared" ref="Z12:Z31" si="15">L12/$Z$8</f>
        <v>0</v>
      </c>
      <c r="AA12" s="123">
        <f t="shared" si="9"/>
        <v>0</v>
      </c>
      <c r="AB12" s="123">
        <f t="shared" si="10"/>
        <v>3315</v>
      </c>
      <c r="AC12" s="123">
        <f t="shared" si="11"/>
        <v>0</v>
      </c>
      <c r="AD12" s="123">
        <f t="shared" si="12"/>
        <v>85312.5</v>
      </c>
      <c r="AE12" s="123">
        <f t="shared" ref="AE12:AE75" si="16">O12/$W$5/$AE$5</f>
        <v>0</v>
      </c>
      <c r="AF12" s="123">
        <f t="shared" si="13"/>
        <v>6825</v>
      </c>
      <c r="AG12" s="298">
        <f t="shared" ref="AG12:AG75" si="17">M12/($AG$8/$AI$4*13)</f>
        <v>0.99998523864195499</v>
      </c>
    </row>
    <row r="13" spans="1:37" x14ac:dyDescent="0.35">
      <c r="A13" s="197">
        <v>1002</v>
      </c>
      <c r="B13" s="198">
        <v>3301002</v>
      </c>
      <c r="C13" s="264" t="s">
        <v>46</v>
      </c>
      <c r="D13" s="198" t="s">
        <v>449</v>
      </c>
      <c r="E13" s="198" t="s">
        <v>450</v>
      </c>
      <c r="F13" s="198" t="s">
        <v>27</v>
      </c>
      <c r="G13" s="197" t="s">
        <v>453</v>
      </c>
      <c r="H13" s="197"/>
      <c r="I13" s="265">
        <v>99333</v>
      </c>
      <c r="J13" s="265">
        <v>3311.1</v>
      </c>
      <c r="K13" s="267">
        <v>64718.549999999996</v>
      </c>
      <c r="L13" s="267">
        <v>0</v>
      </c>
      <c r="M13" s="267">
        <v>320.89</v>
      </c>
      <c r="N13" s="269">
        <v>12306.449999999999</v>
      </c>
      <c r="O13" s="269">
        <v>5891.7368421052633</v>
      </c>
      <c r="P13" s="269">
        <v>15405</v>
      </c>
      <c r="Q13" s="269">
        <v>0</v>
      </c>
      <c r="R13" s="269">
        <v>0</v>
      </c>
      <c r="S13" s="270">
        <f t="shared" si="5"/>
        <v>201286.72684210527</v>
      </c>
      <c r="T13" s="272" t="e">
        <f>#REF!+#REF!+#REF!+#REF!+#REF!+#REF!+#REF!+#REF!+#REF!</f>
        <v>#REF!</v>
      </c>
      <c r="U13" s="273" t="e">
        <f t="shared" si="14"/>
        <v>#REF!</v>
      </c>
      <c r="V13" s="274"/>
      <c r="W13" s="123">
        <f t="shared" si="6"/>
        <v>17550</v>
      </c>
      <c r="X13" s="123">
        <f t="shared" si="7"/>
        <v>585</v>
      </c>
      <c r="Y13" s="123">
        <f t="shared" si="8"/>
        <v>7605</v>
      </c>
      <c r="Z13" s="123">
        <f t="shared" si="15"/>
        <v>0</v>
      </c>
      <c r="AA13" s="123">
        <f t="shared" si="9"/>
        <v>0</v>
      </c>
      <c r="AB13" s="123">
        <f t="shared" si="10"/>
        <v>20174.508196721312</v>
      </c>
      <c r="AC13" s="123">
        <f t="shared" si="11"/>
        <v>20316.333938294014</v>
      </c>
      <c r="AD13" s="123">
        <f t="shared" si="12"/>
        <v>192562.5</v>
      </c>
      <c r="AE13" s="123">
        <f t="shared" si="16"/>
        <v>78.956537685677603</v>
      </c>
      <c r="AF13" s="123">
        <f t="shared" si="13"/>
        <v>15405</v>
      </c>
      <c r="AG13" s="298">
        <f t="shared" si="17"/>
        <v>0.99998523864195499</v>
      </c>
      <c r="AK13" s="123">
        <v>1118.6842105263158</v>
      </c>
    </row>
    <row r="14" spans="1:37" x14ac:dyDescent="0.35">
      <c r="A14" s="197">
        <v>1006</v>
      </c>
      <c r="B14" s="198">
        <v>3301006</v>
      </c>
      <c r="C14" s="264" t="s">
        <v>77</v>
      </c>
      <c r="D14" s="198" t="s">
        <v>449</v>
      </c>
      <c r="E14" s="198" t="s">
        <v>450</v>
      </c>
      <c r="F14" s="198" t="s">
        <v>27</v>
      </c>
      <c r="G14" s="197" t="s">
        <v>454</v>
      </c>
      <c r="H14" s="197"/>
      <c r="I14" s="265">
        <v>83881.2</v>
      </c>
      <c r="J14" s="265">
        <v>33111</v>
      </c>
      <c r="K14" s="267">
        <v>0</v>
      </c>
      <c r="L14" s="267">
        <v>0</v>
      </c>
      <c r="M14" s="267">
        <v>2888.0099999999998</v>
      </c>
      <c r="N14" s="269">
        <v>2145</v>
      </c>
      <c r="O14" s="269">
        <v>149.15789473684211</v>
      </c>
      <c r="P14" s="269">
        <v>4485</v>
      </c>
      <c r="Q14" s="269">
        <v>0</v>
      </c>
      <c r="R14" s="269">
        <v>0</v>
      </c>
      <c r="S14" s="270">
        <f t="shared" si="5"/>
        <v>126659.36789473683</v>
      </c>
      <c r="T14" s="272" t="e">
        <f>#REF!+#REF!+#REF!+#REF!+#REF!+#REF!+#REF!+#REF!+#REF!</f>
        <v>#REF!</v>
      </c>
      <c r="U14" s="273" t="e">
        <f t="shared" si="14"/>
        <v>#REF!</v>
      </c>
      <c r="V14" s="274"/>
      <c r="W14" s="123">
        <f t="shared" si="6"/>
        <v>14820</v>
      </c>
      <c r="X14" s="123">
        <f t="shared" si="7"/>
        <v>5850</v>
      </c>
      <c r="Y14" s="123">
        <f t="shared" si="8"/>
        <v>0</v>
      </c>
      <c r="Z14" s="123">
        <f t="shared" si="15"/>
        <v>0</v>
      </c>
      <c r="AA14" s="123">
        <f t="shared" si="9"/>
        <v>0</v>
      </c>
      <c r="AB14" s="123">
        <f t="shared" si="10"/>
        <v>3516.3934426229507</v>
      </c>
      <c r="AC14" s="123">
        <f t="shared" si="11"/>
        <v>514.33756805807627</v>
      </c>
      <c r="AD14" s="123">
        <f t="shared" si="12"/>
        <v>56062.5</v>
      </c>
      <c r="AE14" s="123">
        <f t="shared" si="16"/>
        <v>1.9988996882450027</v>
      </c>
      <c r="AF14" s="123">
        <f t="shared" si="13"/>
        <v>4485</v>
      </c>
      <c r="AG14" s="298">
        <f t="shared" si="17"/>
        <v>8.9998671477775947</v>
      </c>
    </row>
    <row r="15" spans="1:37" s="123" customFormat="1" x14ac:dyDescent="0.35">
      <c r="A15" s="197">
        <v>1008</v>
      </c>
      <c r="B15" s="198">
        <v>3301008</v>
      </c>
      <c r="C15" s="264" t="s">
        <v>247</v>
      </c>
      <c r="D15" s="198" t="s">
        <v>449</v>
      </c>
      <c r="E15" s="198" t="s">
        <v>450</v>
      </c>
      <c r="F15" s="198" t="s">
        <v>27</v>
      </c>
      <c r="G15" s="197" t="s">
        <v>455</v>
      </c>
      <c r="H15" s="197"/>
      <c r="I15" s="265">
        <v>72844.2</v>
      </c>
      <c r="J15" s="265">
        <v>38629.5</v>
      </c>
      <c r="K15" s="267">
        <v>0</v>
      </c>
      <c r="L15" s="267">
        <v>0</v>
      </c>
      <c r="M15" s="267">
        <v>320.89</v>
      </c>
      <c r="N15" s="269">
        <v>278.85000000000002</v>
      </c>
      <c r="O15" s="269">
        <v>0</v>
      </c>
      <c r="P15" s="269">
        <v>4095</v>
      </c>
      <c r="Q15" s="269">
        <v>0</v>
      </c>
      <c r="R15" s="269">
        <v>0</v>
      </c>
      <c r="S15" s="270">
        <f t="shared" si="5"/>
        <v>116168.44</v>
      </c>
      <c r="T15" s="272" t="e">
        <f>#REF!+#REF!+#REF!+#REF!+#REF!+#REF!+#REF!+#REF!+#REF!</f>
        <v>#REF!</v>
      </c>
      <c r="U15" s="273" t="e">
        <f t="shared" si="14"/>
        <v>#REF!</v>
      </c>
      <c r="V15" s="274"/>
      <c r="W15" s="123">
        <f t="shared" si="6"/>
        <v>12870</v>
      </c>
      <c r="X15" s="123">
        <f t="shared" si="7"/>
        <v>6825</v>
      </c>
      <c r="Y15" s="123">
        <f t="shared" si="8"/>
        <v>0</v>
      </c>
      <c r="Z15" s="123">
        <f t="shared" si="15"/>
        <v>0</v>
      </c>
      <c r="AA15" s="123">
        <f t="shared" si="9"/>
        <v>0</v>
      </c>
      <c r="AB15" s="123">
        <f t="shared" si="10"/>
        <v>457.13114754098365</v>
      </c>
      <c r="AC15" s="123">
        <f t="shared" si="11"/>
        <v>0</v>
      </c>
      <c r="AD15" s="123">
        <f t="shared" si="12"/>
        <v>51187.5</v>
      </c>
      <c r="AE15" s="123">
        <f t="shared" si="16"/>
        <v>0</v>
      </c>
      <c r="AF15" s="123">
        <f t="shared" si="13"/>
        <v>4095</v>
      </c>
      <c r="AG15" s="298">
        <f t="shared" si="17"/>
        <v>0.99998523864195499</v>
      </c>
      <c r="AK15" s="123">
        <f>AK13/13</f>
        <v>86.05263157894737</v>
      </c>
    </row>
    <row r="16" spans="1:37" s="123" customFormat="1" x14ac:dyDescent="0.35">
      <c r="A16" s="197">
        <v>1009</v>
      </c>
      <c r="B16" s="198">
        <v>3301009</v>
      </c>
      <c r="C16" s="264" t="s">
        <v>248</v>
      </c>
      <c r="D16" s="198" t="s">
        <v>449</v>
      </c>
      <c r="E16" s="198" t="s">
        <v>450</v>
      </c>
      <c r="F16" s="198" t="s">
        <v>27</v>
      </c>
      <c r="G16" s="197" t="s">
        <v>456</v>
      </c>
      <c r="H16" s="197"/>
      <c r="I16" s="265">
        <v>96021.900000000009</v>
      </c>
      <c r="J16" s="265">
        <v>18762.900000000001</v>
      </c>
      <c r="K16" s="267">
        <v>66378</v>
      </c>
      <c r="L16" s="267">
        <v>0</v>
      </c>
      <c r="M16" s="267">
        <v>0</v>
      </c>
      <c r="N16" s="269">
        <v>5838.3</v>
      </c>
      <c r="O16" s="269">
        <v>2983.1578947368421</v>
      </c>
      <c r="P16" s="269">
        <v>8775</v>
      </c>
      <c r="Q16" s="269">
        <v>0</v>
      </c>
      <c r="R16" s="269">
        <v>0</v>
      </c>
      <c r="S16" s="270">
        <f t="shared" si="5"/>
        <v>198759.25789473686</v>
      </c>
      <c r="T16" s="272" t="e">
        <f>#REF!+#REF!+#REF!+#REF!+#REF!+#REF!+#REF!+#REF!+#REF!</f>
        <v>#REF!</v>
      </c>
      <c r="U16" s="273" t="e">
        <f t="shared" si="14"/>
        <v>#REF!</v>
      </c>
      <c r="V16" s="274"/>
      <c r="W16" s="123">
        <f t="shared" si="6"/>
        <v>16965</v>
      </c>
      <c r="X16" s="123">
        <f t="shared" si="7"/>
        <v>3315</v>
      </c>
      <c r="Y16" s="123">
        <f t="shared" si="8"/>
        <v>7800</v>
      </c>
      <c r="Z16" s="123">
        <f t="shared" si="15"/>
        <v>0</v>
      </c>
      <c r="AA16" s="123">
        <f t="shared" si="9"/>
        <v>0</v>
      </c>
      <c r="AB16" s="123">
        <f t="shared" si="10"/>
        <v>9570.9836065573782</v>
      </c>
      <c r="AC16" s="123">
        <f t="shared" si="11"/>
        <v>10286.751361161525</v>
      </c>
      <c r="AD16" s="123">
        <f t="shared" si="12"/>
        <v>109687.5</v>
      </c>
      <c r="AE16" s="123">
        <f t="shared" si="16"/>
        <v>39.977993764900049</v>
      </c>
      <c r="AF16" s="123">
        <f t="shared" si="13"/>
        <v>8775</v>
      </c>
      <c r="AG16" s="298">
        <f t="shared" si="17"/>
        <v>0</v>
      </c>
    </row>
    <row r="17" spans="1:37" s="123" customFormat="1" ht="26" x14ac:dyDescent="0.35">
      <c r="A17" s="197">
        <v>1010</v>
      </c>
      <c r="B17" s="198">
        <v>3301010</v>
      </c>
      <c r="C17" s="264" t="s">
        <v>249</v>
      </c>
      <c r="D17" s="198" t="s">
        <v>449</v>
      </c>
      <c r="E17" s="198" t="s">
        <v>450</v>
      </c>
      <c r="F17" s="198" t="s">
        <v>27</v>
      </c>
      <c r="G17" s="197" t="s">
        <v>457</v>
      </c>
      <c r="H17" s="197"/>
      <c r="I17" s="265">
        <v>150103.20000000001</v>
      </c>
      <c r="J17" s="265">
        <v>20970.3</v>
      </c>
      <c r="K17" s="267">
        <v>81313.05</v>
      </c>
      <c r="L17" s="267">
        <v>0</v>
      </c>
      <c r="M17" s="267">
        <v>3529.79</v>
      </c>
      <c r="N17" s="269">
        <v>4999.8</v>
      </c>
      <c r="O17" s="269">
        <v>1342.421052631579</v>
      </c>
      <c r="P17" s="269">
        <v>10725</v>
      </c>
      <c r="Q17" s="269">
        <v>0</v>
      </c>
      <c r="R17" s="269">
        <v>0</v>
      </c>
      <c r="S17" s="270">
        <f t="shared" si="5"/>
        <v>272983.56105263159</v>
      </c>
      <c r="T17" s="272" t="e">
        <f>#REF!+#REF!+#REF!+#REF!+#REF!+#REF!+#REF!+#REF!+#REF!</f>
        <v>#REF!</v>
      </c>
      <c r="U17" s="273" t="e">
        <f t="shared" si="14"/>
        <v>#REF!</v>
      </c>
      <c r="V17" s="274"/>
      <c r="W17" s="123">
        <f t="shared" si="6"/>
        <v>26520</v>
      </c>
      <c r="X17" s="123">
        <f t="shared" si="7"/>
        <v>3705</v>
      </c>
      <c r="Y17" s="123">
        <f t="shared" si="8"/>
        <v>9555</v>
      </c>
      <c r="Z17" s="123">
        <f t="shared" si="15"/>
        <v>0</v>
      </c>
      <c r="AA17" s="123">
        <f t="shared" si="9"/>
        <v>0</v>
      </c>
      <c r="AB17" s="123">
        <f t="shared" si="10"/>
        <v>8196.3934426229516</v>
      </c>
      <c r="AC17" s="123">
        <f t="shared" si="11"/>
        <v>4629.0381125226868</v>
      </c>
      <c r="AD17" s="123">
        <f t="shared" si="12"/>
        <v>134062.5</v>
      </c>
      <c r="AE17" s="123">
        <f t="shared" si="16"/>
        <v>17.990097194205024</v>
      </c>
      <c r="AF17" s="123">
        <f t="shared" si="13"/>
        <v>10725</v>
      </c>
      <c r="AG17" s="298">
        <f t="shared" si="17"/>
        <v>10.999837625061506</v>
      </c>
      <c r="AK17" s="123">
        <f>AK15/2.29</f>
        <v>37.577568375086187</v>
      </c>
    </row>
    <row r="18" spans="1:37" s="123" customFormat="1" x14ac:dyDescent="0.35">
      <c r="A18" s="197">
        <v>1012</v>
      </c>
      <c r="B18" s="198">
        <v>3301012</v>
      </c>
      <c r="C18" s="264" t="s">
        <v>109</v>
      </c>
      <c r="D18" s="198" t="s">
        <v>449</v>
      </c>
      <c r="E18" s="198" t="s">
        <v>450</v>
      </c>
      <c r="F18" s="198" t="s">
        <v>27</v>
      </c>
      <c r="G18" s="197" t="s">
        <v>458</v>
      </c>
      <c r="H18" s="197"/>
      <c r="I18" s="265">
        <v>123614.40000000001</v>
      </c>
      <c r="J18" s="265">
        <v>27151.02</v>
      </c>
      <c r="K18" s="267">
        <v>39826.799999999996</v>
      </c>
      <c r="L18" s="267">
        <v>0</v>
      </c>
      <c r="M18" s="267">
        <v>962.67</v>
      </c>
      <c r="N18" s="269">
        <v>4522.0500000000011</v>
      </c>
      <c r="O18" s="269">
        <v>0</v>
      </c>
      <c r="P18" s="269">
        <v>13650</v>
      </c>
      <c r="Q18" s="269">
        <v>0</v>
      </c>
      <c r="R18" s="269">
        <v>0</v>
      </c>
      <c r="S18" s="270">
        <f t="shared" si="5"/>
        <v>209726.94</v>
      </c>
      <c r="T18" s="272" t="e">
        <f>#REF!+#REF!+#REF!+#REF!+#REF!+#REF!+#REF!+#REF!+#REF!</f>
        <v>#REF!</v>
      </c>
      <c r="U18" s="273" t="e">
        <f t="shared" si="14"/>
        <v>#REF!</v>
      </c>
      <c r="V18" s="274"/>
      <c r="W18" s="123">
        <f t="shared" si="6"/>
        <v>21840</v>
      </c>
      <c r="X18" s="123">
        <f t="shared" si="7"/>
        <v>4797</v>
      </c>
      <c r="Y18" s="123">
        <f t="shared" si="8"/>
        <v>4680</v>
      </c>
      <c r="Z18" s="123">
        <f t="shared" si="15"/>
        <v>0</v>
      </c>
      <c r="AA18" s="123">
        <f t="shared" si="9"/>
        <v>0</v>
      </c>
      <c r="AB18" s="123">
        <f t="shared" si="10"/>
        <v>7413.1967213114776</v>
      </c>
      <c r="AC18" s="123">
        <f t="shared" si="11"/>
        <v>0</v>
      </c>
      <c r="AD18" s="123">
        <f t="shared" si="12"/>
        <v>170625</v>
      </c>
      <c r="AE18" s="123">
        <f t="shared" si="16"/>
        <v>0</v>
      </c>
      <c r="AF18" s="123">
        <f t="shared" si="13"/>
        <v>13650</v>
      </c>
      <c r="AG18" s="298">
        <f t="shared" si="17"/>
        <v>2.9999557159258652</v>
      </c>
    </row>
    <row r="19" spans="1:37" s="123" customFormat="1" x14ac:dyDescent="0.35">
      <c r="A19" s="197">
        <v>1014</v>
      </c>
      <c r="B19" s="198">
        <v>3301014</v>
      </c>
      <c r="C19" s="264" t="s">
        <v>167</v>
      </c>
      <c r="D19" s="198" t="s">
        <v>449</v>
      </c>
      <c r="E19" s="198" t="s">
        <v>450</v>
      </c>
      <c r="F19" s="198" t="s">
        <v>27</v>
      </c>
      <c r="G19" s="197" t="s">
        <v>459</v>
      </c>
      <c r="H19" s="197"/>
      <c r="I19" s="265">
        <v>104851.5</v>
      </c>
      <c r="J19" s="265">
        <v>29799.9</v>
      </c>
      <c r="K19" s="267">
        <v>39826.799999999996</v>
      </c>
      <c r="L19" s="267">
        <v>0</v>
      </c>
      <c r="M19" s="267">
        <v>1925.34</v>
      </c>
      <c r="N19" s="269">
        <v>6436.95</v>
      </c>
      <c r="O19" s="269">
        <v>2162.7894736842104</v>
      </c>
      <c r="P19" s="269">
        <v>13260</v>
      </c>
      <c r="Q19" s="269">
        <v>0</v>
      </c>
      <c r="R19" s="269">
        <v>0</v>
      </c>
      <c r="S19" s="270">
        <f t="shared" si="5"/>
        <v>198263.2794736842</v>
      </c>
      <c r="T19" s="272" t="e">
        <f>#REF!+#REF!+#REF!+#REF!+#REF!+#REF!+#REF!+#REF!+#REF!</f>
        <v>#REF!</v>
      </c>
      <c r="U19" s="273" t="e">
        <f t="shared" si="14"/>
        <v>#REF!</v>
      </c>
      <c r="V19" s="274"/>
      <c r="W19" s="123">
        <f t="shared" si="6"/>
        <v>18525</v>
      </c>
      <c r="X19" s="123">
        <f t="shared" si="7"/>
        <v>5265</v>
      </c>
      <c r="Y19" s="123">
        <f t="shared" si="8"/>
        <v>4680</v>
      </c>
      <c r="Z19" s="123">
        <f t="shared" si="15"/>
        <v>0</v>
      </c>
      <c r="AA19" s="123">
        <f t="shared" si="9"/>
        <v>0</v>
      </c>
      <c r="AB19" s="123">
        <f t="shared" si="10"/>
        <v>10552.377049180328</v>
      </c>
      <c r="AC19" s="123">
        <f t="shared" si="11"/>
        <v>7457.894736842105</v>
      </c>
      <c r="AD19" s="123">
        <f t="shared" si="12"/>
        <v>165750</v>
      </c>
      <c r="AE19" s="123">
        <f t="shared" si="16"/>
        <v>28.984045479552535</v>
      </c>
      <c r="AF19" s="123">
        <f t="shared" si="13"/>
        <v>13260</v>
      </c>
      <c r="AG19" s="298">
        <f t="shared" si="17"/>
        <v>5.9999114318517304</v>
      </c>
    </row>
    <row r="20" spans="1:37" x14ac:dyDescent="0.35">
      <c r="A20" s="197">
        <v>1015</v>
      </c>
      <c r="B20" s="198">
        <v>3301015</v>
      </c>
      <c r="C20" s="264" t="s">
        <v>250</v>
      </c>
      <c r="D20" s="198" t="s">
        <v>449</v>
      </c>
      <c r="E20" s="198" t="s">
        <v>450</v>
      </c>
      <c r="F20" s="198" t="s">
        <v>27</v>
      </c>
      <c r="G20" s="197" t="s">
        <v>460</v>
      </c>
      <c r="H20" s="197"/>
      <c r="I20" s="265">
        <v>102644.1</v>
      </c>
      <c r="J20" s="265">
        <v>44148</v>
      </c>
      <c r="K20" s="267">
        <v>24891.75</v>
      </c>
      <c r="L20" s="267">
        <v>0</v>
      </c>
      <c r="M20" s="267">
        <v>3208.8999999999996</v>
      </c>
      <c r="N20" s="269">
        <v>1848.6</v>
      </c>
      <c r="O20" s="269">
        <v>3430.6315789473683</v>
      </c>
      <c r="P20" s="269">
        <v>8970</v>
      </c>
      <c r="Q20" s="269">
        <v>0</v>
      </c>
      <c r="R20" s="269">
        <v>0</v>
      </c>
      <c r="S20" s="270">
        <f t="shared" si="5"/>
        <v>189141.98157894737</v>
      </c>
      <c r="T20" s="272" t="e">
        <f>#REF!+#REF!+#REF!+#REF!+#REF!+#REF!+#REF!+#REF!+#REF!</f>
        <v>#REF!</v>
      </c>
      <c r="U20" s="273" t="e">
        <f t="shared" si="14"/>
        <v>#REF!</v>
      </c>
      <c r="V20" s="274"/>
      <c r="W20" s="123">
        <f t="shared" si="6"/>
        <v>18135</v>
      </c>
      <c r="X20" s="123">
        <f t="shared" si="7"/>
        <v>7800</v>
      </c>
      <c r="Y20" s="123">
        <f t="shared" si="8"/>
        <v>2925</v>
      </c>
      <c r="Z20" s="123">
        <f t="shared" si="15"/>
        <v>0</v>
      </c>
      <c r="AA20" s="123">
        <f t="shared" si="9"/>
        <v>0</v>
      </c>
      <c r="AB20" s="123">
        <f t="shared" si="10"/>
        <v>3030.4918032786886</v>
      </c>
      <c r="AC20" s="123">
        <f t="shared" si="11"/>
        <v>11829.764065335754</v>
      </c>
      <c r="AD20" s="123">
        <f t="shared" si="12"/>
        <v>112125</v>
      </c>
      <c r="AE20" s="123">
        <f t="shared" si="16"/>
        <v>45.97469282963506</v>
      </c>
      <c r="AF20" s="123">
        <f t="shared" si="13"/>
        <v>8970</v>
      </c>
      <c r="AG20" s="298">
        <f t="shared" si="17"/>
        <v>9.9998523864195494</v>
      </c>
    </row>
    <row r="21" spans="1:37" x14ac:dyDescent="0.35">
      <c r="A21" s="197">
        <v>1016</v>
      </c>
      <c r="B21" s="198">
        <v>3301016</v>
      </c>
      <c r="C21" s="264" t="s">
        <v>101</v>
      </c>
      <c r="D21" s="198" t="s">
        <v>449</v>
      </c>
      <c r="E21" s="198" t="s">
        <v>450</v>
      </c>
      <c r="F21" s="198" t="s">
        <v>27</v>
      </c>
      <c r="G21" s="197" t="s">
        <v>461</v>
      </c>
      <c r="H21" s="197"/>
      <c r="I21" s="265">
        <v>86088.6</v>
      </c>
      <c r="J21" s="265">
        <v>32375.200000000001</v>
      </c>
      <c r="K21" s="267">
        <v>19913.399999999998</v>
      </c>
      <c r="L21" s="267">
        <v>0</v>
      </c>
      <c r="M21" s="267">
        <v>0</v>
      </c>
      <c r="N21" s="269">
        <v>3447.6</v>
      </c>
      <c r="O21" s="269">
        <v>2983.1578947368421</v>
      </c>
      <c r="P21" s="269">
        <v>7995</v>
      </c>
      <c r="Q21" s="269">
        <v>0</v>
      </c>
      <c r="R21" s="269">
        <v>0</v>
      </c>
      <c r="S21" s="270">
        <f t="shared" si="5"/>
        <v>152802.95789473687</v>
      </c>
      <c r="T21" s="272" t="e">
        <f>#REF!+#REF!+#REF!+#REF!+#REF!+#REF!+#REF!+#REF!+#REF!</f>
        <v>#REF!</v>
      </c>
      <c r="U21" s="273" t="e">
        <f t="shared" si="14"/>
        <v>#REF!</v>
      </c>
      <c r="V21" s="274"/>
      <c r="W21" s="123">
        <f t="shared" si="6"/>
        <v>15210</v>
      </c>
      <c r="X21" s="123">
        <f t="shared" si="7"/>
        <v>5720</v>
      </c>
      <c r="Y21" s="123">
        <f t="shared" si="8"/>
        <v>2340</v>
      </c>
      <c r="Z21" s="123">
        <f t="shared" si="15"/>
        <v>0</v>
      </c>
      <c r="AA21" s="123">
        <f t="shared" si="9"/>
        <v>0</v>
      </c>
      <c r="AB21" s="123">
        <f t="shared" si="10"/>
        <v>5651.8032786885242</v>
      </c>
      <c r="AC21" s="123">
        <f t="shared" si="11"/>
        <v>10286.751361161525</v>
      </c>
      <c r="AD21" s="123">
        <f t="shared" si="12"/>
        <v>99937.5</v>
      </c>
      <c r="AE21" s="123">
        <f t="shared" si="16"/>
        <v>39.977993764900049</v>
      </c>
      <c r="AF21" s="123">
        <f t="shared" si="13"/>
        <v>7995</v>
      </c>
      <c r="AG21" s="298">
        <f t="shared" si="17"/>
        <v>0</v>
      </c>
    </row>
    <row r="22" spans="1:37" x14ac:dyDescent="0.35">
      <c r="A22" s="197">
        <v>1017</v>
      </c>
      <c r="B22" s="198">
        <v>3301017</v>
      </c>
      <c r="C22" s="264" t="s">
        <v>29</v>
      </c>
      <c r="D22" s="198" t="s">
        <v>449</v>
      </c>
      <c r="E22" s="198" t="s">
        <v>450</v>
      </c>
      <c r="F22" s="198" t="s">
        <v>27</v>
      </c>
      <c r="G22" s="197" t="s">
        <v>462</v>
      </c>
      <c r="H22" s="197"/>
      <c r="I22" s="265">
        <v>122510.7</v>
      </c>
      <c r="J22" s="265">
        <v>58275.360000000001</v>
      </c>
      <c r="K22" s="267">
        <v>66378</v>
      </c>
      <c r="L22" s="267">
        <v>0</v>
      </c>
      <c r="M22" s="267">
        <v>3850.68</v>
      </c>
      <c r="N22" s="269">
        <v>4502.55</v>
      </c>
      <c r="O22" s="269">
        <v>4549.3157894736842</v>
      </c>
      <c r="P22" s="269">
        <v>12285</v>
      </c>
      <c r="Q22" s="269">
        <v>0</v>
      </c>
      <c r="R22" s="269">
        <v>0</v>
      </c>
      <c r="S22" s="270">
        <f t="shared" si="5"/>
        <v>272351.60578947363</v>
      </c>
      <c r="T22" s="272" t="e">
        <f>#REF!+#REF!+#REF!+#REF!+#REF!+#REF!+#REF!+#REF!+#REF!</f>
        <v>#REF!</v>
      </c>
      <c r="U22" s="273" t="e">
        <f t="shared" si="14"/>
        <v>#REF!</v>
      </c>
      <c r="V22" s="274"/>
      <c r="W22" s="123">
        <f t="shared" si="6"/>
        <v>21645</v>
      </c>
      <c r="X22" s="123">
        <f t="shared" si="7"/>
        <v>10296</v>
      </c>
      <c r="Y22" s="123">
        <f t="shared" si="8"/>
        <v>7800</v>
      </c>
      <c r="Z22" s="123">
        <f t="shared" si="15"/>
        <v>0</v>
      </c>
      <c r="AA22" s="123">
        <f t="shared" si="9"/>
        <v>0</v>
      </c>
      <c r="AB22" s="123">
        <f t="shared" si="10"/>
        <v>7381.2295081967213</v>
      </c>
      <c r="AC22" s="123">
        <f t="shared" si="11"/>
        <v>15687.295825771325</v>
      </c>
      <c r="AD22" s="123">
        <f t="shared" si="12"/>
        <v>153562.5</v>
      </c>
      <c r="AE22" s="123">
        <f t="shared" si="16"/>
        <v>60.966440491472575</v>
      </c>
      <c r="AF22" s="123">
        <f t="shared" si="13"/>
        <v>12285</v>
      </c>
      <c r="AG22" s="298">
        <f t="shared" si="17"/>
        <v>11.999822863703461</v>
      </c>
    </row>
    <row r="23" spans="1:37" x14ac:dyDescent="0.35">
      <c r="A23" s="197">
        <v>1018</v>
      </c>
      <c r="B23" s="198">
        <v>3301018</v>
      </c>
      <c r="C23" s="264" t="s">
        <v>129</v>
      </c>
      <c r="D23" s="198" t="s">
        <v>449</v>
      </c>
      <c r="E23" s="198" t="s">
        <v>450</v>
      </c>
      <c r="F23" s="198" t="s">
        <v>27</v>
      </c>
      <c r="G23" s="197" t="s">
        <v>463</v>
      </c>
      <c r="H23" s="197"/>
      <c r="I23" s="265">
        <v>128029.2</v>
      </c>
      <c r="J23" s="265">
        <v>54081.3</v>
      </c>
      <c r="K23" s="267">
        <v>76334.7</v>
      </c>
      <c r="L23" s="267">
        <v>0</v>
      </c>
      <c r="M23" s="267">
        <v>5455.13</v>
      </c>
      <c r="N23" s="269">
        <v>7835.0999999999995</v>
      </c>
      <c r="O23" s="269">
        <v>7681.6315789473683</v>
      </c>
      <c r="P23" s="269">
        <v>20085</v>
      </c>
      <c r="Q23" s="269">
        <v>0</v>
      </c>
      <c r="R23" s="269">
        <v>0</v>
      </c>
      <c r="S23" s="270">
        <f t="shared" si="5"/>
        <v>299502.06157894735</v>
      </c>
      <c r="T23" s="272" t="e">
        <f>#REF!+#REF!+#REF!+#REF!+#REF!+#REF!+#REF!+#REF!+#REF!</f>
        <v>#REF!</v>
      </c>
      <c r="U23" s="273" t="e">
        <f t="shared" si="14"/>
        <v>#REF!</v>
      </c>
      <c r="V23" s="274"/>
      <c r="W23" s="123">
        <f t="shared" si="6"/>
        <v>22620</v>
      </c>
      <c r="X23" s="123">
        <f t="shared" si="7"/>
        <v>9555</v>
      </c>
      <c r="Y23" s="123">
        <f t="shared" si="8"/>
        <v>8970</v>
      </c>
      <c r="Z23" s="123">
        <f t="shared" si="15"/>
        <v>0</v>
      </c>
      <c r="AA23" s="123">
        <f t="shared" si="9"/>
        <v>0</v>
      </c>
      <c r="AB23" s="123">
        <f t="shared" si="10"/>
        <v>12844.426229508195</v>
      </c>
      <c r="AC23" s="123">
        <f t="shared" si="11"/>
        <v>26488.384754990926</v>
      </c>
      <c r="AD23" s="123">
        <f t="shared" si="12"/>
        <v>251062.5</v>
      </c>
      <c r="AE23" s="123">
        <f t="shared" si="16"/>
        <v>102.94333394461762</v>
      </c>
      <c r="AF23" s="123">
        <f t="shared" si="13"/>
        <v>20085</v>
      </c>
      <c r="AG23" s="298">
        <f t="shared" si="17"/>
        <v>16.999749056913238</v>
      </c>
    </row>
    <row r="24" spans="1:37" x14ac:dyDescent="0.35">
      <c r="A24" s="197">
        <v>1019</v>
      </c>
      <c r="B24" s="198">
        <v>3301019</v>
      </c>
      <c r="C24" s="264" t="s">
        <v>185</v>
      </c>
      <c r="D24" s="198" t="s">
        <v>449</v>
      </c>
      <c r="E24" s="198" t="s">
        <v>450</v>
      </c>
      <c r="F24" s="198" t="s">
        <v>27</v>
      </c>
      <c r="G24" s="197" t="s">
        <v>464</v>
      </c>
      <c r="H24" s="197"/>
      <c r="I24" s="265">
        <v>115888.5</v>
      </c>
      <c r="J24" s="265">
        <v>23177.7</v>
      </c>
      <c r="K24" s="267">
        <v>44805.15</v>
      </c>
      <c r="L24" s="267">
        <v>0</v>
      </c>
      <c r="M24" s="267">
        <v>320.89</v>
      </c>
      <c r="N24" s="269">
        <v>5323.4999999999991</v>
      </c>
      <c r="O24" s="269">
        <v>298.31578947368422</v>
      </c>
      <c r="P24" s="269">
        <v>8385</v>
      </c>
      <c r="Q24" s="269">
        <v>0</v>
      </c>
      <c r="R24" s="269">
        <v>0</v>
      </c>
      <c r="S24" s="270">
        <f t="shared" si="5"/>
        <v>198199.0557894737</v>
      </c>
      <c r="T24" s="272" t="e">
        <f>#REF!+#REF!+#REF!+#REF!+#REF!+#REF!+#REF!+#REF!+#REF!</f>
        <v>#REF!</v>
      </c>
      <c r="U24" s="273" t="e">
        <f t="shared" si="14"/>
        <v>#REF!</v>
      </c>
      <c r="V24" s="274"/>
      <c r="W24" s="123">
        <f t="shared" si="6"/>
        <v>20475</v>
      </c>
      <c r="X24" s="123">
        <f t="shared" si="7"/>
        <v>4095</v>
      </c>
      <c r="Y24" s="123">
        <f t="shared" si="8"/>
        <v>5265</v>
      </c>
      <c r="Z24" s="123">
        <f t="shared" si="15"/>
        <v>0</v>
      </c>
      <c r="AA24" s="123">
        <f t="shared" si="9"/>
        <v>0</v>
      </c>
      <c r="AB24" s="123">
        <f t="shared" si="10"/>
        <v>8727.0491803278674</v>
      </c>
      <c r="AC24" s="123">
        <f t="shared" si="11"/>
        <v>1028.6751361161525</v>
      </c>
      <c r="AD24" s="123">
        <f t="shared" si="12"/>
        <v>104812.5</v>
      </c>
      <c r="AE24" s="123">
        <f t="shared" si="16"/>
        <v>3.9977993764900055</v>
      </c>
      <c r="AF24" s="123">
        <f t="shared" si="13"/>
        <v>8385</v>
      </c>
      <c r="AG24" s="298">
        <f t="shared" si="17"/>
        <v>0.99998523864195499</v>
      </c>
    </row>
    <row r="25" spans="1:37" x14ac:dyDescent="0.35">
      <c r="A25" s="197">
        <v>1020</v>
      </c>
      <c r="B25" s="198">
        <v>3301020</v>
      </c>
      <c r="C25" s="264" t="s">
        <v>219</v>
      </c>
      <c r="D25" s="198" t="s">
        <v>449</v>
      </c>
      <c r="E25" s="198" t="s">
        <v>450</v>
      </c>
      <c r="F25" s="198" t="s">
        <v>27</v>
      </c>
      <c r="G25" s="197" t="s">
        <v>465</v>
      </c>
      <c r="H25" s="197"/>
      <c r="I25" s="265">
        <v>157829.1</v>
      </c>
      <c r="J25" s="265">
        <v>45251.700000000004</v>
      </c>
      <c r="K25" s="267">
        <v>112842.59999999999</v>
      </c>
      <c r="L25" s="267">
        <v>4648.8</v>
      </c>
      <c r="M25" s="267">
        <v>3529.79</v>
      </c>
      <c r="N25" s="269">
        <v>12840.749999999998</v>
      </c>
      <c r="O25" s="269">
        <v>8725.7368421052633</v>
      </c>
      <c r="P25" s="269">
        <v>23205</v>
      </c>
      <c r="Q25" s="269">
        <v>0</v>
      </c>
      <c r="R25" s="269">
        <v>0</v>
      </c>
      <c r="S25" s="270">
        <f t="shared" si="5"/>
        <v>368873.47684210527</v>
      </c>
      <c r="T25" s="272" t="e">
        <f>#REF!+#REF!+#REF!+#REF!+#REF!+#REF!+#REF!+#REF!+#REF!</f>
        <v>#REF!</v>
      </c>
      <c r="U25" s="273" t="e">
        <f t="shared" si="14"/>
        <v>#REF!</v>
      </c>
      <c r="V25" s="274"/>
      <c r="W25" s="123">
        <f t="shared" si="6"/>
        <v>27885</v>
      </c>
      <c r="X25" s="123">
        <f t="shared" si="7"/>
        <v>7995.0000000000009</v>
      </c>
      <c r="Y25" s="123">
        <f t="shared" si="8"/>
        <v>13260</v>
      </c>
      <c r="Z25" s="123">
        <v>0</v>
      </c>
      <c r="AA25" s="123">
        <f t="shared" si="9"/>
        <v>390</v>
      </c>
      <c r="AB25" s="123">
        <f t="shared" si="10"/>
        <v>21050.40983606557</v>
      </c>
      <c r="AC25" s="123">
        <f t="shared" si="11"/>
        <v>30088.747731397463</v>
      </c>
      <c r="AD25" s="123">
        <f t="shared" si="12"/>
        <v>290062.5</v>
      </c>
      <c r="AE25" s="123">
        <f t="shared" si="16"/>
        <v>116.93563176233266</v>
      </c>
      <c r="AF25" s="123">
        <f t="shared" si="13"/>
        <v>23205</v>
      </c>
      <c r="AG25" s="298">
        <f t="shared" si="17"/>
        <v>10.999837625061506</v>
      </c>
    </row>
    <row r="26" spans="1:37" x14ac:dyDescent="0.35">
      <c r="A26" s="197">
        <v>1021</v>
      </c>
      <c r="B26" s="198">
        <v>3301021</v>
      </c>
      <c r="C26" s="264" t="s">
        <v>91</v>
      </c>
      <c r="D26" s="198" t="s">
        <v>449</v>
      </c>
      <c r="E26" s="198" t="s">
        <v>450</v>
      </c>
      <c r="F26" s="198" t="s">
        <v>27</v>
      </c>
      <c r="G26" s="197" t="s">
        <v>466</v>
      </c>
      <c r="H26" s="197"/>
      <c r="I26" s="265">
        <v>49666.5</v>
      </c>
      <c r="J26" s="265">
        <v>8829.6</v>
      </c>
      <c r="K26" s="267">
        <v>24891.75</v>
      </c>
      <c r="L26" s="267">
        <v>0</v>
      </c>
      <c r="M26" s="267">
        <v>0</v>
      </c>
      <c r="N26" s="269">
        <v>1911</v>
      </c>
      <c r="O26" s="269">
        <v>2386.5263157894738</v>
      </c>
      <c r="P26" s="269">
        <v>6435</v>
      </c>
      <c r="Q26" s="269">
        <v>0</v>
      </c>
      <c r="R26" s="269">
        <v>0</v>
      </c>
      <c r="S26" s="270">
        <f t="shared" si="5"/>
        <v>94120.376315789486</v>
      </c>
      <c r="T26" s="272" t="e">
        <f>#REF!+#REF!+#REF!+#REF!+#REF!+#REF!+#REF!+#REF!+#REF!</f>
        <v>#REF!</v>
      </c>
      <c r="U26" s="273" t="e">
        <f t="shared" si="14"/>
        <v>#REF!</v>
      </c>
      <c r="V26" s="274"/>
      <c r="W26" s="123">
        <f t="shared" si="6"/>
        <v>8775</v>
      </c>
      <c r="X26" s="123">
        <f t="shared" si="7"/>
        <v>1560</v>
      </c>
      <c r="Y26" s="123">
        <f t="shared" si="8"/>
        <v>2925</v>
      </c>
      <c r="Z26" s="123">
        <f t="shared" si="15"/>
        <v>0</v>
      </c>
      <c r="AA26" s="123">
        <f t="shared" si="9"/>
        <v>0</v>
      </c>
      <c r="AB26" s="123">
        <f t="shared" si="10"/>
        <v>3132.7868852459019</v>
      </c>
      <c r="AC26" s="123">
        <f t="shared" si="11"/>
        <v>8229.4010889292204</v>
      </c>
      <c r="AD26" s="123">
        <f t="shared" si="12"/>
        <v>80437.5</v>
      </c>
      <c r="AE26" s="123">
        <f t="shared" si="16"/>
        <v>31.982395011920044</v>
      </c>
      <c r="AF26" s="123">
        <f t="shared" si="13"/>
        <v>6435</v>
      </c>
      <c r="AG26" s="298">
        <f t="shared" si="17"/>
        <v>0</v>
      </c>
    </row>
    <row r="27" spans="1:37" x14ac:dyDescent="0.35">
      <c r="A27" s="197">
        <v>1022</v>
      </c>
      <c r="B27" s="198">
        <v>3301022</v>
      </c>
      <c r="C27" s="264" t="s">
        <v>81</v>
      </c>
      <c r="D27" s="198" t="s">
        <v>449</v>
      </c>
      <c r="E27" s="198" t="s">
        <v>450</v>
      </c>
      <c r="F27" s="198" t="s">
        <v>27</v>
      </c>
      <c r="G27" s="197" t="s">
        <v>467</v>
      </c>
      <c r="H27" s="197"/>
      <c r="I27" s="265">
        <v>81673.8</v>
      </c>
      <c r="J27" s="265">
        <v>24281.4</v>
      </c>
      <c r="K27" s="267">
        <v>41486.25</v>
      </c>
      <c r="L27" s="267">
        <v>0</v>
      </c>
      <c r="M27" s="267">
        <v>1604.4499999999998</v>
      </c>
      <c r="N27" s="269">
        <v>4543.5</v>
      </c>
      <c r="O27" s="269">
        <v>1267.8421052631579</v>
      </c>
      <c r="P27" s="269">
        <v>8580</v>
      </c>
      <c r="Q27" s="269">
        <v>0</v>
      </c>
      <c r="R27" s="269">
        <v>0</v>
      </c>
      <c r="S27" s="270">
        <f t="shared" si="5"/>
        <v>163437.24210526317</v>
      </c>
      <c r="T27" s="272" t="e">
        <f>#REF!+#REF!+#REF!+#REF!+#REF!+#REF!+#REF!+#REF!+#REF!</f>
        <v>#REF!</v>
      </c>
      <c r="U27" s="273" t="e">
        <f t="shared" si="14"/>
        <v>#REF!</v>
      </c>
      <c r="V27" s="274"/>
      <c r="W27" s="123">
        <f t="shared" si="6"/>
        <v>14430</v>
      </c>
      <c r="X27" s="123">
        <f t="shared" si="7"/>
        <v>4290</v>
      </c>
      <c r="Y27" s="123">
        <f t="shared" si="8"/>
        <v>4875</v>
      </c>
      <c r="Z27" s="123">
        <f t="shared" si="15"/>
        <v>0</v>
      </c>
      <c r="AA27" s="123">
        <f t="shared" si="9"/>
        <v>0</v>
      </c>
      <c r="AB27" s="123">
        <f t="shared" si="10"/>
        <v>7448.3606557377052</v>
      </c>
      <c r="AC27" s="123">
        <f t="shared" si="11"/>
        <v>4371.869328493648</v>
      </c>
      <c r="AD27" s="123">
        <f t="shared" si="12"/>
        <v>107250</v>
      </c>
      <c r="AE27" s="123">
        <f t="shared" si="16"/>
        <v>16.990647350082522</v>
      </c>
      <c r="AF27" s="123">
        <f t="shared" si="13"/>
        <v>8580</v>
      </c>
      <c r="AG27" s="298">
        <f t="shared" si="17"/>
        <v>4.9999261932097747</v>
      </c>
    </row>
    <row r="28" spans="1:37" x14ac:dyDescent="0.35">
      <c r="A28" s="197">
        <v>1023</v>
      </c>
      <c r="B28" s="198">
        <v>3301023</v>
      </c>
      <c r="C28" s="264" t="s">
        <v>97</v>
      </c>
      <c r="D28" s="198" t="s">
        <v>449</v>
      </c>
      <c r="E28" s="198" t="s">
        <v>450</v>
      </c>
      <c r="F28" s="198" t="s">
        <v>27</v>
      </c>
      <c r="G28" s="197" t="s">
        <v>468</v>
      </c>
      <c r="H28" s="197"/>
      <c r="I28" s="265">
        <v>96021.900000000009</v>
      </c>
      <c r="J28" s="265">
        <v>9933.3000000000011</v>
      </c>
      <c r="K28" s="267">
        <v>33189</v>
      </c>
      <c r="L28" s="267">
        <v>0</v>
      </c>
      <c r="M28" s="267">
        <v>2567.12</v>
      </c>
      <c r="N28" s="269">
        <v>3775.2</v>
      </c>
      <c r="O28" s="269">
        <v>1342.421052631579</v>
      </c>
      <c r="P28" s="269">
        <v>10725</v>
      </c>
      <c r="Q28" s="269">
        <v>0</v>
      </c>
      <c r="R28" s="269">
        <v>0</v>
      </c>
      <c r="S28" s="270">
        <f t="shared" si="5"/>
        <v>157553.94105263159</v>
      </c>
      <c r="T28" s="272" t="e">
        <f>#REF!+#REF!+#REF!+#REF!+#REF!+#REF!+#REF!+#REF!+#REF!</f>
        <v>#REF!</v>
      </c>
      <c r="U28" s="273" t="e">
        <f t="shared" si="14"/>
        <v>#REF!</v>
      </c>
      <c r="V28" s="274"/>
      <c r="W28" s="123">
        <f t="shared" si="6"/>
        <v>16965</v>
      </c>
      <c r="X28" s="123">
        <f t="shared" si="7"/>
        <v>1755.0000000000002</v>
      </c>
      <c r="Y28" s="123">
        <f t="shared" si="8"/>
        <v>3900</v>
      </c>
      <c r="Z28" s="123">
        <f t="shared" si="15"/>
        <v>0</v>
      </c>
      <c r="AA28" s="123">
        <f t="shared" si="9"/>
        <v>0</v>
      </c>
      <c r="AB28" s="123">
        <f t="shared" si="10"/>
        <v>6188.8524590163934</v>
      </c>
      <c r="AC28" s="123">
        <f t="shared" si="11"/>
        <v>4629.0381125226868</v>
      </c>
      <c r="AD28" s="123">
        <f t="shared" si="12"/>
        <v>134062.5</v>
      </c>
      <c r="AE28" s="123">
        <f t="shared" si="16"/>
        <v>17.990097194205024</v>
      </c>
      <c r="AF28" s="123">
        <f t="shared" si="13"/>
        <v>10725</v>
      </c>
      <c r="AG28" s="298">
        <f t="shared" si="17"/>
        <v>7.9998819091356399</v>
      </c>
    </row>
    <row r="29" spans="1:37" x14ac:dyDescent="0.35">
      <c r="A29" s="197">
        <v>1024</v>
      </c>
      <c r="B29" s="198">
        <v>3301024</v>
      </c>
      <c r="C29" s="264" t="s">
        <v>251</v>
      </c>
      <c r="D29" s="198" t="s">
        <v>449</v>
      </c>
      <c r="E29" s="198" t="s">
        <v>450</v>
      </c>
      <c r="F29" s="198" t="s">
        <v>27</v>
      </c>
      <c r="G29" s="197" t="s">
        <v>469</v>
      </c>
      <c r="H29" s="197"/>
      <c r="I29" s="265">
        <v>70636.800000000003</v>
      </c>
      <c r="J29" s="265">
        <v>4414.8</v>
      </c>
      <c r="K29" s="267">
        <v>43145.7</v>
      </c>
      <c r="L29" s="267">
        <v>0</v>
      </c>
      <c r="M29" s="267">
        <v>320.89</v>
      </c>
      <c r="N29" s="269">
        <v>5826.6</v>
      </c>
      <c r="O29" s="269">
        <v>3878.105263157895</v>
      </c>
      <c r="P29" s="269">
        <v>11310</v>
      </c>
      <c r="Q29" s="269">
        <v>0</v>
      </c>
      <c r="R29" s="269">
        <v>1840.6320000000001</v>
      </c>
      <c r="S29" s="270">
        <f t="shared" si="5"/>
        <v>141373.52726315791</v>
      </c>
      <c r="T29" s="272" t="e">
        <f>#REF!+#REF!+#REF!+#REF!+#REF!+#REF!+#REF!+#REF!+#REF!</f>
        <v>#REF!</v>
      </c>
      <c r="U29" s="273" t="e">
        <f t="shared" si="14"/>
        <v>#REF!</v>
      </c>
      <c r="V29" s="274"/>
      <c r="W29" s="123">
        <f t="shared" si="6"/>
        <v>12805.199999999999</v>
      </c>
      <c r="X29" s="123">
        <f t="shared" si="7"/>
        <v>780</v>
      </c>
      <c r="Y29" s="123">
        <f t="shared" si="8"/>
        <v>5070</v>
      </c>
      <c r="Z29" s="123">
        <f t="shared" si="15"/>
        <v>0</v>
      </c>
      <c r="AA29" s="123">
        <f t="shared" si="9"/>
        <v>0</v>
      </c>
      <c r="AB29" s="123">
        <f t="shared" si="10"/>
        <v>9551.8032786885251</v>
      </c>
      <c r="AC29" s="123">
        <f t="shared" si="11"/>
        <v>13372.776769509985</v>
      </c>
      <c r="AD29" s="123">
        <f t="shared" si="12"/>
        <v>141375</v>
      </c>
      <c r="AE29" s="123">
        <f t="shared" si="16"/>
        <v>51.971391894370072</v>
      </c>
      <c r="AF29" s="123">
        <f t="shared" si="13"/>
        <v>11310</v>
      </c>
      <c r="AG29" s="298">
        <f t="shared" si="17"/>
        <v>0.99998523864195499</v>
      </c>
    </row>
    <row r="30" spans="1:37" x14ac:dyDescent="0.35">
      <c r="A30" s="197">
        <v>1025</v>
      </c>
      <c r="B30" s="198">
        <v>3301025</v>
      </c>
      <c r="C30" s="264" t="s">
        <v>40</v>
      </c>
      <c r="D30" s="198" t="s">
        <v>449</v>
      </c>
      <c r="E30" s="198" t="s">
        <v>450</v>
      </c>
      <c r="F30" s="198" t="s">
        <v>27</v>
      </c>
      <c r="G30" s="197" t="s">
        <v>470</v>
      </c>
      <c r="H30" s="197"/>
      <c r="I30" s="265">
        <v>103747.8</v>
      </c>
      <c r="J30" s="265">
        <v>17659.2</v>
      </c>
      <c r="K30" s="267">
        <v>84631.95</v>
      </c>
      <c r="L30" s="267">
        <v>0</v>
      </c>
      <c r="M30" s="267">
        <v>3529.79</v>
      </c>
      <c r="N30" s="269">
        <v>10980.449999999999</v>
      </c>
      <c r="O30" s="269">
        <v>5593.4210526315792</v>
      </c>
      <c r="P30" s="269">
        <v>19305</v>
      </c>
      <c r="Q30" s="269">
        <v>0</v>
      </c>
      <c r="R30" s="269">
        <v>0</v>
      </c>
      <c r="S30" s="270">
        <f t="shared" si="5"/>
        <v>245447.6110526316</v>
      </c>
      <c r="T30" s="272" t="e">
        <f>#REF!+#REF!+#REF!+#REF!+#REF!+#REF!+#REF!+#REF!+#REF!</f>
        <v>#REF!</v>
      </c>
      <c r="U30" s="273" t="e">
        <f t="shared" si="14"/>
        <v>#REF!</v>
      </c>
      <c r="V30" s="274"/>
      <c r="W30" s="123">
        <f t="shared" si="6"/>
        <v>18330</v>
      </c>
      <c r="X30" s="123">
        <f t="shared" si="7"/>
        <v>3120</v>
      </c>
      <c r="Y30" s="123">
        <f t="shared" si="8"/>
        <v>9945</v>
      </c>
      <c r="Z30" s="123">
        <f t="shared" si="15"/>
        <v>0</v>
      </c>
      <c r="AA30" s="123">
        <f t="shared" si="9"/>
        <v>0</v>
      </c>
      <c r="AB30" s="123">
        <f t="shared" si="10"/>
        <v>18000.737704918032</v>
      </c>
      <c r="AC30" s="123">
        <f t="shared" si="11"/>
        <v>19287.658802177859</v>
      </c>
      <c r="AD30" s="123">
        <f t="shared" si="12"/>
        <v>241312.5</v>
      </c>
      <c r="AE30" s="123">
        <f t="shared" si="16"/>
        <v>74.958738309187609</v>
      </c>
      <c r="AF30" s="123">
        <f t="shared" si="13"/>
        <v>19305</v>
      </c>
      <c r="AG30" s="298">
        <f t="shared" si="17"/>
        <v>10.999837625061506</v>
      </c>
    </row>
    <row r="31" spans="1:37" x14ac:dyDescent="0.35">
      <c r="A31" s="197">
        <v>1026</v>
      </c>
      <c r="B31" s="198">
        <v>3301026</v>
      </c>
      <c r="C31" s="264" t="s">
        <v>73</v>
      </c>
      <c r="D31" s="198" t="s">
        <v>449</v>
      </c>
      <c r="E31" s="198" t="s">
        <v>450</v>
      </c>
      <c r="F31" s="198" t="s">
        <v>27</v>
      </c>
      <c r="G31" s="197" t="s">
        <v>471</v>
      </c>
      <c r="H31" s="197"/>
      <c r="I31" s="265">
        <v>112577.40000000001</v>
      </c>
      <c r="J31" s="265">
        <v>27592.5</v>
      </c>
      <c r="K31" s="267">
        <v>49783.5</v>
      </c>
      <c r="L31" s="267">
        <v>0</v>
      </c>
      <c r="M31" s="267">
        <v>1604.4499999999998</v>
      </c>
      <c r="N31" s="269">
        <v>2086.5</v>
      </c>
      <c r="O31" s="269">
        <v>2088.2105263157896</v>
      </c>
      <c r="P31" s="269">
        <v>11700</v>
      </c>
      <c r="Q31" s="269">
        <v>0</v>
      </c>
      <c r="R31" s="269">
        <v>0</v>
      </c>
      <c r="S31" s="270">
        <f t="shared" si="5"/>
        <v>207432.56052631582</v>
      </c>
      <c r="T31" s="272" t="e">
        <f>#REF!+#REF!+#REF!+#REF!+#REF!+#REF!+#REF!+#REF!+#REF!</f>
        <v>#REF!</v>
      </c>
      <c r="U31" s="273" t="e">
        <f t="shared" si="14"/>
        <v>#REF!</v>
      </c>
      <c r="V31" s="274"/>
      <c r="W31" s="123">
        <f t="shared" si="6"/>
        <v>19890</v>
      </c>
      <c r="X31" s="123">
        <f t="shared" si="7"/>
        <v>4875</v>
      </c>
      <c r="Y31" s="123">
        <f t="shared" si="8"/>
        <v>5850</v>
      </c>
      <c r="Z31" s="123">
        <f t="shared" si="15"/>
        <v>0</v>
      </c>
      <c r="AA31" s="123">
        <f t="shared" si="9"/>
        <v>0</v>
      </c>
      <c r="AB31" s="123">
        <f t="shared" si="10"/>
        <v>3420.4918032786886</v>
      </c>
      <c r="AC31" s="123">
        <f t="shared" si="11"/>
        <v>7200.725952813068</v>
      </c>
      <c r="AD31" s="123">
        <f t="shared" si="12"/>
        <v>146250</v>
      </c>
      <c r="AE31" s="123">
        <f t="shared" si="16"/>
        <v>27.98459563543004</v>
      </c>
      <c r="AF31" s="123">
        <f t="shared" si="13"/>
        <v>11700</v>
      </c>
      <c r="AG31" s="298">
        <f t="shared" si="17"/>
        <v>4.9999261932097747</v>
      </c>
    </row>
    <row r="32" spans="1:37" x14ac:dyDescent="0.35">
      <c r="A32" s="197">
        <v>1027</v>
      </c>
      <c r="B32" s="198">
        <v>3301027</v>
      </c>
      <c r="C32" s="264" t="s">
        <v>25</v>
      </c>
      <c r="D32" s="198" t="s">
        <v>449</v>
      </c>
      <c r="E32" s="198" t="s">
        <v>450</v>
      </c>
      <c r="F32" s="198" t="s">
        <v>27</v>
      </c>
      <c r="G32" s="197" t="s">
        <v>472</v>
      </c>
      <c r="H32" s="197"/>
      <c r="I32" s="265">
        <v>86530.08</v>
      </c>
      <c r="J32" s="265">
        <v>17659.2</v>
      </c>
      <c r="K32" s="267">
        <v>49783.5</v>
      </c>
      <c r="L32" s="267">
        <v>2324.4</v>
      </c>
      <c r="M32" s="267">
        <v>2888.0099999999998</v>
      </c>
      <c r="N32" s="269">
        <v>4344.5999999999995</v>
      </c>
      <c r="O32" s="269">
        <v>3430.6315789473683</v>
      </c>
      <c r="P32" s="269">
        <v>9165</v>
      </c>
      <c r="Q32" s="269">
        <v>0</v>
      </c>
      <c r="R32" s="269">
        <v>5521.8960000000006</v>
      </c>
      <c r="S32" s="270">
        <f t="shared" si="5"/>
        <v>181647.31757894738</v>
      </c>
      <c r="T32" s="272" t="e">
        <f>#REF!+#REF!+#REF!+#REF!+#REF!+#REF!+#REF!+#REF!+#REF!</f>
        <v>#REF!</v>
      </c>
      <c r="U32" s="273" t="e">
        <f t="shared" si="14"/>
        <v>#REF!</v>
      </c>
      <c r="V32" s="274"/>
      <c r="W32" s="123">
        <f t="shared" si="6"/>
        <v>16263.599999999999</v>
      </c>
      <c r="X32" s="123">
        <f t="shared" si="7"/>
        <v>3120</v>
      </c>
      <c r="Y32" s="123">
        <f t="shared" si="8"/>
        <v>5850</v>
      </c>
      <c r="Z32" s="123">
        <v>0</v>
      </c>
      <c r="AA32" s="123">
        <f t="shared" si="9"/>
        <v>195</v>
      </c>
      <c r="AE32" s="123">
        <f t="shared" si="16"/>
        <v>45.97469282963506</v>
      </c>
      <c r="AF32" s="123">
        <f t="shared" si="13"/>
        <v>9165</v>
      </c>
      <c r="AG32" s="298">
        <f t="shared" si="17"/>
        <v>8.9998671477775947</v>
      </c>
    </row>
    <row r="33" spans="1:33" x14ac:dyDescent="0.35">
      <c r="A33" s="197">
        <v>1028</v>
      </c>
      <c r="B33" s="198">
        <v>3301028</v>
      </c>
      <c r="C33" s="264" t="s">
        <v>201</v>
      </c>
      <c r="D33" s="198" t="s">
        <v>449</v>
      </c>
      <c r="E33" s="198" t="s">
        <v>450</v>
      </c>
      <c r="F33" s="198" t="s">
        <v>27</v>
      </c>
      <c r="G33" s="197" t="s">
        <v>473</v>
      </c>
      <c r="H33" s="197"/>
      <c r="I33" s="265">
        <v>75051.600000000006</v>
      </c>
      <c r="J33" s="265">
        <v>8829.6</v>
      </c>
      <c r="K33" s="267">
        <v>41486.25</v>
      </c>
      <c r="L33" s="267">
        <v>0</v>
      </c>
      <c r="M33" s="267">
        <v>1925.34</v>
      </c>
      <c r="N33" s="269">
        <v>8901.75</v>
      </c>
      <c r="O33" s="269">
        <v>1939.0526315789475</v>
      </c>
      <c r="P33" s="269">
        <v>14430</v>
      </c>
      <c r="Q33" s="269">
        <v>0</v>
      </c>
      <c r="R33" s="269">
        <v>0</v>
      </c>
      <c r="S33" s="270">
        <f t="shared" si="5"/>
        <v>152563.59263157897</v>
      </c>
      <c r="T33" s="272" t="e">
        <f>#REF!+#REF!+#REF!+#REF!+#REF!+#REF!+#REF!+#REF!+#REF!</f>
        <v>#REF!</v>
      </c>
      <c r="U33" s="273" t="e">
        <f t="shared" si="14"/>
        <v>#REF!</v>
      </c>
      <c r="V33" s="274"/>
      <c r="W33" s="123">
        <f t="shared" si="6"/>
        <v>13260</v>
      </c>
      <c r="X33" s="123">
        <f t="shared" si="7"/>
        <v>1560</v>
      </c>
      <c r="Y33" s="123">
        <f t="shared" si="8"/>
        <v>4875</v>
      </c>
      <c r="Z33" s="123">
        <f t="shared" ref="Z33:Z64" si="18">L33/$Z$8</f>
        <v>0</v>
      </c>
      <c r="AA33" s="123">
        <f t="shared" si="9"/>
        <v>0</v>
      </c>
      <c r="AB33" s="123">
        <f t="shared" ref="AB33:AB64" si="19">N33/$AB$8</f>
        <v>14593.032786885246</v>
      </c>
      <c r="AC33" s="123">
        <f t="shared" ref="AC33:AC64" si="20">O33/$AC$8</f>
        <v>6686.3883847549923</v>
      </c>
      <c r="AD33" s="123">
        <f t="shared" ref="AD33:AD64" si="21">P33/$AD$8</f>
        <v>180375</v>
      </c>
      <c r="AE33" s="123">
        <f t="shared" si="16"/>
        <v>25.985695947185036</v>
      </c>
      <c r="AF33" s="123">
        <f t="shared" si="13"/>
        <v>14430</v>
      </c>
      <c r="AG33" s="298">
        <f t="shared" si="17"/>
        <v>5.9999114318517304</v>
      </c>
    </row>
    <row r="34" spans="1:33" ht="26" x14ac:dyDescent="0.35">
      <c r="A34" s="197">
        <v>1038</v>
      </c>
      <c r="B34" s="198">
        <v>3301038</v>
      </c>
      <c r="C34" s="264" t="s">
        <v>252</v>
      </c>
      <c r="D34" s="198" t="s">
        <v>449</v>
      </c>
      <c r="E34" s="198" t="s">
        <v>450</v>
      </c>
      <c r="F34" s="198" t="s">
        <v>27</v>
      </c>
      <c r="G34" s="197" t="s">
        <v>474</v>
      </c>
      <c r="H34" s="197"/>
      <c r="I34" s="265">
        <v>122510.7</v>
      </c>
      <c r="J34" s="265">
        <v>60703.5</v>
      </c>
      <c r="K34" s="267">
        <v>76334.7</v>
      </c>
      <c r="L34" s="267">
        <v>0</v>
      </c>
      <c r="M34" s="267">
        <v>962.67</v>
      </c>
      <c r="N34" s="269">
        <v>8905.65</v>
      </c>
      <c r="O34" s="269">
        <v>4325.5789473684208</v>
      </c>
      <c r="P34" s="269">
        <v>12285</v>
      </c>
      <c r="Q34" s="269">
        <v>0</v>
      </c>
      <c r="R34" s="269">
        <v>0</v>
      </c>
      <c r="S34" s="270">
        <f t="shared" si="5"/>
        <v>286027.79894736846</v>
      </c>
      <c r="T34" s="272" t="e">
        <f>#REF!+#REF!+#REF!+#REF!+#REF!+#REF!+#REF!+#REF!+#REF!</f>
        <v>#REF!</v>
      </c>
      <c r="U34" s="273" t="e">
        <f t="shared" si="14"/>
        <v>#REF!</v>
      </c>
      <c r="V34" s="274"/>
      <c r="W34" s="123">
        <f t="shared" si="6"/>
        <v>21645</v>
      </c>
      <c r="X34" s="123">
        <f t="shared" si="7"/>
        <v>10725</v>
      </c>
      <c r="Y34" s="123">
        <f t="shared" si="8"/>
        <v>8970</v>
      </c>
      <c r="Z34" s="123">
        <f t="shared" si="18"/>
        <v>0</v>
      </c>
      <c r="AA34" s="123">
        <f t="shared" si="9"/>
        <v>0</v>
      </c>
      <c r="AB34" s="123">
        <f t="shared" si="19"/>
        <v>14599.426229508197</v>
      </c>
      <c r="AC34" s="123">
        <f t="shared" si="20"/>
        <v>14915.78947368421</v>
      </c>
      <c r="AD34" s="123">
        <f t="shared" si="21"/>
        <v>153562.5</v>
      </c>
      <c r="AE34" s="123">
        <f t="shared" si="16"/>
        <v>57.968090959105069</v>
      </c>
      <c r="AF34" s="123">
        <f t="shared" si="13"/>
        <v>12285</v>
      </c>
      <c r="AG34" s="298">
        <f t="shared" si="17"/>
        <v>2.9999557159258652</v>
      </c>
    </row>
    <row r="35" spans="1:33" x14ac:dyDescent="0.35">
      <c r="A35" s="197">
        <v>1048</v>
      </c>
      <c r="B35" s="198">
        <v>3301048</v>
      </c>
      <c r="C35" s="264" t="s">
        <v>53</v>
      </c>
      <c r="D35" s="198" t="s">
        <v>449</v>
      </c>
      <c r="E35" s="198" t="s">
        <v>450</v>
      </c>
      <c r="F35" s="198" t="s">
        <v>27</v>
      </c>
      <c r="G35" s="197" t="s">
        <v>475</v>
      </c>
      <c r="H35" s="197"/>
      <c r="I35" s="265">
        <v>132444</v>
      </c>
      <c r="J35" s="265">
        <v>38629.5</v>
      </c>
      <c r="K35" s="267">
        <v>49783.5</v>
      </c>
      <c r="L35" s="267">
        <v>0</v>
      </c>
      <c r="M35" s="267">
        <v>2888.0099999999998</v>
      </c>
      <c r="N35" s="269">
        <v>10360.35</v>
      </c>
      <c r="O35" s="269">
        <v>6562.9473684210525</v>
      </c>
      <c r="P35" s="269">
        <v>17160</v>
      </c>
      <c r="Q35" s="269">
        <v>0</v>
      </c>
      <c r="R35" s="269">
        <v>0</v>
      </c>
      <c r="S35" s="270">
        <f t="shared" si="5"/>
        <v>257828.30736842105</v>
      </c>
      <c r="T35" s="272" t="e">
        <f>#REF!+#REF!+#REF!+#REF!+#REF!+#REF!+#REF!+#REF!+#REF!</f>
        <v>#REF!</v>
      </c>
      <c r="U35" s="273" t="e">
        <f t="shared" si="14"/>
        <v>#REF!</v>
      </c>
      <c r="V35" s="274"/>
      <c r="W35" s="123">
        <f t="shared" si="6"/>
        <v>23400</v>
      </c>
      <c r="X35" s="123">
        <f t="shared" si="7"/>
        <v>6825</v>
      </c>
      <c r="Y35" s="123">
        <f t="shared" si="8"/>
        <v>5850</v>
      </c>
      <c r="Z35" s="123">
        <f t="shared" si="18"/>
        <v>0</v>
      </c>
      <c r="AA35" s="123">
        <f t="shared" si="9"/>
        <v>0</v>
      </c>
      <c r="AB35" s="123">
        <f t="shared" si="19"/>
        <v>16984.180327868853</v>
      </c>
      <c r="AC35" s="123">
        <f t="shared" si="20"/>
        <v>22630.852994555356</v>
      </c>
      <c r="AD35" s="123">
        <f t="shared" si="21"/>
        <v>214500</v>
      </c>
      <c r="AE35" s="123">
        <f t="shared" si="16"/>
        <v>87.951586282780113</v>
      </c>
      <c r="AF35" s="123">
        <f t="shared" si="13"/>
        <v>17160</v>
      </c>
      <c r="AG35" s="298">
        <f t="shared" si="17"/>
        <v>8.9998671477775947</v>
      </c>
    </row>
    <row r="36" spans="1:33" x14ac:dyDescent="0.35">
      <c r="A36" s="197">
        <v>1049</v>
      </c>
      <c r="B36" s="198">
        <v>3301049</v>
      </c>
      <c r="C36" s="264" t="s">
        <v>117</v>
      </c>
      <c r="D36" s="198" t="s">
        <v>449</v>
      </c>
      <c r="E36" s="198" t="s">
        <v>450</v>
      </c>
      <c r="F36" s="198" t="s">
        <v>27</v>
      </c>
      <c r="G36" s="197" t="s">
        <v>476</v>
      </c>
      <c r="H36" s="197"/>
      <c r="I36" s="265">
        <v>116992.2</v>
      </c>
      <c r="J36" s="265">
        <v>16555.5</v>
      </c>
      <c r="K36" s="267">
        <v>43145.7</v>
      </c>
      <c r="L36" s="267">
        <v>0</v>
      </c>
      <c r="M36" s="267">
        <v>2567.12</v>
      </c>
      <c r="N36" s="269">
        <v>8726.25</v>
      </c>
      <c r="O36" s="269">
        <v>2013.6315789473686</v>
      </c>
      <c r="P36" s="269">
        <v>17940</v>
      </c>
      <c r="Q36" s="269">
        <v>0</v>
      </c>
      <c r="R36" s="269">
        <v>0</v>
      </c>
      <c r="S36" s="270">
        <f t="shared" si="5"/>
        <v>207940.40157894738</v>
      </c>
      <c r="T36" s="272" t="e">
        <f>#REF!+#REF!+#REF!+#REF!+#REF!+#REF!+#REF!+#REF!+#REF!</f>
        <v>#REF!</v>
      </c>
      <c r="U36" s="273" t="e">
        <f t="shared" si="14"/>
        <v>#REF!</v>
      </c>
      <c r="V36" s="274"/>
      <c r="W36" s="123">
        <f t="shared" si="6"/>
        <v>20670</v>
      </c>
      <c r="X36" s="123">
        <f t="shared" si="7"/>
        <v>2925</v>
      </c>
      <c r="Y36" s="123">
        <f t="shared" si="8"/>
        <v>5070</v>
      </c>
      <c r="Z36" s="123">
        <f t="shared" si="18"/>
        <v>0</v>
      </c>
      <c r="AA36" s="123">
        <f t="shared" si="9"/>
        <v>0</v>
      </c>
      <c r="AB36" s="123">
        <f t="shared" si="19"/>
        <v>14305.327868852459</v>
      </c>
      <c r="AC36" s="123">
        <f t="shared" si="20"/>
        <v>6943.5571687840302</v>
      </c>
      <c r="AD36" s="123">
        <f t="shared" si="21"/>
        <v>224250</v>
      </c>
      <c r="AE36" s="123">
        <f t="shared" si="16"/>
        <v>26.985145791307534</v>
      </c>
      <c r="AF36" s="123">
        <f t="shared" si="13"/>
        <v>17940</v>
      </c>
      <c r="AG36" s="298">
        <f t="shared" si="17"/>
        <v>7.9998819091356399</v>
      </c>
    </row>
    <row r="37" spans="1:33" x14ac:dyDescent="0.35">
      <c r="A37" s="197">
        <v>1802</v>
      </c>
      <c r="B37" s="198">
        <v>3301802</v>
      </c>
      <c r="C37" s="264" t="s">
        <v>189</v>
      </c>
      <c r="D37" s="198" t="s">
        <v>449</v>
      </c>
      <c r="E37" s="198" t="s">
        <v>450</v>
      </c>
      <c r="F37" s="198" t="s">
        <v>27</v>
      </c>
      <c r="G37" s="197" t="s">
        <v>477</v>
      </c>
      <c r="H37" s="197"/>
      <c r="I37" s="265">
        <v>67325.7</v>
      </c>
      <c r="J37" s="265">
        <v>13244.4</v>
      </c>
      <c r="K37" s="267">
        <v>66378</v>
      </c>
      <c r="L37" s="267">
        <v>0</v>
      </c>
      <c r="M37" s="267">
        <v>320.89</v>
      </c>
      <c r="N37" s="269">
        <v>5926.0499999999993</v>
      </c>
      <c r="O37" s="269">
        <v>3952.6842105263158</v>
      </c>
      <c r="P37" s="269">
        <v>10335</v>
      </c>
      <c r="Q37" s="269">
        <v>1346.4</v>
      </c>
      <c r="R37" s="269">
        <v>920.31600000000003</v>
      </c>
      <c r="S37" s="270">
        <f t="shared" si="5"/>
        <v>169749.44021052629</v>
      </c>
      <c r="T37" s="272" t="e">
        <f>#REF!+#REF!+#REF!+#REF!+#REF!+#REF!+#REF!+#REF!+#REF!</f>
        <v>#REF!</v>
      </c>
      <c r="U37" s="273" t="e">
        <f t="shared" si="14"/>
        <v>#REF!</v>
      </c>
      <c r="V37" s="274"/>
      <c r="W37" s="123">
        <f t="shared" si="6"/>
        <v>12057.6</v>
      </c>
      <c r="X37" s="123">
        <f t="shared" si="7"/>
        <v>2340</v>
      </c>
      <c r="Y37" s="123">
        <f t="shared" si="8"/>
        <v>7958.2138660399523</v>
      </c>
      <c r="Z37" s="123">
        <f t="shared" si="18"/>
        <v>0</v>
      </c>
      <c r="AA37" s="123">
        <f t="shared" si="9"/>
        <v>0</v>
      </c>
      <c r="AB37" s="123">
        <f t="shared" si="19"/>
        <v>9714.8360655737688</v>
      </c>
      <c r="AC37" s="123">
        <f t="shared" si="20"/>
        <v>13629.945553539021</v>
      </c>
      <c r="AD37" s="123">
        <f t="shared" si="21"/>
        <v>129187.5</v>
      </c>
      <c r="AE37" s="123">
        <f t="shared" si="16"/>
        <v>52.970841738492574</v>
      </c>
      <c r="AF37" s="123">
        <f t="shared" si="13"/>
        <v>10335</v>
      </c>
      <c r="AG37" s="298">
        <f t="shared" si="17"/>
        <v>0.99998523864195499</v>
      </c>
    </row>
    <row r="38" spans="1:33" ht="26" x14ac:dyDescent="0.35">
      <c r="A38" s="197">
        <v>2003</v>
      </c>
      <c r="B38" s="198">
        <v>3302003</v>
      </c>
      <c r="C38" s="264" t="s">
        <v>253</v>
      </c>
      <c r="D38" s="198" t="s">
        <v>563</v>
      </c>
      <c r="E38" s="198" t="s">
        <v>564</v>
      </c>
      <c r="F38" s="198" t="s">
        <v>49</v>
      </c>
      <c r="G38" s="197" t="s">
        <v>565</v>
      </c>
      <c r="H38" s="197"/>
      <c r="I38" s="265">
        <v>76155.3</v>
      </c>
      <c r="J38" s="265">
        <v>0</v>
      </c>
      <c r="K38" s="267">
        <v>0</v>
      </c>
      <c r="L38" s="267">
        <v>0</v>
      </c>
      <c r="M38" s="267">
        <v>0</v>
      </c>
      <c r="N38" s="269">
        <v>2263.9499999999998</v>
      </c>
      <c r="O38" s="269">
        <v>1864.4736842105265</v>
      </c>
      <c r="P38" s="269">
        <v>4875</v>
      </c>
      <c r="Q38" s="269">
        <v>0</v>
      </c>
      <c r="R38" s="269">
        <v>0</v>
      </c>
      <c r="S38" s="270">
        <f t="shared" si="5"/>
        <v>85158.723684210519</v>
      </c>
      <c r="T38" s="272" t="e">
        <f>#REF!+#REF!+#REF!+#REF!+#REF!+#REF!+#REF!+#REF!+#REF!</f>
        <v>#REF!</v>
      </c>
      <c r="U38" s="273" t="e">
        <f t="shared" si="14"/>
        <v>#REF!</v>
      </c>
      <c r="V38" s="274"/>
      <c r="W38" s="123">
        <f t="shared" si="6"/>
        <v>13455</v>
      </c>
      <c r="X38" s="297">
        <f t="shared" si="7"/>
        <v>0</v>
      </c>
      <c r="Y38" s="123">
        <f t="shared" si="8"/>
        <v>0</v>
      </c>
      <c r="Z38" s="123">
        <f t="shared" si="18"/>
        <v>0</v>
      </c>
      <c r="AA38" s="123">
        <f t="shared" si="9"/>
        <v>0</v>
      </c>
      <c r="AB38" s="123">
        <f t="shared" si="19"/>
        <v>3711.3934426229507</v>
      </c>
      <c r="AC38" s="123">
        <f t="shared" si="20"/>
        <v>6429.2196007259536</v>
      </c>
      <c r="AD38" s="123">
        <f t="shared" si="21"/>
        <v>60937.5</v>
      </c>
      <c r="AE38" s="123">
        <f t="shared" si="16"/>
        <v>24.986246103062534</v>
      </c>
      <c r="AF38" s="123">
        <f t="shared" si="13"/>
        <v>4875</v>
      </c>
      <c r="AG38" s="298">
        <f t="shared" si="17"/>
        <v>0</v>
      </c>
    </row>
    <row r="39" spans="1:33" x14ac:dyDescent="0.35">
      <c r="A39" s="197">
        <v>2004</v>
      </c>
      <c r="B39" s="198">
        <v>3302004</v>
      </c>
      <c r="C39" s="264" t="s">
        <v>197</v>
      </c>
      <c r="D39" s="198" t="s">
        <v>563</v>
      </c>
      <c r="E39" s="198" t="s">
        <v>450</v>
      </c>
      <c r="F39" s="198" t="s">
        <v>27</v>
      </c>
      <c r="G39" s="197" t="s">
        <v>566</v>
      </c>
      <c r="H39" s="197"/>
      <c r="I39" s="265">
        <v>17659.2</v>
      </c>
      <c r="J39" s="265">
        <v>0</v>
      </c>
      <c r="K39" s="267">
        <v>0</v>
      </c>
      <c r="L39" s="267">
        <v>0</v>
      </c>
      <c r="M39" s="267">
        <v>0</v>
      </c>
      <c r="N39" s="269">
        <v>362.7</v>
      </c>
      <c r="O39" s="269">
        <v>0</v>
      </c>
      <c r="P39" s="269">
        <v>1365</v>
      </c>
      <c r="Q39" s="269">
        <v>0</v>
      </c>
      <c r="R39" s="269">
        <v>0</v>
      </c>
      <c r="S39" s="270">
        <f t="shared" si="5"/>
        <v>19386.900000000001</v>
      </c>
      <c r="T39" s="272" t="e">
        <f>#REF!+#REF!+#REF!+#REF!+#REF!+#REF!+#REF!+#REF!+#REF!</f>
        <v>#REF!</v>
      </c>
      <c r="U39" s="273" t="e">
        <f t="shared" si="14"/>
        <v>#REF!</v>
      </c>
      <c r="V39" s="274"/>
      <c r="W39" s="123">
        <f t="shared" si="6"/>
        <v>3120</v>
      </c>
      <c r="X39" s="123">
        <f t="shared" si="7"/>
        <v>0</v>
      </c>
      <c r="Y39" s="123">
        <f t="shared" si="8"/>
        <v>0</v>
      </c>
      <c r="Z39" s="123">
        <f t="shared" si="18"/>
        <v>0</v>
      </c>
      <c r="AA39" s="123">
        <f t="shared" si="9"/>
        <v>0</v>
      </c>
      <c r="AB39" s="123">
        <f t="shared" si="19"/>
        <v>594.59016393442619</v>
      </c>
      <c r="AC39" s="123">
        <f t="shared" si="20"/>
        <v>0</v>
      </c>
      <c r="AD39" s="123">
        <f t="shared" si="21"/>
        <v>17062.5</v>
      </c>
      <c r="AE39" s="123">
        <f t="shared" si="16"/>
        <v>0</v>
      </c>
      <c r="AF39" s="123">
        <f t="shared" si="13"/>
        <v>1365</v>
      </c>
      <c r="AG39" s="298">
        <f t="shared" si="17"/>
        <v>0</v>
      </c>
    </row>
    <row r="40" spans="1:33" x14ac:dyDescent="0.35">
      <c r="A40" s="197">
        <v>2005</v>
      </c>
      <c r="B40" s="198">
        <v>3302005</v>
      </c>
      <c r="C40" s="264" t="s">
        <v>193</v>
      </c>
      <c r="D40" s="198" t="s">
        <v>563</v>
      </c>
      <c r="E40" s="198" t="s">
        <v>450</v>
      </c>
      <c r="F40" s="198" t="s">
        <v>27</v>
      </c>
      <c r="G40" s="197" t="s">
        <v>567</v>
      </c>
      <c r="H40" s="197"/>
      <c r="I40" s="265">
        <v>42860.35</v>
      </c>
      <c r="J40" s="265">
        <v>3605.42</v>
      </c>
      <c r="K40" s="267">
        <v>0</v>
      </c>
      <c r="L40" s="267">
        <v>0</v>
      </c>
      <c r="M40" s="267">
        <v>0</v>
      </c>
      <c r="N40" s="269">
        <v>191.1</v>
      </c>
      <c r="O40" s="269">
        <v>596.63157894736844</v>
      </c>
      <c r="P40" s="269">
        <v>1560</v>
      </c>
      <c r="Q40" s="269">
        <v>0</v>
      </c>
      <c r="R40" s="269">
        <v>0</v>
      </c>
      <c r="S40" s="270">
        <f t="shared" si="5"/>
        <v>48813.501578947362</v>
      </c>
      <c r="T40" s="272" t="e">
        <f>#REF!+#REF!+#REF!+#REF!+#REF!+#REF!+#REF!+#REF!+#REF!</f>
        <v>#REF!</v>
      </c>
      <c r="U40" s="273" t="e">
        <f t="shared" si="14"/>
        <v>#REF!</v>
      </c>
      <c r="V40" s="274"/>
      <c r="W40" s="123">
        <f t="shared" si="6"/>
        <v>7572.5</v>
      </c>
      <c r="X40" s="123">
        <f t="shared" si="7"/>
        <v>637</v>
      </c>
      <c r="Y40" s="123">
        <f t="shared" si="8"/>
        <v>0</v>
      </c>
      <c r="Z40" s="123">
        <f t="shared" si="18"/>
        <v>0</v>
      </c>
      <c r="AA40" s="123">
        <f t="shared" si="9"/>
        <v>0</v>
      </c>
      <c r="AB40" s="123">
        <f t="shared" si="19"/>
        <v>313.27868852459017</v>
      </c>
      <c r="AC40" s="123">
        <f t="shared" si="20"/>
        <v>2057.3502722323051</v>
      </c>
      <c r="AD40" s="123">
        <f t="shared" si="21"/>
        <v>19500</v>
      </c>
      <c r="AE40" s="123">
        <f t="shared" si="16"/>
        <v>7.995598752980011</v>
      </c>
      <c r="AF40" s="123">
        <f t="shared" si="13"/>
        <v>1560</v>
      </c>
      <c r="AG40" s="298">
        <f t="shared" si="17"/>
        <v>0</v>
      </c>
    </row>
    <row r="41" spans="1:33" x14ac:dyDescent="0.35">
      <c r="A41" s="197">
        <v>2008</v>
      </c>
      <c r="B41" s="198">
        <v>3302008</v>
      </c>
      <c r="C41" s="264" t="s">
        <v>133</v>
      </c>
      <c r="D41" s="198" t="s">
        <v>563</v>
      </c>
      <c r="E41" s="198" t="s">
        <v>450</v>
      </c>
      <c r="F41" s="198" t="s">
        <v>27</v>
      </c>
      <c r="G41" s="197" t="s">
        <v>568</v>
      </c>
      <c r="H41" s="197"/>
      <c r="I41" s="265">
        <v>52977.599999999999</v>
      </c>
      <c r="J41" s="265">
        <v>5518.5</v>
      </c>
      <c r="K41" s="267">
        <v>0</v>
      </c>
      <c r="L41" s="267">
        <v>0</v>
      </c>
      <c r="M41" s="267">
        <v>0</v>
      </c>
      <c r="N41" s="269">
        <v>1207.05</v>
      </c>
      <c r="O41" s="269">
        <v>298.31578947368422</v>
      </c>
      <c r="P41" s="269">
        <v>4290</v>
      </c>
      <c r="Q41" s="269">
        <v>0</v>
      </c>
      <c r="R41" s="269">
        <v>0</v>
      </c>
      <c r="S41" s="270">
        <f t="shared" si="5"/>
        <v>64291.465789473688</v>
      </c>
      <c r="T41" s="272" t="e">
        <f>#REF!+#REF!+#REF!+#REF!+#REF!+#REF!+#REF!+#REF!+#REF!</f>
        <v>#REF!</v>
      </c>
      <c r="U41" s="273" t="e">
        <f t="shared" si="14"/>
        <v>#REF!</v>
      </c>
      <c r="V41" s="274"/>
      <c r="W41" s="123">
        <f t="shared" si="6"/>
        <v>9360</v>
      </c>
      <c r="X41" s="123">
        <f t="shared" si="7"/>
        <v>975</v>
      </c>
      <c r="Y41" s="123">
        <f t="shared" si="8"/>
        <v>0</v>
      </c>
      <c r="Z41" s="123">
        <f t="shared" si="18"/>
        <v>0</v>
      </c>
      <c r="AA41" s="123">
        <f t="shared" si="9"/>
        <v>0</v>
      </c>
      <c r="AB41" s="123">
        <f t="shared" si="19"/>
        <v>1978.7704918032787</v>
      </c>
      <c r="AC41" s="123">
        <f t="shared" si="20"/>
        <v>1028.6751361161525</v>
      </c>
      <c r="AD41" s="123">
        <f t="shared" si="21"/>
        <v>53625</v>
      </c>
      <c r="AE41" s="123">
        <f t="shared" si="16"/>
        <v>3.9977993764900055</v>
      </c>
      <c r="AF41" s="123">
        <f t="shared" si="13"/>
        <v>4290</v>
      </c>
      <c r="AG41" s="298">
        <f t="shared" si="17"/>
        <v>0</v>
      </c>
    </row>
    <row r="42" spans="1:33" x14ac:dyDescent="0.35">
      <c r="A42" s="197">
        <v>2011</v>
      </c>
      <c r="B42" s="198">
        <v>3302011</v>
      </c>
      <c r="C42" s="264" t="s">
        <v>169</v>
      </c>
      <c r="D42" s="198" t="s">
        <v>563</v>
      </c>
      <c r="E42" s="198" t="s">
        <v>450</v>
      </c>
      <c r="F42" s="198" t="s">
        <v>27</v>
      </c>
      <c r="G42" s="197" t="s">
        <v>569</v>
      </c>
      <c r="H42" s="197"/>
      <c r="I42" s="265">
        <v>43044.3</v>
      </c>
      <c r="J42" s="265">
        <v>0</v>
      </c>
      <c r="K42" s="267">
        <v>0</v>
      </c>
      <c r="L42" s="267">
        <v>0</v>
      </c>
      <c r="M42" s="267">
        <v>0</v>
      </c>
      <c r="N42" s="269">
        <v>1468.3499999999997</v>
      </c>
      <c r="O42" s="269">
        <v>0</v>
      </c>
      <c r="P42" s="269">
        <v>3120</v>
      </c>
      <c r="Q42" s="269">
        <v>0</v>
      </c>
      <c r="R42" s="269">
        <v>0</v>
      </c>
      <c r="S42" s="270">
        <f t="shared" si="5"/>
        <v>47632.65</v>
      </c>
      <c r="T42" s="272" t="e">
        <f>#REF!+#REF!+#REF!+#REF!+#REF!+#REF!+#REF!+#REF!+#REF!</f>
        <v>#REF!</v>
      </c>
      <c r="U42" s="273" t="e">
        <f t="shared" si="14"/>
        <v>#REF!</v>
      </c>
      <c r="V42" s="274"/>
      <c r="W42" s="123">
        <f t="shared" si="6"/>
        <v>7605</v>
      </c>
      <c r="X42" s="123">
        <f t="shared" si="7"/>
        <v>0</v>
      </c>
      <c r="Y42" s="123">
        <f t="shared" si="8"/>
        <v>0</v>
      </c>
      <c r="Z42" s="123">
        <f t="shared" si="18"/>
        <v>0</v>
      </c>
      <c r="AA42" s="123">
        <f t="shared" si="9"/>
        <v>0</v>
      </c>
      <c r="AB42" s="123">
        <f t="shared" si="19"/>
        <v>2407.131147540983</v>
      </c>
      <c r="AC42" s="123">
        <f t="shared" si="20"/>
        <v>0</v>
      </c>
      <c r="AD42" s="123">
        <f t="shared" si="21"/>
        <v>39000</v>
      </c>
      <c r="AE42" s="123">
        <f t="shared" si="16"/>
        <v>0</v>
      </c>
      <c r="AF42" s="123">
        <f t="shared" si="13"/>
        <v>3120</v>
      </c>
      <c r="AG42" s="298">
        <f t="shared" si="17"/>
        <v>0</v>
      </c>
    </row>
    <row r="43" spans="1:33" x14ac:dyDescent="0.35">
      <c r="A43" s="197">
        <v>2014</v>
      </c>
      <c r="B43" s="198">
        <v>3302014</v>
      </c>
      <c r="C43" s="264" t="s">
        <v>187</v>
      </c>
      <c r="D43" s="198" t="s">
        <v>563</v>
      </c>
      <c r="E43" s="198" t="s">
        <v>450</v>
      </c>
      <c r="F43" s="198" t="s">
        <v>27</v>
      </c>
      <c r="G43" s="197" t="s">
        <v>570</v>
      </c>
      <c r="H43" s="197"/>
      <c r="I43" s="265">
        <v>35318.400000000001</v>
      </c>
      <c r="J43" s="265">
        <v>0</v>
      </c>
      <c r="K43" s="267">
        <v>0</v>
      </c>
      <c r="L43" s="267">
        <v>0</v>
      </c>
      <c r="M43" s="267">
        <v>0</v>
      </c>
      <c r="N43" s="269">
        <v>1649.7</v>
      </c>
      <c r="O43" s="269">
        <v>1267.8421052631579</v>
      </c>
      <c r="P43" s="269">
        <v>3315</v>
      </c>
      <c r="Q43" s="269">
        <v>0</v>
      </c>
      <c r="R43" s="269">
        <v>0</v>
      </c>
      <c r="S43" s="270">
        <f t="shared" ref="S43:S74" si="22">SUM(I43:R43)</f>
        <v>41550.942105263159</v>
      </c>
      <c r="T43" s="272" t="e">
        <f>#REF!+#REF!+#REF!+#REF!+#REF!+#REF!+#REF!+#REF!+#REF!</f>
        <v>#REF!</v>
      </c>
      <c r="U43" s="273" t="e">
        <f t="shared" si="14"/>
        <v>#REF!</v>
      </c>
      <c r="V43" s="274"/>
      <c r="W43" s="123">
        <f t="shared" ref="W43:W74" si="23">(I43+R43)/$W$8</f>
        <v>6240</v>
      </c>
      <c r="X43" s="123">
        <f t="shared" ref="X43:X74" si="24">J43/$X$8</f>
        <v>0</v>
      </c>
      <c r="Y43" s="123">
        <f t="shared" ref="Y43:Y74" si="25">(K43+Q43)/$Y$8</f>
        <v>0</v>
      </c>
      <c r="Z43" s="123">
        <f t="shared" si="18"/>
        <v>0</v>
      </c>
      <c r="AA43" s="123">
        <f t="shared" ref="AA43:AA74" si="26">L43/$AA$8</f>
        <v>0</v>
      </c>
      <c r="AB43" s="123">
        <f t="shared" si="19"/>
        <v>2704.4262295081967</v>
      </c>
      <c r="AC43" s="123">
        <f t="shared" si="20"/>
        <v>4371.869328493648</v>
      </c>
      <c r="AD43" s="123">
        <f t="shared" si="21"/>
        <v>41437.5</v>
      </c>
      <c r="AE43" s="123">
        <f t="shared" si="16"/>
        <v>16.990647350082522</v>
      </c>
      <c r="AF43" s="123">
        <f t="shared" ref="AF43:AF74" si="27">P43/$AF$8</f>
        <v>3315</v>
      </c>
      <c r="AG43" s="298">
        <f t="shared" si="17"/>
        <v>0</v>
      </c>
    </row>
    <row r="44" spans="1:33" x14ac:dyDescent="0.35">
      <c r="A44" s="197">
        <v>2015</v>
      </c>
      <c r="B44" s="198">
        <v>3302015</v>
      </c>
      <c r="C44" s="264" t="s">
        <v>99</v>
      </c>
      <c r="D44" s="198" t="s">
        <v>563</v>
      </c>
      <c r="E44" s="198" t="s">
        <v>450</v>
      </c>
      <c r="F44" s="198" t="s">
        <v>27</v>
      </c>
      <c r="G44" s="197" t="s">
        <v>571</v>
      </c>
      <c r="H44" s="197"/>
      <c r="I44" s="265">
        <v>48562.8</v>
      </c>
      <c r="J44" s="265">
        <v>0</v>
      </c>
      <c r="K44" s="267">
        <v>0</v>
      </c>
      <c r="L44" s="267">
        <v>0</v>
      </c>
      <c r="M44" s="267">
        <v>0</v>
      </c>
      <c r="N44" s="269">
        <v>2505.75</v>
      </c>
      <c r="O44" s="269">
        <v>1491.578947368421</v>
      </c>
      <c r="P44" s="269">
        <v>3900</v>
      </c>
      <c r="Q44" s="269">
        <v>0</v>
      </c>
      <c r="R44" s="269">
        <v>0</v>
      </c>
      <c r="S44" s="270">
        <f t="shared" si="22"/>
        <v>56460.128947368423</v>
      </c>
      <c r="T44" s="272" t="e">
        <f>#REF!+#REF!+#REF!+#REF!+#REF!+#REF!+#REF!+#REF!+#REF!</f>
        <v>#REF!</v>
      </c>
      <c r="U44" s="273" t="e">
        <f t="shared" si="14"/>
        <v>#REF!</v>
      </c>
      <c r="V44" s="274"/>
      <c r="W44" s="123">
        <f t="shared" si="23"/>
        <v>8580</v>
      </c>
      <c r="X44" s="123">
        <f t="shared" si="24"/>
        <v>0</v>
      </c>
      <c r="Y44" s="123">
        <f t="shared" si="25"/>
        <v>0</v>
      </c>
      <c r="Z44" s="123">
        <f t="shared" si="18"/>
        <v>0</v>
      </c>
      <c r="AA44" s="123">
        <f t="shared" si="26"/>
        <v>0</v>
      </c>
      <c r="AB44" s="123">
        <f t="shared" si="19"/>
        <v>4107.7868852459014</v>
      </c>
      <c r="AC44" s="123">
        <f t="shared" si="20"/>
        <v>5143.3756805807625</v>
      </c>
      <c r="AD44" s="123">
        <f t="shared" si="21"/>
        <v>48750</v>
      </c>
      <c r="AE44" s="123">
        <f t="shared" si="16"/>
        <v>19.988996882450024</v>
      </c>
      <c r="AF44" s="123">
        <f t="shared" si="27"/>
        <v>3900</v>
      </c>
      <c r="AG44" s="298">
        <f t="shared" si="17"/>
        <v>0</v>
      </c>
    </row>
    <row r="45" spans="1:33" x14ac:dyDescent="0.35">
      <c r="A45" s="197">
        <v>2018</v>
      </c>
      <c r="B45" s="198">
        <v>3302018</v>
      </c>
      <c r="C45" s="264" t="s">
        <v>254</v>
      </c>
      <c r="D45" s="198" t="s">
        <v>563</v>
      </c>
      <c r="E45" s="198" t="s">
        <v>564</v>
      </c>
      <c r="F45" s="198" t="s">
        <v>49</v>
      </c>
      <c r="G45" s="197" t="s">
        <v>572</v>
      </c>
      <c r="H45" s="197"/>
      <c r="I45" s="265">
        <v>45251.700000000004</v>
      </c>
      <c r="J45" s="265">
        <v>6622.2</v>
      </c>
      <c r="K45" s="267">
        <v>26551.200000000001</v>
      </c>
      <c r="L45" s="267">
        <v>0</v>
      </c>
      <c r="M45" s="267">
        <v>0</v>
      </c>
      <c r="N45" s="269">
        <v>5463.9000000000005</v>
      </c>
      <c r="O45" s="269">
        <v>149.15789473684211</v>
      </c>
      <c r="P45" s="269">
        <v>8385</v>
      </c>
      <c r="Q45" s="269">
        <v>0</v>
      </c>
      <c r="R45" s="269">
        <v>0</v>
      </c>
      <c r="S45" s="270">
        <f t="shared" si="22"/>
        <v>92423.15789473684</v>
      </c>
      <c r="T45" s="272" t="e">
        <f>#REF!+#REF!+#REF!+#REF!+#REF!+#REF!+#REF!+#REF!+#REF!</f>
        <v>#REF!</v>
      </c>
      <c r="U45" s="273" t="e">
        <f t="shared" si="14"/>
        <v>#REF!</v>
      </c>
      <c r="V45" s="274"/>
      <c r="W45" s="123">
        <f t="shared" si="23"/>
        <v>7995.0000000000009</v>
      </c>
      <c r="X45" s="297">
        <f t="shared" si="24"/>
        <v>1170</v>
      </c>
      <c r="Y45" s="123">
        <f t="shared" si="25"/>
        <v>3120</v>
      </c>
      <c r="Z45" s="123">
        <f t="shared" si="18"/>
        <v>0</v>
      </c>
      <c r="AA45" s="123">
        <f t="shared" si="26"/>
        <v>0</v>
      </c>
      <c r="AB45" s="123">
        <f t="shared" si="19"/>
        <v>8957.2131147540986</v>
      </c>
      <c r="AC45" s="123">
        <f t="shared" si="20"/>
        <v>514.33756805807627</v>
      </c>
      <c r="AD45" s="123">
        <f t="shared" si="21"/>
        <v>104812.5</v>
      </c>
      <c r="AE45" s="123">
        <f t="shared" si="16"/>
        <v>1.9988996882450027</v>
      </c>
      <c r="AF45" s="123">
        <f t="shared" si="27"/>
        <v>8385</v>
      </c>
      <c r="AG45" s="298">
        <f t="shared" si="17"/>
        <v>0</v>
      </c>
    </row>
    <row r="46" spans="1:33" x14ac:dyDescent="0.35">
      <c r="A46" s="197">
        <v>2020</v>
      </c>
      <c r="B46" s="198">
        <v>3302020</v>
      </c>
      <c r="C46" s="264" t="s">
        <v>255</v>
      </c>
      <c r="D46" s="198" t="s">
        <v>563</v>
      </c>
      <c r="E46" s="198" t="s">
        <v>564</v>
      </c>
      <c r="F46" s="198" t="s">
        <v>49</v>
      </c>
      <c r="G46" s="197" t="s">
        <v>573</v>
      </c>
      <c r="H46" s="197"/>
      <c r="I46" s="265">
        <v>66222</v>
      </c>
      <c r="J46" s="265">
        <v>17659.2</v>
      </c>
      <c r="K46" s="267">
        <v>0</v>
      </c>
      <c r="L46" s="267">
        <v>0</v>
      </c>
      <c r="M46" s="267">
        <v>0</v>
      </c>
      <c r="N46" s="269">
        <v>883.35</v>
      </c>
      <c r="O46" s="269">
        <v>1342.421052631579</v>
      </c>
      <c r="P46" s="269">
        <v>3510</v>
      </c>
      <c r="Q46" s="269">
        <v>0</v>
      </c>
      <c r="R46" s="269">
        <v>0</v>
      </c>
      <c r="S46" s="270">
        <f t="shared" si="22"/>
        <v>89616.971052631576</v>
      </c>
      <c r="T46" s="272" t="e">
        <f>#REF!+#REF!+#REF!+#REF!+#REF!+#REF!+#REF!+#REF!+#REF!</f>
        <v>#REF!</v>
      </c>
      <c r="U46" s="273" t="e">
        <f t="shared" si="14"/>
        <v>#REF!</v>
      </c>
      <c r="V46" s="274"/>
      <c r="W46" s="123">
        <f t="shared" si="23"/>
        <v>11700</v>
      </c>
      <c r="X46" s="297">
        <f t="shared" si="24"/>
        <v>3120</v>
      </c>
      <c r="Y46" s="123">
        <f t="shared" si="25"/>
        <v>0</v>
      </c>
      <c r="Z46" s="123">
        <f t="shared" si="18"/>
        <v>0</v>
      </c>
      <c r="AA46" s="123">
        <f t="shared" si="26"/>
        <v>0</v>
      </c>
      <c r="AB46" s="123">
        <f t="shared" si="19"/>
        <v>1448.1147540983607</v>
      </c>
      <c r="AC46" s="123">
        <f t="shared" si="20"/>
        <v>4629.0381125226868</v>
      </c>
      <c r="AD46" s="123">
        <f t="shared" si="21"/>
        <v>43875</v>
      </c>
      <c r="AE46" s="123">
        <f t="shared" si="16"/>
        <v>17.990097194205024</v>
      </c>
      <c r="AF46" s="123">
        <f t="shared" si="27"/>
        <v>3510</v>
      </c>
      <c r="AG46" s="298">
        <f t="shared" si="17"/>
        <v>0</v>
      </c>
    </row>
    <row r="47" spans="1:33" x14ac:dyDescent="0.35">
      <c r="A47" s="197">
        <v>2021</v>
      </c>
      <c r="B47" s="198">
        <v>3302021</v>
      </c>
      <c r="C47" s="264" t="s">
        <v>256</v>
      </c>
      <c r="D47" s="198" t="s">
        <v>563</v>
      </c>
      <c r="E47" s="198" t="s">
        <v>564</v>
      </c>
      <c r="F47" s="198" t="s">
        <v>49</v>
      </c>
      <c r="G47" s="197" t="s">
        <v>574</v>
      </c>
      <c r="H47" s="197"/>
      <c r="I47" s="265">
        <v>28696.2</v>
      </c>
      <c r="J47" s="265">
        <v>0</v>
      </c>
      <c r="K47" s="267">
        <v>0</v>
      </c>
      <c r="L47" s="267">
        <v>0</v>
      </c>
      <c r="M47" s="267">
        <v>0</v>
      </c>
      <c r="N47" s="269">
        <v>998.40000000000009</v>
      </c>
      <c r="O47" s="269">
        <v>671.21052631578948</v>
      </c>
      <c r="P47" s="269">
        <v>2730</v>
      </c>
      <c r="Q47" s="269">
        <v>0</v>
      </c>
      <c r="R47" s="269">
        <v>0</v>
      </c>
      <c r="S47" s="270">
        <f t="shared" si="22"/>
        <v>33095.810526315792</v>
      </c>
      <c r="T47" s="272" t="e">
        <f>#REF!+#REF!+#REF!+#REF!+#REF!+#REF!+#REF!+#REF!+#REF!</f>
        <v>#REF!</v>
      </c>
      <c r="U47" s="273" t="e">
        <f t="shared" si="14"/>
        <v>#REF!</v>
      </c>
      <c r="V47" s="274"/>
      <c r="W47" s="123">
        <f t="shared" si="23"/>
        <v>5070</v>
      </c>
      <c r="X47" s="297">
        <f t="shared" si="24"/>
        <v>0</v>
      </c>
      <c r="Y47" s="123">
        <f t="shared" si="25"/>
        <v>0</v>
      </c>
      <c r="Z47" s="123">
        <f t="shared" si="18"/>
        <v>0</v>
      </c>
      <c r="AA47" s="123">
        <f t="shared" si="26"/>
        <v>0</v>
      </c>
      <c r="AB47" s="123">
        <f t="shared" si="19"/>
        <v>1636.7213114754099</v>
      </c>
      <c r="AC47" s="123">
        <f t="shared" si="20"/>
        <v>2314.5190562613434</v>
      </c>
      <c r="AD47" s="123">
        <f t="shared" si="21"/>
        <v>34125</v>
      </c>
      <c r="AE47" s="123">
        <f t="shared" si="16"/>
        <v>8.995048597102512</v>
      </c>
      <c r="AF47" s="123">
        <f t="shared" si="27"/>
        <v>2730</v>
      </c>
      <c r="AG47" s="298">
        <f t="shared" si="17"/>
        <v>0</v>
      </c>
    </row>
    <row r="48" spans="1:33" x14ac:dyDescent="0.35">
      <c r="A48" s="197">
        <v>2030</v>
      </c>
      <c r="B48" s="198">
        <v>3302030</v>
      </c>
      <c r="C48" s="264" t="s">
        <v>44</v>
      </c>
      <c r="D48" s="198" t="s">
        <v>563</v>
      </c>
      <c r="E48" s="198" t="s">
        <v>450</v>
      </c>
      <c r="F48" s="198" t="s">
        <v>27</v>
      </c>
      <c r="G48" s="197" t="s">
        <v>575</v>
      </c>
      <c r="H48" s="197"/>
      <c r="I48" s="265">
        <v>57392.4</v>
      </c>
      <c r="J48" s="265">
        <v>0</v>
      </c>
      <c r="K48" s="267">
        <v>0</v>
      </c>
      <c r="L48" s="267">
        <v>0</v>
      </c>
      <c r="M48" s="267">
        <v>0</v>
      </c>
      <c r="N48" s="269">
        <v>928.19999999999993</v>
      </c>
      <c r="O48" s="269">
        <v>0</v>
      </c>
      <c r="P48" s="269">
        <v>4485</v>
      </c>
      <c r="Q48" s="269">
        <v>0</v>
      </c>
      <c r="R48" s="269">
        <v>0</v>
      </c>
      <c r="S48" s="270">
        <f t="shared" si="22"/>
        <v>62805.599999999999</v>
      </c>
      <c r="T48" s="272" t="e">
        <f>#REF!+#REF!+#REF!+#REF!+#REF!+#REF!+#REF!+#REF!+#REF!</f>
        <v>#REF!</v>
      </c>
      <c r="U48" s="273" t="e">
        <f t="shared" si="14"/>
        <v>#REF!</v>
      </c>
      <c r="V48" s="274"/>
      <c r="W48" s="123">
        <f t="shared" si="23"/>
        <v>10140</v>
      </c>
      <c r="X48" s="123">
        <f t="shared" si="24"/>
        <v>0</v>
      </c>
      <c r="Y48" s="123">
        <f t="shared" si="25"/>
        <v>0</v>
      </c>
      <c r="Z48" s="123">
        <f t="shared" si="18"/>
        <v>0</v>
      </c>
      <c r="AA48" s="123">
        <f t="shared" si="26"/>
        <v>0</v>
      </c>
      <c r="AB48" s="123">
        <f t="shared" si="19"/>
        <v>1521.639344262295</v>
      </c>
      <c r="AC48" s="123">
        <f t="shared" si="20"/>
        <v>0</v>
      </c>
      <c r="AD48" s="123">
        <f t="shared" si="21"/>
        <v>56062.5</v>
      </c>
      <c r="AE48" s="123">
        <f t="shared" si="16"/>
        <v>0</v>
      </c>
      <c r="AF48" s="123">
        <f t="shared" si="27"/>
        <v>4485</v>
      </c>
      <c r="AG48" s="298">
        <f t="shared" si="17"/>
        <v>0</v>
      </c>
    </row>
    <row r="49" spans="1:33" x14ac:dyDescent="0.35">
      <c r="A49" s="197">
        <v>2036</v>
      </c>
      <c r="B49" s="198">
        <v>3302036</v>
      </c>
      <c r="C49" s="264" t="s">
        <v>257</v>
      </c>
      <c r="D49" s="198" t="s">
        <v>563</v>
      </c>
      <c r="E49" s="198" t="s">
        <v>564</v>
      </c>
      <c r="F49" s="198" t="s">
        <v>49</v>
      </c>
      <c r="G49" s="197" t="s">
        <v>576</v>
      </c>
      <c r="H49" s="197"/>
      <c r="I49" s="265">
        <v>28696.2</v>
      </c>
      <c r="J49" s="265">
        <v>0</v>
      </c>
      <c r="K49" s="267">
        <v>0</v>
      </c>
      <c r="L49" s="267">
        <v>0</v>
      </c>
      <c r="M49" s="267">
        <v>0</v>
      </c>
      <c r="N49" s="269">
        <v>1107.5999999999999</v>
      </c>
      <c r="O49" s="269">
        <v>298.31578947368422</v>
      </c>
      <c r="P49" s="269">
        <v>1170</v>
      </c>
      <c r="Q49" s="269">
        <v>0</v>
      </c>
      <c r="R49" s="269">
        <v>0</v>
      </c>
      <c r="S49" s="270">
        <f t="shared" si="22"/>
        <v>31272.115789473683</v>
      </c>
      <c r="T49" s="272" t="e">
        <f>#REF!+#REF!+#REF!+#REF!+#REF!+#REF!+#REF!+#REF!+#REF!</f>
        <v>#REF!</v>
      </c>
      <c r="U49" s="273" t="e">
        <f t="shared" si="14"/>
        <v>#REF!</v>
      </c>
      <c r="V49" s="274"/>
      <c r="W49" s="123">
        <f t="shared" si="23"/>
        <v>5070</v>
      </c>
      <c r="X49" s="297">
        <f t="shared" si="24"/>
        <v>0</v>
      </c>
      <c r="Y49" s="123">
        <f t="shared" si="25"/>
        <v>0</v>
      </c>
      <c r="Z49" s="123">
        <f t="shared" si="18"/>
        <v>0</v>
      </c>
      <c r="AA49" s="123">
        <f t="shared" si="26"/>
        <v>0</v>
      </c>
      <c r="AB49" s="123">
        <f t="shared" si="19"/>
        <v>1815.7377049180327</v>
      </c>
      <c r="AC49" s="123">
        <f t="shared" si="20"/>
        <v>1028.6751361161525</v>
      </c>
      <c r="AD49" s="123">
        <f t="shared" si="21"/>
        <v>14625</v>
      </c>
      <c r="AE49" s="123">
        <f t="shared" si="16"/>
        <v>3.9977993764900055</v>
      </c>
      <c r="AF49" s="123">
        <f t="shared" si="27"/>
        <v>1170</v>
      </c>
      <c r="AG49" s="298">
        <f t="shared" si="17"/>
        <v>0</v>
      </c>
    </row>
    <row r="50" spans="1:33" x14ac:dyDescent="0.35">
      <c r="A50" s="197">
        <v>2037</v>
      </c>
      <c r="B50" s="198">
        <v>3302037</v>
      </c>
      <c r="C50" s="264" t="s">
        <v>258</v>
      </c>
      <c r="D50" s="198" t="s">
        <v>563</v>
      </c>
      <c r="E50" s="198" t="s">
        <v>564</v>
      </c>
      <c r="F50" s="198" t="s">
        <v>49</v>
      </c>
      <c r="G50" s="197" t="s">
        <v>577</v>
      </c>
      <c r="H50" s="197"/>
      <c r="I50" s="265">
        <v>35318.400000000001</v>
      </c>
      <c r="J50" s="265">
        <v>8829.6</v>
      </c>
      <c r="K50" s="267">
        <v>0</v>
      </c>
      <c r="L50" s="267">
        <v>0</v>
      </c>
      <c r="M50" s="267">
        <v>0</v>
      </c>
      <c r="N50" s="269">
        <v>438.75</v>
      </c>
      <c r="O50" s="269">
        <v>74.578947368421055</v>
      </c>
      <c r="P50" s="269">
        <v>1365</v>
      </c>
      <c r="Q50" s="269">
        <v>0</v>
      </c>
      <c r="R50" s="269">
        <v>0</v>
      </c>
      <c r="S50" s="270">
        <f t="shared" si="22"/>
        <v>46026.32894736842</v>
      </c>
      <c r="T50" s="272" t="e">
        <f>#REF!+#REF!+#REF!+#REF!+#REF!+#REF!+#REF!+#REF!+#REF!</f>
        <v>#REF!</v>
      </c>
      <c r="U50" s="273" t="e">
        <f t="shared" si="14"/>
        <v>#REF!</v>
      </c>
      <c r="V50" s="274"/>
      <c r="W50" s="123">
        <f t="shared" si="23"/>
        <v>6240</v>
      </c>
      <c r="X50" s="297">
        <f t="shared" si="24"/>
        <v>1560</v>
      </c>
      <c r="Y50" s="123">
        <f t="shared" si="25"/>
        <v>0</v>
      </c>
      <c r="Z50" s="123">
        <f t="shared" si="18"/>
        <v>0</v>
      </c>
      <c r="AA50" s="123">
        <f t="shared" si="26"/>
        <v>0</v>
      </c>
      <c r="AB50" s="123">
        <f t="shared" si="19"/>
        <v>719.26229508196718</v>
      </c>
      <c r="AC50" s="123">
        <f t="shared" si="20"/>
        <v>257.16878402903814</v>
      </c>
      <c r="AD50" s="123">
        <f t="shared" si="21"/>
        <v>17062.5</v>
      </c>
      <c r="AE50" s="123">
        <f t="shared" si="16"/>
        <v>0.99944984412250137</v>
      </c>
      <c r="AF50" s="123">
        <f t="shared" si="27"/>
        <v>1365</v>
      </c>
      <c r="AG50" s="298">
        <f t="shared" si="17"/>
        <v>0</v>
      </c>
    </row>
    <row r="51" spans="1:33" s="123" customFormat="1" x14ac:dyDescent="0.35">
      <c r="A51" s="197">
        <v>2038</v>
      </c>
      <c r="B51" s="198">
        <v>3302038</v>
      </c>
      <c r="C51" s="264" t="s">
        <v>259</v>
      </c>
      <c r="D51" s="198" t="s">
        <v>563</v>
      </c>
      <c r="E51" s="198" t="s">
        <v>564</v>
      </c>
      <c r="F51" s="198" t="s">
        <v>49</v>
      </c>
      <c r="G51" s="197" t="s">
        <v>578</v>
      </c>
      <c r="H51" s="197"/>
      <c r="I51" s="275">
        <v>0</v>
      </c>
      <c r="J51" s="275">
        <v>0</v>
      </c>
      <c r="K51" s="276">
        <v>0</v>
      </c>
      <c r="L51" s="267">
        <v>0</v>
      </c>
      <c r="M51" s="276">
        <v>0</v>
      </c>
      <c r="N51" s="269">
        <v>0</v>
      </c>
      <c r="O51" s="277">
        <v>0</v>
      </c>
      <c r="P51" s="277">
        <v>0</v>
      </c>
      <c r="Q51" s="277" t="s">
        <v>731</v>
      </c>
      <c r="R51" s="277">
        <v>0</v>
      </c>
      <c r="S51" s="270">
        <f t="shared" si="22"/>
        <v>0</v>
      </c>
      <c r="T51" s="272" t="e">
        <f>#REF!+#REF!+#REF!+#REF!+#REF!+#REF!+#REF!+#REF!+#REF!</f>
        <v>#REF!</v>
      </c>
      <c r="U51" s="278" t="e">
        <f t="shared" si="14"/>
        <v>#REF!</v>
      </c>
      <c r="V51" s="274"/>
      <c r="W51" s="123">
        <f t="shared" si="23"/>
        <v>0</v>
      </c>
      <c r="X51" s="297">
        <f t="shared" si="24"/>
        <v>0</v>
      </c>
      <c r="Y51" s="123">
        <f t="shared" si="25"/>
        <v>0</v>
      </c>
      <c r="Z51" s="123">
        <f t="shared" si="18"/>
        <v>0</v>
      </c>
      <c r="AA51" s="123">
        <f t="shared" si="26"/>
        <v>0</v>
      </c>
      <c r="AB51" s="123">
        <f t="shared" si="19"/>
        <v>0</v>
      </c>
      <c r="AC51" s="123">
        <f t="shared" si="20"/>
        <v>0</v>
      </c>
      <c r="AD51" s="123">
        <f t="shared" si="21"/>
        <v>0</v>
      </c>
      <c r="AE51" s="123">
        <f t="shared" si="16"/>
        <v>0</v>
      </c>
      <c r="AF51" s="123">
        <f t="shared" si="27"/>
        <v>0</v>
      </c>
      <c r="AG51" s="298">
        <f t="shared" si="17"/>
        <v>0</v>
      </c>
    </row>
    <row r="52" spans="1:33" x14ac:dyDescent="0.35">
      <c r="A52" s="197">
        <v>2039</v>
      </c>
      <c r="B52" s="198">
        <v>3302039</v>
      </c>
      <c r="C52" s="264" t="s">
        <v>260</v>
      </c>
      <c r="D52" s="198" t="s">
        <v>563</v>
      </c>
      <c r="E52" s="198" t="s">
        <v>564</v>
      </c>
      <c r="F52" s="198" t="s">
        <v>49</v>
      </c>
      <c r="G52" s="197" t="s">
        <v>579</v>
      </c>
      <c r="H52" s="197"/>
      <c r="I52" s="265">
        <v>50770.200000000004</v>
      </c>
      <c r="J52" s="265">
        <v>0</v>
      </c>
      <c r="K52" s="267">
        <v>0</v>
      </c>
      <c r="L52" s="267">
        <v>0</v>
      </c>
      <c r="M52" s="267">
        <v>0</v>
      </c>
      <c r="N52" s="269">
        <v>534.29999999999995</v>
      </c>
      <c r="O52" s="269">
        <v>969.52631578947376</v>
      </c>
      <c r="P52" s="269">
        <v>2535</v>
      </c>
      <c r="Q52" s="269">
        <v>0</v>
      </c>
      <c r="R52" s="269">
        <v>0</v>
      </c>
      <c r="S52" s="270">
        <f t="shared" si="22"/>
        <v>54809.026315789481</v>
      </c>
      <c r="T52" s="272" t="e">
        <f>#REF!+#REF!+#REF!+#REF!+#REF!+#REF!+#REF!+#REF!+#REF!</f>
        <v>#REF!</v>
      </c>
      <c r="U52" s="273" t="e">
        <f t="shared" si="14"/>
        <v>#REF!</v>
      </c>
      <c r="V52" s="274"/>
      <c r="W52" s="123">
        <f t="shared" si="23"/>
        <v>8970</v>
      </c>
      <c r="X52" s="297">
        <f t="shared" si="24"/>
        <v>0</v>
      </c>
      <c r="Y52" s="123">
        <f t="shared" si="25"/>
        <v>0</v>
      </c>
      <c r="Z52" s="123">
        <f t="shared" si="18"/>
        <v>0</v>
      </c>
      <c r="AA52" s="123">
        <f t="shared" si="26"/>
        <v>0</v>
      </c>
      <c r="AB52" s="123">
        <f t="shared" si="19"/>
        <v>875.90163934426221</v>
      </c>
      <c r="AC52" s="123">
        <f t="shared" si="20"/>
        <v>3343.1941923774962</v>
      </c>
      <c r="AD52" s="123">
        <f t="shared" si="21"/>
        <v>31687.5</v>
      </c>
      <c r="AE52" s="123">
        <f t="shared" si="16"/>
        <v>12.992847973592518</v>
      </c>
      <c r="AF52" s="123">
        <f t="shared" si="27"/>
        <v>2535</v>
      </c>
      <c r="AG52" s="298">
        <f t="shared" si="17"/>
        <v>0</v>
      </c>
    </row>
    <row r="53" spans="1:33" x14ac:dyDescent="0.35">
      <c r="A53" s="197">
        <v>2040</v>
      </c>
      <c r="B53" s="198">
        <v>3302040</v>
      </c>
      <c r="C53" s="264" t="s">
        <v>55</v>
      </c>
      <c r="D53" s="198" t="s">
        <v>563</v>
      </c>
      <c r="E53" s="198" t="s">
        <v>450</v>
      </c>
      <c r="F53" s="198" t="s">
        <v>27</v>
      </c>
      <c r="G53" s="197" t="s">
        <v>580</v>
      </c>
      <c r="H53" s="197"/>
      <c r="I53" s="265">
        <v>28696.2</v>
      </c>
      <c r="J53" s="265">
        <v>0</v>
      </c>
      <c r="K53" s="267">
        <v>0</v>
      </c>
      <c r="L53" s="267">
        <v>0</v>
      </c>
      <c r="M53" s="267">
        <v>0</v>
      </c>
      <c r="N53" s="269">
        <v>87.75</v>
      </c>
      <c r="O53" s="269">
        <v>149.15789473684211</v>
      </c>
      <c r="P53" s="269">
        <v>585</v>
      </c>
      <c r="Q53" s="269">
        <v>0</v>
      </c>
      <c r="R53" s="269">
        <v>0</v>
      </c>
      <c r="S53" s="270">
        <f t="shared" si="22"/>
        <v>29518.107894736844</v>
      </c>
      <c r="T53" s="272" t="e">
        <f>#REF!+#REF!+#REF!+#REF!+#REF!+#REF!+#REF!+#REF!+#REF!</f>
        <v>#REF!</v>
      </c>
      <c r="U53" s="273" t="e">
        <f t="shared" si="14"/>
        <v>#REF!</v>
      </c>
      <c r="V53" s="274"/>
      <c r="W53" s="123">
        <f t="shared" si="23"/>
        <v>5070</v>
      </c>
      <c r="X53" s="123">
        <f t="shared" si="24"/>
        <v>0</v>
      </c>
      <c r="Y53" s="123">
        <f t="shared" si="25"/>
        <v>0</v>
      </c>
      <c r="Z53" s="123">
        <f t="shared" si="18"/>
        <v>0</v>
      </c>
      <c r="AA53" s="123">
        <f t="shared" si="26"/>
        <v>0</v>
      </c>
      <c r="AB53" s="123">
        <f t="shared" si="19"/>
        <v>143.85245901639345</v>
      </c>
      <c r="AC53" s="123">
        <f t="shared" si="20"/>
        <v>514.33756805807627</v>
      </c>
      <c r="AD53" s="123">
        <f t="shared" si="21"/>
        <v>7312.5</v>
      </c>
      <c r="AE53" s="123">
        <f t="shared" si="16"/>
        <v>1.9988996882450027</v>
      </c>
      <c r="AF53" s="123">
        <f t="shared" si="27"/>
        <v>585</v>
      </c>
      <c r="AG53" s="298">
        <f t="shared" si="17"/>
        <v>0</v>
      </c>
    </row>
    <row r="54" spans="1:33" x14ac:dyDescent="0.35">
      <c r="A54" s="197">
        <v>2048</v>
      </c>
      <c r="B54" s="198">
        <v>3302048</v>
      </c>
      <c r="C54" s="264" t="s">
        <v>261</v>
      </c>
      <c r="D54" s="198" t="s">
        <v>563</v>
      </c>
      <c r="E54" s="198" t="s">
        <v>564</v>
      </c>
      <c r="F54" s="198" t="s">
        <v>49</v>
      </c>
      <c r="G54" s="197" t="s">
        <v>581</v>
      </c>
      <c r="H54" s="197"/>
      <c r="I54" s="265">
        <v>13244.4</v>
      </c>
      <c r="J54" s="265">
        <v>0</v>
      </c>
      <c r="K54" s="267">
        <v>0</v>
      </c>
      <c r="L54" s="267">
        <v>0</v>
      </c>
      <c r="M54" s="267">
        <v>0</v>
      </c>
      <c r="N54" s="269">
        <v>700.05000000000007</v>
      </c>
      <c r="O54" s="269">
        <v>596.63157894736844</v>
      </c>
      <c r="P54" s="269">
        <v>1560</v>
      </c>
      <c r="Q54" s="269">
        <v>0</v>
      </c>
      <c r="R54" s="269">
        <v>0</v>
      </c>
      <c r="S54" s="270">
        <f t="shared" si="22"/>
        <v>16101.081578947367</v>
      </c>
      <c r="T54" s="272" t="e">
        <f>#REF!+#REF!+#REF!+#REF!+#REF!+#REF!+#REF!+#REF!+#REF!</f>
        <v>#REF!</v>
      </c>
      <c r="U54" s="273" t="e">
        <f t="shared" si="14"/>
        <v>#REF!</v>
      </c>
      <c r="V54" s="274"/>
      <c r="W54" s="123">
        <f t="shared" si="23"/>
        <v>2340</v>
      </c>
      <c r="X54" s="297">
        <f t="shared" si="24"/>
        <v>0</v>
      </c>
      <c r="Y54" s="123">
        <f t="shared" si="25"/>
        <v>0</v>
      </c>
      <c r="Z54" s="123">
        <f t="shared" si="18"/>
        <v>0</v>
      </c>
      <c r="AA54" s="123">
        <f t="shared" si="26"/>
        <v>0</v>
      </c>
      <c r="AB54" s="123">
        <f t="shared" si="19"/>
        <v>1147.6229508196723</v>
      </c>
      <c r="AC54" s="123">
        <f t="shared" si="20"/>
        <v>2057.3502722323051</v>
      </c>
      <c r="AD54" s="123">
        <f t="shared" si="21"/>
        <v>19500</v>
      </c>
      <c r="AE54" s="123">
        <f t="shared" si="16"/>
        <v>7.995598752980011</v>
      </c>
      <c r="AF54" s="123">
        <f t="shared" si="27"/>
        <v>1560</v>
      </c>
      <c r="AG54" s="298">
        <f t="shared" si="17"/>
        <v>0</v>
      </c>
    </row>
    <row r="55" spans="1:33" x14ac:dyDescent="0.35">
      <c r="A55" s="197">
        <v>2054</v>
      </c>
      <c r="B55" s="198">
        <v>3302054</v>
      </c>
      <c r="C55" s="264" t="s">
        <v>67</v>
      </c>
      <c r="D55" s="198" t="s">
        <v>563</v>
      </c>
      <c r="E55" s="198" t="s">
        <v>450</v>
      </c>
      <c r="F55" s="198" t="s">
        <v>27</v>
      </c>
      <c r="G55" s="197" t="s">
        <v>582</v>
      </c>
      <c r="H55" s="197"/>
      <c r="I55" s="265">
        <v>44148</v>
      </c>
      <c r="J55" s="265">
        <v>11037</v>
      </c>
      <c r="K55" s="267">
        <v>0</v>
      </c>
      <c r="L55" s="267">
        <v>0</v>
      </c>
      <c r="M55" s="267">
        <v>0</v>
      </c>
      <c r="N55" s="269">
        <v>992.55</v>
      </c>
      <c r="O55" s="269">
        <v>149.15789473684211</v>
      </c>
      <c r="P55" s="269">
        <v>1560</v>
      </c>
      <c r="Q55" s="269">
        <v>0</v>
      </c>
      <c r="R55" s="269">
        <v>0</v>
      </c>
      <c r="S55" s="270">
        <f t="shared" si="22"/>
        <v>57886.707894736843</v>
      </c>
      <c r="T55" s="272" t="e">
        <f>#REF!+#REF!+#REF!+#REF!+#REF!+#REF!+#REF!+#REF!+#REF!</f>
        <v>#REF!</v>
      </c>
      <c r="U55" s="273" t="e">
        <f t="shared" si="14"/>
        <v>#REF!</v>
      </c>
      <c r="V55" s="274"/>
      <c r="W55" s="123">
        <f t="shared" si="23"/>
        <v>7800</v>
      </c>
      <c r="X55" s="123">
        <f t="shared" si="24"/>
        <v>1950</v>
      </c>
      <c r="Y55" s="123">
        <f t="shared" si="25"/>
        <v>0</v>
      </c>
      <c r="Z55" s="123">
        <f t="shared" si="18"/>
        <v>0</v>
      </c>
      <c r="AA55" s="123">
        <f t="shared" si="26"/>
        <v>0</v>
      </c>
      <c r="AB55" s="123">
        <f t="shared" si="19"/>
        <v>1627.1311475409836</v>
      </c>
      <c r="AC55" s="123">
        <f t="shared" si="20"/>
        <v>514.33756805807627</v>
      </c>
      <c r="AD55" s="123">
        <f t="shared" si="21"/>
        <v>19500</v>
      </c>
      <c r="AE55" s="123">
        <f t="shared" si="16"/>
        <v>1.9988996882450027</v>
      </c>
      <c r="AF55" s="123">
        <f t="shared" si="27"/>
        <v>1560</v>
      </c>
      <c r="AG55" s="298">
        <f t="shared" si="17"/>
        <v>0</v>
      </c>
    </row>
    <row r="56" spans="1:33" x14ac:dyDescent="0.35">
      <c r="A56" s="197">
        <v>2055</v>
      </c>
      <c r="B56" s="198">
        <v>3302055</v>
      </c>
      <c r="C56" s="264" t="s">
        <v>69</v>
      </c>
      <c r="D56" s="198" t="s">
        <v>563</v>
      </c>
      <c r="E56" s="198" t="s">
        <v>450</v>
      </c>
      <c r="F56" s="198" t="s">
        <v>27</v>
      </c>
      <c r="G56" s="197" t="s">
        <v>583</v>
      </c>
      <c r="H56" s="197"/>
      <c r="I56" s="265">
        <v>34214.700000000004</v>
      </c>
      <c r="J56" s="265">
        <v>19866.600000000002</v>
      </c>
      <c r="K56" s="267">
        <v>0</v>
      </c>
      <c r="L56" s="267">
        <v>0</v>
      </c>
      <c r="M56" s="267">
        <v>0</v>
      </c>
      <c r="N56" s="269">
        <v>413.4</v>
      </c>
      <c r="O56" s="269">
        <v>0</v>
      </c>
      <c r="P56" s="269">
        <v>390</v>
      </c>
      <c r="Q56" s="269">
        <v>0</v>
      </c>
      <c r="R56" s="269">
        <v>0</v>
      </c>
      <c r="S56" s="270">
        <f t="shared" si="22"/>
        <v>54884.700000000004</v>
      </c>
      <c r="T56" s="272" t="e">
        <f>#REF!+#REF!+#REF!+#REF!+#REF!+#REF!+#REF!+#REF!+#REF!</f>
        <v>#REF!</v>
      </c>
      <c r="U56" s="273" t="e">
        <f t="shared" si="14"/>
        <v>#REF!</v>
      </c>
      <c r="V56" s="274"/>
      <c r="W56" s="123">
        <f t="shared" si="23"/>
        <v>6045.0000000000009</v>
      </c>
      <c r="X56" s="123">
        <f t="shared" si="24"/>
        <v>3510.0000000000005</v>
      </c>
      <c r="Y56" s="123">
        <f t="shared" si="25"/>
        <v>0</v>
      </c>
      <c r="Z56" s="123">
        <f t="shared" si="18"/>
        <v>0</v>
      </c>
      <c r="AA56" s="123">
        <f t="shared" si="26"/>
        <v>0</v>
      </c>
      <c r="AB56" s="123">
        <f t="shared" si="19"/>
        <v>677.70491803278685</v>
      </c>
      <c r="AC56" s="123">
        <f t="shared" si="20"/>
        <v>0</v>
      </c>
      <c r="AD56" s="123">
        <f t="shared" si="21"/>
        <v>4875</v>
      </c>
      <c r="AE56" s="123">
        <f t="shared" si="16"/>
        <v>0</v>
      </c>
      <c r="AF56" s="123">
        <f t="shared" si="27"/>
        <v>390</v>
      </c>
      <c r="AG56" s="298">
        <f t="shared" si="17"/>
        <v>0</v>
      </c>
    </row>
    <row r="57" spans="1:33" x14ac:dyDescent="0.35">
      <c r="A57" s="197">
        <v>2056</v>
      </c>
      <c r="B57" s="198">
        <v>3302056</v>
      </c>
      <c r="C57" s="264" t="s">
        <v>262</v>
      </c>
      <c r="D57" s="198" t="s">
        <v>563</v>
      </c>
      <c r="E57" s="198" t="s">
        <v>564</v>
      </c>
      <c r="F57" s="198" t="s">
        <v>49</v>
      </c>
      <c r="G57" s="197" t="s">
        <v>584</v>
      </c>
      <c r="H57" s="197"/>
      <c r="I57" s="265">
        <v>44148</v>
      </c>
      <c r="J57" s="265">
        <v>2207.4</v>
      </c>
      <c r="K57" s="267">
        <v>0</v>
      </c>
      <c r="L57" s="267">
        <v>0</v>
      </c>
      <c r="M57" s="267">
        <v>0</v>
      </c>
      <c r="N57" s="269">
        <v>2148.8999999999996</v>
      </c>
      <c r="O57" s="269">
        <v>969.52631578947376</v>
      </c>
      <c r="P57" s="269">
        <v>2925</v>
      </c>
      <c r="Q57" s="269">
        <v>0</v>
      </c>
      <c r="R57" s="269">
        <v>0</v>
      </c>
      <c r="S57" s="270">
        <f t="shared" si="22"/>
        <v>52398.826315789476</v>
      </c>
      <c r="T57" s="272" t="e">
        <f>#REF!+#REF!+#REF!+#REF!+#REF!+#REF!+#REF!+#REF!+#REF!</f>
        <v>#REF!</v>
      </c>
      <c r="U57" s="273" t="e">
        <f t="shared" si="14"/>
        <v>#REF!</v>
      </c>
      <c r="V57" s="274"/>
      <c r="W57" s="123">
        <f t="shared" si="23"/>
        <v>7800</v>
      </c>
      <c r="X57" s="297">
        <f t="shared" si="24"/>
        <v>390</v>
      </c>
      <c r="Y57" s="123">
        <f t="shared" si="25"/>
        <v>0</v>
      </c>
      <c r="Z57" s="123">
        <f t="shared" si="18"/>
        <v>0</v>
      </c>
      <c r="AA57" s="123">
        <f t="shared" si="26"/>
        <v>0</v>
      </c>
      <c r="AB57" s="123">
        <f t="shared" si="19"/>
        <v>3522.786885245901</v>
      </c>
      <c r="AC57" s="123">
        <f t="shared" si="20"/>
        <v>3343.1941923774962</v>
      </c>
      <c r="AD57" s="123">
        <f t="shared" si="21"/>
        <v>36562.5</v>
      </c>
      <c r="AE57" s="123">
        <f t="shared" si="16"/>
        <v>12.992847973592518</v>
      </c>
      <c r="AF57" s="123">
        <f t="shared" si="27"/>
        <v>2925</v>
      </c>
      <c r="AG57" s="298">
        <f t="shared" si="17"/>
        <v>0</v>
      </c>
    </row>
    <row r="58" spans="1:33" x14ac:dyDescent="0.35">
      <c r="A58" s="197">
        <v>2057</v>
      </c>
      <c r="B58" s="198">
        <v>3302057</v>
      </c>
      <c r="C58" s="264" t="s">
        <v>263</v>
      </c>
      <c r="D58" s="198" t="s">
        <v>563</v>
      </c>
      <c r="E58" s="198" t="s">
        <v>564</v>
      </c>
      <c r="F58" s="198" t="s">
        <v>49</v>
      </c>
      <c r="G58" s="197" t="s">
        <v>585</v>
      </c>
      <c r="H58" s="197"/>
      <c r="I58" s="265">
        <v>43044.3</v>
      </c>
      <c r="J58" s="265">
        <v>0</v>
      </c>
      <c r="K58" s="267">
        <v>0</v>
      </c>
      <c r="L58" s="267">
        <v>0</v>
      </c>
      <c r="M58" s="267">
        <v>0</v>
      </c>
      <c r="N58" s="269">
        <v>2070.9</v>
      </c>
      <c r="O58" s="269">
        <v>1566.1578947368421</v>
      </c>
      <c r="P58" s="269">
        <v>4095</v>
      </c>
      <c r="Q58" s="269">
        <v>0</v>
      </c>
      <c r="R58" s="269">
        <v>0</v>
      </c>
      <c r="S58" s="270">
        <f t="shared" si="22"/>
        <v>50776.357894736844</v>
      </c>
      <c r="T58" s="272" t="e">
        <f>#REF!+#REF!+#REF!+#REF!+#REF!+#REF!+#REF!+#REF!+#REF!</f>
        <v>#REF!</v>
      </c>
      <c r="U58" s="273" t="e">
        <f t="shared" si="14"/>
        <v>#REF!</v>
      </c>
      <c r="V58" s="274"/>
      <c r="W58" s="123">
        <f t="shared" si="23"/>
        <v>7605</v>
      </c>
      <c r="X58" s="297">
        <f t="shared" si="24"/>
        <v>0</v>
      </c>
      <c r="Y58" s="123">
        <f t="shared" si="25"/>
        <v>0</v>
      </c>
      <c r="Z58" s="123">
        <f t="shared" si="18"/>
        <v>0</v>
      </c>
      <c r="AA58" s="123">
        <f t="shared" si="26"/>
        <v>0</v>
      </c>
      <c r="AB58" s="123">
        <f t="shared" si="19"/>
        <v>3394.9180327868853</v>
      </c>
      <c r="AC58" s="123">
        <f t="shared" si="20"/>
        <v>5400.5444646098003</v>
      </c>
      <c r="AD58" s="123">
        <f t="shared" si="21"/>
        <v>51187.5</v>
      </c>
      <c r="AE58" s="123">
        <f t="shared" si="16"/>
        <v>20.988446726572526</v>
      </c>
      <c r="AF58" s="123">
        <f t="shared" si="27"/>
        <v>4095</v>
      </c>
      <c r="AG58" s="298">
        <f t="shared" si="17"/>
        <v>0</v>
      </c>
    </row>
    <row r="59" spans="1:33" x14ac:dyDescent="0.35">
      <c r="A59" s="197">
        <v>2058</v>
      </c>
      <c r="B59" s="198">
        <v>3302058</v>
      </c>
      <c r="C59" s="264" t="s">
        <v>264</v>
      </c>
      <c r="D59" s="198" t="s">
        <v>563</v>
      </c>
      <c r="E59" s="198" t="s">
        <v>564</v>
      </c>
      <c r="F59" s="198" t="s">
        <v>49</v>
      </c>
      <c r="G59" s="197" t="s">
        <v>586</v>
      </c>
      <c r="H59" s="197"/>
      <c r="I59" s="265">
        <v>35318.400000000001</v>
      </c>
      <c r="J59" s="265">
        <v>9933.3000000000011</v>
      </c>
      <c r="K59" s="267">
        <v>0</v>
      </c>
      <c r="L59" s="267">
        <v>0</v>
      </c>
      <c r="M59" s="267">
        <v>0</v>
      </c>
      <c r="N59" s="269">
        <v>1737.45</v>
      </c>
      <c r="O59" s="269">
        <v>1193.2631578947369</v>
      </c>
      <c r="P59" s="269">
        <v>3120</v>
      </c>
      <c r="Q59" s="269">
        <v>0</v>
      </c>
      <c r="R59" s="269">
        <v>0</v>
      </c>
      <c r="S59" s="270">
        <f t="shared" si="22"/>
        <v>51302.413157894742</v>
      </c>
      <c r="T59" s="272" t="e">
        <f>#REF!+#REF!+#REF!+#REF!+#REF!+#REF!+#REF!+#REF!+#REF!</f>
        <v>#REF!</v>
      </c>
      <c r="U59" s="273" t="e">
        <f t="shared" si="14"/>
        <v>#REF!</v>
      </c>
      <c r="V59" s="274"/>
      <c r="W59" s="123">
        <f t="shared" si="23"/>
        <v>6240</v>
      </c>
      <c r="X59" s="297">
        <f t="shared" si="24"/>
        <v>1755.0000000000002</v>
      </c>
      <c r="Y59" s="123">
        <f t="shared" si="25"/>
        <v>0</v>
      </c>
      <c r="Z59" s="123">
        <f t="shared" si="18"/>
        <v>0</v>
      </c>
      <c r="AA59" s="123">
        <f t="shared" si="26"/>
        <v>0</v>
      </c>
      <c r="AB59" s="123">
        <f t="shared" si="19"/>
        <v>2848.2786885245905</v>
      </c>
      <c r="AC59" s="123">
        <f t="shared" si="20"/>
        <v>4114.7005444646102</v>
      </c>
      <c r="AD59" s="123">
        <f t="shared" si="21"/>
        <v>39000</v>
      </c>
      <c r="AE59" s="123">
        <f t="shared" si="16"/>
        <v>15.991197505960022</v>
      </c>
      <c r="AF59" s="123">
        <f t="shared" si="27"/>
        <v>3120</v>
      </c>
      <c r="AG59" s="298">
        <f t="shared" si="17"/>
        <v>0</v>
      </c>
    </row>
    <row r="60" spans="1:33" ht="26" x14ac:dyDescent="0.35">
      <c r="A60" s="197">
        <v>2059</v>
      </c>
      <c r="B60" s="198">
        <v>3302059</v>
      </c>
      <c r="C60" s="264" t="s">
        <v>265</v>
      </c>
      <c r="D60" s="198" t="s">
        <v>563</v>
      </c>
      <c r="E60" s="198" t="s">
        <v>564</v>
      </c>
      <c r="F60" s="198" t="s">
        <v>49</v>
      </c>
      <c r="G60" s="197" t="s">
        <v>587</v>
      </c>
      <c r="H60" s="197"/>
      <c r="I60" s="265">
        <v>11037</v>
      </c>
      <c r="J60" s="265">
        <v>3311.1</v>
      </c>
      <c r="K60" s="267">
        <v>0</v>
      </c>
      <c r="L60" s="267">
        <v>0</v>
      </c>
      <c r="M60" s="267">
        <v>0</v>
      </c>
      <c r="N60" s="269">
        <v>627.9</v>
      </c>
      <c r="O60" s="269">
        <v>223.73684210526318</v>
      </c>
      <c r="P60" s="269">
        <v>585</v>
      </c>
      <c r="Q60" s="269">
        <v>0</v>
      </c>
      <c r="R60" s="269">
        <v>0</v>
      </c>
      <c r="S60" s="270">
        <f t="shared" si="22"/>
        <v>15784.736842105263</v>
      </c>
      <c r="T60" s="272" t="e">
        <f>#REF!+#REF!+#REF!+#REF!+#REF!+#REF!+#REF!+#REF!+#REF!</f>
        <v>#REF!</v>
      </c>
      <c r="U60" s="273" t="e">
        <f t="shared" si="14"/>
        <v>#REF!</v>
      </c>
      <c r="V60" s="274"/>
      <c r="W60" s="123">
        <f t="shared" si="23"/>
        <v>1950</v>
      </c>
      <c r="X60" s="297">
        <f t="shared" si="24"/>
        <v>585</v>
      </c>
      <c r="Y60" s="123">
        <f t="shared" si="25"/>
        <v>0</v>
      </c>
      <c r="Z60" s="123">
        <f t="shared" si="18"/>
        <v>0</v>
      </c>
      <c r="AA60" s="123">
        <f t="shared" si="26"/>
        <v>0</v>
      </c>
      <c r="AB60" s="123">
        <f t="shared" si="19"/>
        <v>1029.344262295082</v>
      </c>
      <c r="AC60" s="123">
        <f t="shared" si="20"/>
        <v>771.50635208711446</v>
      </c>
      <c r="AD60" s="123">
        <f t="shared" si="21"/>
        <v>7312.5</v>
      </c>
      <c r="AE60" s="123">
        <f t="shared" si="16"/>
        <v>2.9983495323675045</v>
      </c>
      <c r="AF60" s="123">
        <f t="shared" si="27"/>
        <v>585</v>
      </c>
      <c r="AG60" s="298">
        <f t="shared" si="17"/>
        <v>0</v>
      </c>
    </row>
    <row r="61" spans="1:33" x14ac:dyDescent="0.35">
      <c r="A61" s="197">
        <v>2060</v>
      </c>
      <c r="B61" s="198">
        <v>3302060</v>
      </c>
      <c r="C61" s="264" t="s">
        <v>266</v>
      </c>
      <c r="D61" s="198" t="s">
        <v>563</v>
      </c>
      <c r="E61" s="198" t="s">
        <v>564</v>
      </c>
      <c r="F61" s="198" t="s">
        <v>49</v>
      </c>
      <c r="G61" s="197" t="s">
        <v>588</v>
      </c>
      <c r="H61" s="197"/>
      <c r="I61" s="265">
        <v>19866.600000000002</v>
      </c>
      <c r="J61" s="265">
        <v>0</v>
      </c>
      <c r="K61" s="267">
        <v>0</v>
      </c>
      <c r="L61" s="267">
        <v>0</v>
      </c>
      <c r="M61" s="267">
        <v>0</v>
      </c>
      <c r="N61" s="269">
        <v>1959.75</v>
      </c>
      <c r="O61" s="269">
        <v>894.94736842105272</v>
      </c>
      <c r="P61" s="269">
        <v>2340</v>
      </c>
      <c r="Q61" s="269">
        <v>0</v>
      </c>
      <c r="R61" s="269">
        <v>0</v>
      </c>
      <c r="S61" s="270">
        <f t="shared" si="22"/>
        <v>25061.297368421056</v>
      </c>
      <c r="T61" s="272" t="e">
        <f>#REF!+#REF!+#REF!+#REF!+#REF!+#REF!+#REF!+#REF!+#REF!</f>
        <v>#REF!</v>
      </c>
      <c r="U61" s="273" t="e">
        <f t="shared" si="14"/>
        <v>#REF!</v>
      </c>
      <c r="V61" s="274"/>
      <c r="W61" s="123">
        <f t="shared" si="23"/>
        <v>3510.0000000000005</v>
      </c>
      <c r="X61" s="297">
        <f t="shared" si="24"/>
        <v>0</v>
      </c>
      <c r="Y61" s="123">
        <f t="shared" si="25"/>
        <v>0</v>
      </c>
      <c r="Z61" s="123">
        <f t="shared" si="18"/>
        <v>0</v>
      </c>
      <c r="AA61" s="123">
        <f t="shared" si="26"/>
        <v>0</v>
      </c>
      <c r="AB61" s="123">
        <f t="shared" si="19"/>
        <v>3212.7049180327867</v>
      </c>
      <c r="AC61" s="123">
        <f t="shared" si="20"/>
        <v>3086.0254083484579</v>
      </c>
      <c r="AD61" s="123">
        <f t="shared" si="21"/>
        <v>29250</v>
      </c>
      <c r="AE61" s="123">
        <f t="shared" si="16"/>
        <v>11.993398129470018</v>
      </c>
      <c r="AF61" s="123">
        <f t="shared" si="27"/>
        <v>2340</v>
      </c>
      <c r="AG61" s="298">
        <f t="shared" si="17"/>
        <v>0</v>
      </c>
    </row>
    <row r="62" spans="1:33" x14ac:dyDescent="0.35">
      <c r="A62" s="197">
        <v>2062</v>
      </c>
      <c r="B62" s="198">
        <v>3302062</v>
      </c>
      <c r="C62" s="264" t="s">
        <v>31</v>
      </c>
      <c r="D62" s="198" t="s">
        <v>563</v>
      </c>
      <c r="E62" s="198" t="s">
        <v>450</v>
      </c>
      <c r="F62" s="198" t="s">
        <v>27</v>
      </c>
      <c r="G62" s="197" t="s">
        <v>589</v>
      </c>
      <c r="H62" s="197"/>
      <c r="I62" s="265">
        <v>41940.6</v>
      </c>
      <c r="J62" s="265">
        <v>0</v>
      </c>
      <c r="K62" s="267">
        <v>0</v>
      </c>
      <c r="L62" s="267">
        <v>0</v>
      </c>
      <c r="M62" s="267">
        <v>0</v>
      </c>
      <c r="N62" s="269">
        <v>1688.7</v>
      </c>
      <c r="O62" s="269">
        <v>0</v>
      </c>
      <c r="P62" s="269">
        <v>2925</v>
      </c>
      <c r="Q62" s="269">
        <v>0</v>
      </c>
      <c r="R62" s="269">
        <v>0</v>
      </c>
      <c r="S62" s="270">
        <f t="shared" si="22"/>
        <v>46554.299999999996</v>
      </c>
      <c r="T62" s="272" t="e">
        <f>#REF!+#REF!+#REF!+#REF!+#REF!+#REF!+#REF!+#REF!+#REF!</f>
        <v>#REF!</v>
      </c>
      <c r="U62" s="273" t="e">
        <f t="shared" si="14"/>
        <v>#REF!</v>
      </c>
      <c r="V62" s="274"/>
      <c r="W62" s="123">
        <f t="shared" si="23"/>
        <v>7410</v>
      </c>
      <c r="X62" s="123">
        <f t="shared" si="24"/>
        <v>0</v>
      </c>
      <c r="Y62" s="123">
        <f t="shared" si="25"/>
        <v>0</v>
      </c>
      <c r="Z62" s="123">
        <f t="shared" si="18"/>
        <v>0</v>
      </c>
      <c r="AA62" s="123">
        <f t="shared" si="26"/>
        <v>0</v>
      </c>
      <c r="AB62" s="123">
        <f t="shared" si="19"/>
        <v>2768.3606557377052</v>
      </c>
      <c r="AC62" s="123">
        <f t="shared" si="20"/>
        <v>0</v>
      </c>
      <c r="AD62" s="123">
        <f t="shared" si="21"/>
        <v>36562.5</v>
      </c>
      <c r="AE62" s="123">
        <f t="shared" si="16"/>
        <v>0</v>
      </c>
      <c r="AF62" s="123">
        <f t="shared" si="27"/>
        <v>2925</v>
      </c>
      <c r="AG62" s="298">
        <f t="shared" si="17"/>
        <v>0</v>
      </c>
    </row>
    <row r="63" spans="1:33" ht="26" x14ac:dyDescent="0.35">
      <c r="A63" s="197">
        <v>2063</v>
      </c>
      <c r="B63" s="198">
        <v>3302063</v>
      </c>
      <c r="C63" s="264" t="s">
        <v>127</v>
      </c>
      <c r="D63" s="198" t="s">
        <v>563</v>
      </c>
      <c r="E63" s="198" t="s">
        <v>450</v>
      </c>
      <c r="F63" s="198" t="s">
        <v>27</v>
      </c>
      <c r="G63" s="197" t="s">
        <v>590</v>
      </c>
      <c r="H63" s="197"/>
      <c r="I63" s="265">
        <v>29799.9</v>
      </c>
      <c r="J63" s="265">
        <v>0</v>
      </c>
      <c r="K63" s="267">
        <v>0</v>
      </c>
      <c r="L63" s="267">
        <v>0</v>
      </c>
      <c r="M63" s="267">
        <v>0</v>
      </c>
      <c r="N63" s="269">
        <v>1764.7500000000002</v>
      </c>
      <c r="O63" s="269">
        <v>0</v>
      </c>
      <c r="P63" s="269">
        <v>3900</v>
      </c>
      <c r="Q63" s="269">
        <v>0</v>
      </c>
      <c r="R63" s="269">
        <v>0</v>
      </c>
      <c r="S63" s="270">
        <f t="shared" si="22"/>
        <v>35464.65</v>
      </c>
      <c r="T63" s="272" t="e">
        <f>#REF!+#REF!+#REF!+#REF!+#REF!+#REF!+#REF!+#REF!+#REF!</f>
        <v>#REF!</v>
      </c>
      <c r="U63" s="273" t="e">
        <f t="shared" si="14"/>
        <v>#REF!</v>
      </c>
      <c r="V63" s="274"/>
      <c r="W63" s="123">
        <f t="shared" si="23"/>
        <v>5265</v>
      </c>
      <c r="X63" s="123">
        <f t="shared" si="24"/>
        <v>0</v>
      </c>
      <c r="Y63" s="123">
        <f t="shared" si="25"/>
        <v>0</v>
      </c>
      <c r="Z63" s="123">
        <f t="shared" si="18"/>
        <v>0</v>
      </c>
      <c r="AA63" s="123">
        <f t="shared" si="26"/>
        <v>0</v>
      </c>
      <c r="AB63" s="123">
        <f t="shared" si="19"/>
        <v>2893.0327868852464</v>
      </c>
      <c r="AC63" s="123">
        <f t="shared" si="20"/>
        <v>0</v>
      </c>
      <c r="AD63" s="123">
        <f t="shared" si="21"/>
        <v>48750</v>
      </c>
      <c r="AE63" s="123">
        <f t="shared" si="16"/>
        <v>0</v>
      </c>
      <c r="AF63" s="123">
        <f t="shared" si="27"/>
        <v>3900</v>
      </c>
      <c r="AG63" s="298">
        <f t="shared" si="17"/>
        <v>0</v>
      </c>
    </row>
    <row r="64" spans="1:33" x14ac:dyDescent="0.35">
      <c r="A64" s="197">
        <v>2064</v>
      </c>
      <c r="B64" s="198">
        <v>3302064</v>
      </c>
      <c r="C64" s="264" t="s">
        <v>267</v>
      </c>
      <c r="D64" s="198" t="s">
        <v>563</v>
      </c>
      <c r="E64" s="198" t="s">
        <v>564</v>
      </c>
      <c r="F64" s="198" t="s">
        <v>49</v>
      </c>
      <c r="G64" s="197" t="s">
        <v>591</v>
      </c>
      <c r="H64" s="197"/>
      <c r="I64" s="265">
        <v>26488.799999999999</v>
      </c>
      <c r="J64" s="265">
        <v>0</v>
      </c>
      <c r="K64" s="267">
        <v>0</v>
      </c>
      <c r="L64" s="267">
        <v>0</v>
      </c>
      <c r="M64" s="267">
        <v>0</v>
      </c>
      <c r="N64" s="269">
        <v>1095.8999999999999</v>
      </c>
      <c r="O64" s="269">
        <v>820.36842105263156</v>
      </c>
      <c r="P64" s="269">
        <v>2145</v>
      </c>
      <c r="Q64" s="269">
        <v>0</v>
      </c>
      <c r="R64" s="269">
        <v>0</v>
      </c>
      <c r="S64" s="270">
        <f t="shared" si="22"/>
        <v>30550.068421052631</v>
      </c>
      <c r="T64" s="272" t="e">
        <f>#REF!+#REF!+#REF!+#REF!+#REF!+#REF!+#REF!+#REF!+#REF!</f>
        <v>#REF!</v>
      </c>
      <c r="U64" s="273" t="e">
        <f t="shared" si="14"/>
        <v>#REF!</v>
      </c>
      <c r="V64" s="274"/>
      <c r="W64" s="123">
        <f t="shared" si="23"/>
        <v>4680</v>
      </c>
      <c r="X64" s="297">
        <f t="shared" si="24"/>
        <v>0</v>
      </c>
      <c r="Y64" s="123">
        <f t="shared" si="25"/>
        <v>0</v>
      </c>
      <c r="Z64" s="123">
        <f t="shared" si="18"/>
        <v>0</v>
      </c>
      <c r="AA64" s="123">
        <f t="shared" si="26"/>
        <v>0</v>
      </c>
      <c r="AB64" s="123">
        <f t="shared" si="19"/>
        <v>1796.5573770491801</v>
      </c>
      <c r="AC64" s="123">
        <f t="shared" si="20"/>
        <v>2828.8566243194196</v>
      </c>
      <c r="AD64" s="123">
        <f t="shared" si="21"/>
        <v>26812.5</v>
      </c>
      <c r="AE64" s="123">
        <f t="shared" si="16"/>
        <v>10.993948285347514</v>
      </c>
      <c r="AF64" s="123">
        <f t="shared" si="27"/>
        <v>2145</v>
      </c>
      <c r="AG64" s="298">
        <f t="shared" si="17"/>
        <v>0</v>
      </c>
    </row>
    <row r="65" spans="1:33" x14ac:dyDescent="0.35">
      <c r="A65" s="197">
        <v>2065</v>
      </c>
      <c r="B65" s="198">
        <v>3302065</v>
      </c>
      <c r="C65" s="264" t="s">
        <v>268</v>
      </c>
      <c r="D65" s="198" t="s">
        <v>563</v>
      </c>
      <c r="E65" s="198" t="s">
        <v>564</v>
      </c>
      <c r="F65" s="198" t="s">
        <v>49</v>
      </c>
      <c r="G65" s="197" t="s">
        <v>592</v>
      </c>
      <c r="H65" s="197"/>
      <c r="I65" s="265">
        <v>39733.200000000004</v>
      </c>
      <c r="J65" s="265">
        <v>0</v>
      </c>
      <c r="K65" s="267">
        <v>0</v>
      </c>
      <c r="L65" s="267">
        <v>0</v>
      </c>
      <c r="M65" s="267">
        <v>0</v>
      </c>
      <c r="N65" s="269">
        <v>103.35</v>
      </c>
      <c r="O65" s="269">
        <v>522.0526315789474</v>
      </c>
      <c r="P65" s="269">
        <v>1365</v>
      </c>
      <c r="Q65" s="269">
        <v>0</v>
      </c>
      <c r="R65" s="269">
        <v>0</v>
      </c>
      <c r="S65" s="270">
        <f t="shared" si="22"/>
        <v>41723.60263157895</v>
      </c>
      <c r="T65" s="272" t="e">
        <f>#REF!+#REF!+#REF!+#REF!+#REF!+#REF!+#REF!+#REF!+#REF!</f>
        <v>#REF!</v>
      </c>
      <c r="U65" s="273" t="e">
        <f t="shared" si="14"/>
        <v>#REF!</v>
      </c>
      <c r="V65" s="274"/>
      <c r="W65" s="123">
        <f t="shared" si="23"/>
        <v>7020.0000000000009</v>
      </c>
      <c r="X65" s="297">
        <f t="shared" si="24"/>
        <v>0</v>
      </c>
      <c r="Y65" s="123">
        <f t="shared" si="25"/>
        <v>0</v>
      </c>
      <c r="Z65" s="123">
        <f t="shared" ref="Z65:Z96" si="28">L65/$Z$8</f>
        <v>0</v>
      </c>
      <c r="AA65" s="123">
        <f t="shared" si="26"/>
        <v>0</v>
      </c>
      <c r="AB65" s="123">
        <f t="shared" ref="AB65:AB96" si="29">N65/$AB$8</f>
        <v>169.42622950819671</v>
      </c>
      <c r="AC65" s="123">
        <f t="shared" ref="AC65:AC96" si="30">O65/$AC$8</f>
        <v>1800.181488203267</v>
      </c>
      <c r="AD65" s="123">
        <f t="shared" ref="AD65:AD96" si="31">P65/$AD$8</f>
        <v>17062.5</v>
      </c>
      <c r="AE65" s="123">
        <f t="shared" si="16"/>
        <v>6.99614890885751</v>
      </c>
      <c r="AF65" s="123">
        <f t="shared" si="27"/>
        <v>1365</v>
      </c>
      <c r="AG65" s="298">
        <f t="shared" si="17"/>
        <v>0</v>
      </c>
    </row>
    <row r="66" spans="1:33" s="282" customFormat="1" ht="26" x14ac:dyDescent="0.35">
      <c r="A66" s="279">
        <v>2214</v>
      </c>
      <c r="B66" s="280">
        <v>3302214</v>
      </c>
      <c r="C66" s="281" t="s">
        <v>269</v>
      </c>
      <c r="D66" s="198" t="s">
        <v>563</v>
      </c>
      <c r="E66" s="198" t="s">
        <v>564</v>
      </c>
      <c r="F66" s="198" t="s">
        <v>49</v>
      </c>
      <c r="G66" s="197" t="s">
        <v>593</v>
      </c>
      <c r="H66" s="197"/>
      <c r="I66" s="275">
        <v>41940.6</v>
      </c>
      <c r="J66" s="275">
        <v>0</v>
      </c>
      <c r="K66" s="276">
        <v>0</v>
      </c>
      <c r="L66" s="267">
        <v>0</v>
      </c>
      <c r="M66" s="267">
        <v>0</v>
      </c>
      <c r="N66" s="269">
        <v>2119.65</v>
      </c>
      <c r="O66" s="269">
        <v>0</v>
      </c>
      <c r="P66" s="269">
        <v>3900</v>
      </c>
      <c r="Q66" s="277">
        <v>0</v>
      </c>
      <c r="R66" s="277">
        <v>0</v>
      </c>
      <c r="S66" s="270">
        <f t="shared" si="22"/>
        <v>47960.25</v>
      </c>
      <c r="T66" s="272" t="e">
        <f>#REF!+#REF!+#REF!+#REF!+#REF!+#REF!+#REF!+#REF!+#REF!</f>
        <v>#REF!</v>
      </c>
      <c r="U66" s="273" t="e">
        <f t="shared" si="14"/>
        <v>#REF!</v>
      </c>
      <c r="V66" s="274"/>
      <c r="W66" s="123">
        <f t="shared" si="23"/>
        <v>7410</v>
      </c>
      <c r="X66" s="297">
        <f t="shared" si="24"/>
        <v>0</v>
      </c>
      <c r="Y66" s="123">
        <f t="shared" si="25"/>
        <v>0</v>
      </c>
      <c r="Z66" s="123">
        <f t="shared" si="28"/>
        <v>0</v>
      </c>
      <c r="AA66" s="123">
        <f t="shared" si="26"/>
        <v>0</v>
      </c>
      <c r="AB66" s="123">
        <f t="shared" si="29"/>
        <v>3474.8360655737706</v>
      </c>
      <c r="AC66" s="123">
        <f t="shared" si="30"/>
        <v>0</v>
      </c>
      <c r="AD66" s="123">
        <f t="shared" si="31"/>
        <v>48750</v>
      </c>
      <c r="AE66" s="123">
        <f t="shared" si="16"/>
        <v>0</v>
      </c>
      <c r="AF66" s="123">
        <f t="shared" si="27"/>
        <v>3900</v>
      </c>
      <c r="AG66" s="298">
        <f t="shared" si="17"/>
        <v>0</v>
      </c>
    </row>
    <row r="67" spans="1:33" ht="26" x14ac:dyDescent="0.35">
      <c r="A67" s="197">
        <v>2068</v>
      </c>
      <c r="B67" s="198">
        <v>3302068</v>
      </c>
      <c r="C67" s="264" t="s">
        <v>270</v>
      </c>
      <c r="D67" s="198" t="s">
        <v>563</v>
      </c>
      <c r="E67" s="198" t="s">
        <v>564</v>
      </c>
      <c r="F67" s="198" t="s">
        <v>49</v>
      </c>
      <c r="G67" s="197" t="s">
        <v>594</v>
      </c>
      <c r="H67" s="197"/>
      <c r="I67" s="265">
        <v>30903.600000000002</v>
      </c>
      <c r="J67" s="265">
        <v>7725.9000000000005</v>
      </c>
      <c r="K67" s="267">
        <v>0</v>
      </c>
      <c r="L67" s="267">
        <v>0</v>
      </c>
      <c r="M67" s="267">
        <v>320.89</v>
      </c>
      <c r="N67" s="269">
        <v>1768.6499999999999</v>
      </c>
      <c r="O67" s="269">
        <v>745.78947368421052</v>
      </c>
      <c r="P67" s="269">
        <v>1950</v>
      </c>
      <c r="Q67" s="269">
        <v>0</v>
      </c>
      <c r="R67" s="269">
        <v>0</v>
      </c>
      <c r="S67" s="270">
        <f t="shared" si="22"/>
        <v>43414.829473684214</v>
      </c>
      <c r="T67" s="272" t="e">
        <f>#REF!+#REF!+#REF!+#REF!+#REF!+#REF!+#REF!+#REF!+#REF!</f>
        <v>#REF!</v>
      </c>
      <c r="U67" s="273" t="e">
        <f t="shared" si="14"/>
        <v>#REF!</v>
      </c>
      <c r="V67" s="274"/>
      <c r="W67" s="123">
        <f t="shared" si="23"/>
        <v>5460</v>
      </c>
      <c r="X67" s="297">
        <f t="shared" si="24"/>
        <v>1365</v>
      </c>
      <c r="Y67" s="123">
        <f t="shared" si="25"/>
        <v>0</v>
      </c>
      <c r="Z67" s="123">
        <f t="shared" si="28"/>
        <v>0</v>
      </c>
      <c r="AA67" s="123">
        <f t="shared" si="26"/>
        <v>0</v>
      </c>
      <c r="AB67" s="123">
        <f t="shared" si="29"/>
        <v>2899.4262295081967</v>
      </c>
      <c r="AC67" s="123">
        <f t="shared" si="30"/>
        <v>2571.6878402903812</v>
      </c>
      <c r="AD67" s="123">
        <f t="shared" si="31"/>
        <v>24375</v>
      </c>
      <c r="AE67" s="123">
        <f t="shared" si="16"/>
        <v>9.9944984412250122</v>
      </c>
      <c r="AF67" s="123">
        <f t="shared" si="27"/>
        <v>1950</v>
      </c>
      <c r="AG67" s="298">
        <f t="shared" si="17"/>
        <v>0.99998523864195499</v>
      </c>
    </row>
    <row r="68" spans="1:33" x14ac:dyDescent="0.35">
      <c r="A68" s="197">
        <v>2070</v>
      </c>
      <c r="B68" s="198">
        <v>3302070</v>
      </c>
      <c r="C68" s="264" t="s">
        <v>271</v>
      </c>
      <c r="D68" s="198" t="s">
        <v>563</v>
      </c>
      <c r="E68" s="198" t="s">
        <v>564</v>
      </c>
      <c r="F68" s="198" t="s">
        <v>49</v>
      </c>
      <c r="G68" s="197" t="s">
        <v>595</v>
      </c>
      <c r="H68" s="197"/>
      <c r="I68" s="265">
        <v>24281.4</v>
      </c>
      <c r="J68" s="265">
        <v>0</v>
      </c>
      <c r="K68" s="267">
        <v>0</v>
      </c>
      <c r="L68" s="267">
        <v>0</v>
      </c>
      <c r="M68" s="267">
        <v>0</v>
      </c>
      <c r="N68" s="269">
        <v>1456.65</v>
      </c>
      <c r="O68" s="269">
        <v>671.21052631578948</v>
      </c>
      <c r="P68" s="269">
        <v>1755</v>
      </c>
      <c r="Q68" s="269">
        <v>0</v>
      </c>
      <c r="R68" s="269">
        <v>0</v>
      </c>
      <c r="S68" s="270">
        <f t="shared" si="22"/>
        <v>28164.260526315793</v>
      </c>
      <c r="T68" s="272" t="e">
        <f>#REF!+#REF!+#REF!+#REF!+#REF!+#REF!+#REF!+#REF!+#REF!</f>
        <v>#REF!</v>
      </c>
      <c r="U68" s="273" t="e">
        <f t="shared" si="14"/>
        <v>#REF!</v>
      </c>
      <c r="V68" s="274"/>
      <c r="W68" s="123">
        <f t="shared" si="23"/>
        <v>4290</v>
      </c>
      <c r="X68" s="297">
        <f t="shared" si="24"/>
        <v>0</v>
      </c>
      <c r="Y68" s="123">
        <f t="shared" si="25"/>
        <v>0</v>
      </c>
      <c r="Z68" s="123">
        <f t="shared" si="28"/>
        <v>0</v>
      </c>
      <c r="AA68" s="123">
        <f t="shared" si="26"/>
        <v>0</v>
      </c>
      <c r="AB68" s="123">
        <f t="shared" si="29"/>
        <v>2387.9508196721313</v>
      </c>
      <c r="AC68" s="123">
        <f t="shared" si="30"/>
        <v>2314.5190562613434</v>
      </c>
      <c r="AD68" s="123">
        <f t="shared" si="31"/>
        <v>21937.5</v>
      </c>
      <c r="AE68" s="123">
        <f t="shared" si="16"/>
        <v>8.995048597102512</v>
      </c>
      <c r="AF68" s="123">
        <f t="shared" si="27"/>
        <v>1755</v>
      </c>
      <c r="AG68" s="298">
        <f t="shared" si="17"/>
        <v>0</v>
      </c>
    </row>
    <row r="69" spans="1:33" x14ac:dyDescent="0.35">
      <c r="A69" s="197">
        <v>2072</v>
      </c>
      <c r="B69" s="198">
        <v>3302072</v>
      </c>
      <c r="C69" s="264" t="s">
        <v>272</v>
      </c>
      <c r="D69" s="198" t="s">
        <v>563</v>
      </c>
      <c r="E69" s="198" t="s">
        <v>564</v>
      </c>
      <c r="F69" s="198" t="s">
        <v>49</v>
      </c>
      <c r="G69" s="197" t="s">
        <v>596</v>
      </c>
      <c r="H69" s="197"/>
      <c r="I69" s="265">
        <v>58496.1</v>
      </c>
      <c r="J69" s="265">
        <v>13244.4</v>
      </c>
      <c r="K69" s="267">
        <v>0</v>
      </c>
      <c r="L69" s="267">
        <v>0</v>
      </c>
      <c r="M69" s="267">
        <v>0</v>
      </c>
      <c r="N69" s="269">
        <v>2267.85</v>
      </c>
      <c r="O69" s="269">
        <v>1491.578947368421</v>
      </c>
      <c r="P69" s="269">
        <v>4095</v>
      </c>
      <c r="Q69" s="269">
        <v>0</v>
      </c>
      <c r="R69" s="269">
        <v>0</v>
      </c>
      <c r="S69" s="270">
        <f t="shared" si="22"/>
        <v>79594.928947368433</v>
      </c>
      <c r="T69" s="272" t="e">
        <f>#REF!+#REF!+#REF!+#REF!+#REF!+#REF!+#REF!+#REF!+#REF!</f>
        <v>#REF!</v>
      </c>
      <c r="U69" s="273" t="e">
        <f t="shared" si="14"/>
        <v>#REF!</v>
      </c>
      <c r="V69" s="274"/>
      <c r="W69" s="123">
        <f t="shared" si="23"/>
        <v>10335</v>
      </c>
      <c r="X69" s="297">
        <f t="shared" si="24"/>
        <v>2340</v>
      </c>
      <c r="Y69" s="123">
        <f t="shared" si="25"/>
        <v>0</v>
      </c>
      <c r="Z69" s="123">
        <f t="shared" si="28"/>
        <v>0</v>
      </c>
      <c r="AA69" s="123">
        <f t="shared" si="26"/>
        <v>0</v>
      </c>
      <c r="AB69" s="123">
        <f t="shared" si="29"/>
        <v>3717.7868852459014</v>
      </c>
      <c r="AC69" s="123">
        <f t="shared" si="30"/>
        <v>5143.3756805807625</v>
      </c>
      <c r="AD69" s="123">
        <f t="shared" si="31"/>
        <v>51187.5</v>
      </c>
      <c r="AE69" s="123">
        <f t="shared" si="16"/>
        <v>19.988996882450024</v>
      </c>
      <c r="AF69" s="123">
        <f t="shared" si="27"/>
        <v>4095</v>
      </c>
      <c r="AG69" s="298">
        <f t="shared" si="17"/>
        <v>0</v>
      </c>
    </row>
    <row r="70" spans="1:33" x14ac:dyDescent="0.35">
      <c r="A70" s="197">
        <v>2073</v>
      </c>
      <c r="B70" s="198">
        <v>3302073</v>
      </c>
      <c r="C70" s="264" t="s">
        <v>273</v>
      </c>
      <c r="D70" s="198" t="s">
        <v>563</v>
      </c>
      <c r="E70" s="198" t="s">
        <v>564</v>
      </c>
      <c r="F70" s="198" t="s">
        <v>49</v>
      </c>
      <c r="G70" s="197" t="s">
        <v>597</v>
      </c>
      <c r="H70" s="197"/>
      <c r="I70" s="265">
        <v>51873.9</v>
      </c>
      <c r="J70" s="265">
        <v>13244.4</v>
      </c>
      <c r="K70" s="267">
        <v>0</v>
      </c>
      <c r="L70" s="267">
        <v>0</v>
      </c>
      <c r="M70" s="267">
        <v>0</v>
      </c>
      <c r="N70" s="269">
        <v>3849.2999999999997</v>
      </c>
      <c r="O70" s="269">
        <v>1789.8947368421054</v>
      </c>
      <c r="P70" s="269">
        <v>4875</v>
      </c>
      <c r="Q70" s="269">
        <v>0</v>
      </c>
      <c r="R70" s="269">
        <v>0</v>
      </c>
      <c r="S70" s="270">
        <f t="shared" si="22"/>
        <v>75632.494736842113</v>
      </c>
      <c r="T70" s="272" t="e">
        <f>#REF!+#REF!+#REF!+#REF!+#REF!+#REF!+#REF!+#REF!+#REF!</f>
        <v>#REF!</v>
      </c>
      <c r="U70" s="273" t="e">
        <f t="shared" si="14"/>
        <v>#REF!</v>
      </c>
      <c r="V70" s="274"/>
      <c r="W70" s="123">
        <f t="shared" si="23"/>
        <v>9165</v>
      </c>
      <c r="X70" s="297">
        <f t="shared" si="24"/>
        <v>2340</v>
      </c>
      <c r="Y70" s="123">
        <f t="shared" si="25"/>
        <v>0</v>
      </c>
      <c r="Z70" s="123">
        <f t="shared" si="28"/>
        <v>0</v>
      </c>
      <c r="AA70" s="123">
        <f t="shared" si="26"/>
        <v>0</v>
      </c>
      <c r="AB70" s="123">
        <f t="shared" si="29"/>
        <v>6310.3278688524588</v>
      </c>
      <c r="AC70" s="123">
        <f t="shared" si="30"/>
        <v>6172.0508166969157</v>
      </c>
      <c r="AD70" s="123">
        <f t="shared" si="31"/>
        <v>60937.5</v>
      </c>
      <c r="AE70" s="123">
        <f t="shared" si="16"/>
        <v>23.986796258940036</v>
      </c>
      <c r="AF70" s="123">
        <f t="shared" si="27"/>
        <v>4875</v>
      </c>
      <c r="AG70" s="298">
        <f t="shared" si="17"/>
        <v>0</v>
      </c>
    </row>
    <row r="71" spans="1:33" ht="26" x14ac:dyDescent="0.35">
      <c r="A71" s="197">
        <v>2075</v>
      </c>
      <c r="B71" s="198">
        <v>3302075</v>
      </c>
      <c r="C71" s="264" t="s">
        <v>274</v>
      </c>
      <c r="D71" s="198" t="s">
        <v>563</v>
      </c>
      <c r="E71" s="198" t="s">
        <v>564</v>
      </c>
      <c r="F71" s="198" t="s">
        <v>49</v>
      </c>
      <c r="G71" s="197" t="s">
        <v>565</v>
      </c>
      <c r="H71" s="197"/>
      <c r="I71" s="265">
        <v>16555.5</v>
      </c>
      <c r="J71" s="265">
        <v>0</v>
      </c>
      <c r="K71" s="267">
        <v>0</v>
      </c>
      <c r="L71" s="267">
        <v>0</v>
      </c>
      <c r="M71" s="267">
        <v>0</v>
      </c>
      <c r="N71" s="269">
        <v>643.5</v>
      </c>
      <c r="O71" s="269">
        <v>0</v>
      </c>
      <c r="P71" s="269">
        <v>0</v>
      </c>
      <c r="Q71" s="269">
        <v>0</v>
      </c>
      <c r="R71" s="269">
        <v>0</v>
      </c>
      <c r="S71" s="270">
        <f t="shared" si="22"/>
        <v>17199</v>
      </c>
      <c r="T71" s="272" t="e">
        <f>#REF!+#REF!+#REF!+#REF!+#REF!+#REF!+#REF!+#REF!+#REF!</f>
        <v>#REF!</v>
      </c>
      <c r="U71" s="273" t="e">
        <f t="shared" si="14"/>
        <v>#REF!</v>
      </c>
      <c r="V71" s="274"/>
      <c r="W71" s="123">
        <f t="shared" si="23"/>
        <v>2925</v>
      </c>
      <c r="X71" s="297">
        <f t="shared" si="24"/>
        <v>0</v>
      </c>
      <c r="Y71" s="123">
        <f t="shared" si="25"/>
        <v>0</v>
      </c>
      <c r="Z71" s="123">
        <f t="shared" si="28"/>
        <v>0</v>
      </c>
      <c r="AA71" s="123">
        <f t="shared" si="26"/>
        <v>0</v>
      </c>
      <c r="AB71" s="123">
        <f t="shared" si="29"/>
        <v>1054.9180327868853</v>
      </c>
      <c r="AC71" s="123">
        <f t="shared" si="30"/>
        <v>0</v>
      </c>
      <c r="AD71" s="123">
        <f t="shared" si="31"/>
        <v>0</v>
      </c>
      <c r="AE71" s="123">
        <f t="shared" si="16"/>
        <v>0</v>
      </c>
      <c r="AF71" s="123">
        <f t="shared" si="27"/>
        <v>0</v>
      </c>
      <c r="AG71" s="298">
        <f t="shared" si="17"/>
        <v>0</v>
      </c>
    </row>
    <row r="72" spans="1:33" x14ac:dyDescent="0.35">
      <c r="A72" s="197">
        <v>2078</v>
      </c>
      <c r="B72" s="198">
        <v>3302078</v>
      </c>
      <c r="C72" s="264" t="s">
        <v>275</v>
      </c>
      <c r="D72" s="198" t="s">
        <v>563</v>
      </c>
      <c r="E72" s="198" t="s">
        <v>564</v>
      </c>
      <c r="F72" s="198" t="s">
        <v>49</v>
      </c>
      <c r="G72" s="197" t="s">
        <v>598</v>
      </c>
      <c r="H72" s="197"/>
      <c r="I72" s="265">
        <v>35171.24</v>
      </c>
      <c r="J72" s="265">
        <v>10632.31</v>
      </c>
      <c r="K72" s="267">
        <v>0</v>
      </c>
      <c r="L72" s="267">
        <v>0</v>
      </c>
      <c r="M72" s="267">
        <v>0</v>
      </c>
      <c r="N72" s="269">
        <v>424.83999999999992</v>
      </c>
      <c r="O72" s="269">
        <v>223.73684210526318</v>
      </c>
      <c r="P72" s="269">
        <v>780</v>
      </c>
      <c r="Q72" s="269">
        <v>0</v>
      </c>
      <c r="R72" s="269">
        <v>0</v>
      </c>
      <c r="S72" s="270">
        <f t="shared" si="22"/>
        <v>47232.126842105252</v>
      </c>
      <c r="T72" s="272" t="e">
        <f>#REF!+#REF!+#REF!+#REF!+#REF!+#REF!+#REF!+#REF!+#REF!</f>
        <v>#REF!</v>
      </c>
      <c r="U72" s="273" t="e">
        <f t="shared" si="14"/>
        <v>#REF!</v>
      </c>
      <c r="V72" s="274"/>
      <c r="W72" s="123">
        <f t="shared" si="23"/>
        <v>6213.9999999999991</v>
      </c>
      <c r="X72" s="297">
        <f t="shared" si="24"/>
        <v>1878.4999999999998</v>
      </c>
      <c r="Y72" s="123">
        <f t="shared" si="25"/>
        <v>0</v>
      </c>
      <c r="Z72" s="123">
        <f t="shared" si="28"/>
        <v>0</v>
      </c>
      <c r="AA72" s="123">
        <f t="shared" si="26"/>
        <v>0</v>
      </c>
      <c r="AB72" s="123">
        <f t="shared" si="29"/>
        <v>696.45901639344254</v>
      </c>
      <c r="AC72" s="123">
        <f t="shared" si="30"/>
        <v>771.50635208711446</v>
      </c>
      <c r="AD72" s="123">
        <f t="shared" si="31"/>
        <v>9750</v>
      </c>
      <c r="AE72" s="123">
        <f t="shared" si="16"/>
        <v>2.9983495323675045</v>
      </c>
      <c r="AF72" s="123">
        <f t="shared" si="27"/>
        <v>780</v>
      </c>
      <c r="AG72" s="298">
        <f t="shared" si="17"/>
        <v>0</v>
      </c>
    </row>
    <row r="73" spans="1:33" x14ac:dyDescent="0.35">
      <c r="A73" s="197">
        <v>2082</v>
      </c>
      <c r="B73" s="198">
        <v>3302082</v>
      </c>
      <c r="C73" s="264" t="s">
        <v>276</v>
      </c>
      <c r="D73" s="198" t="s">
        <v>563</v>
      </c>
      <c r="E73" s="198" t="s">
        <v>564</v>
      </c>
      <c r="F73" s="198" t="s">
        <v>49</v>
      </c>
      <c r="G73" s="197" t="s">
        <v>599</v>
      </c>
      <c r="H73" s="197"/>
      <c r="I73" s="265">
        <v>23177.7</v>
      </c>
      <c r="J73" s="265">
        <v>0</v>
      </c>
      <c r="K73" s="267">
        <v>0</v>
      </c>
      <c r="L73" s="267">
        <v>0</v>
      </c>
      <c r="M73" s="267">
        <v>0</v>
      </c>
      <c r="N73" s="269">
        <v>1363.05</v>
      </c>
      <c r="O73" s="269">
        <v>0</v>
      </c>
      <c r="P73" s="269">
        <v>1560</v>
      </c>
      <c r="Q73" s="269">
        <v>0</v>
      </c>
      <c r="R73" s="269">
        <v>0</v>
      </c>
      <c r="S73" s="270">
        <f t="shared" si="22"/>
        <v>26100.75</v>
      </c>
      <c r="T73" s="272" t="e">
        <f>#REF!+#REF!+#REF!+#REF!+#REF!+#REF!+#REF!+#REF!+#REF!</f>
        <v>#REF!</v>
      </c>
      <c r="U73" s="273" t="e">
        <f t="shared" si="14"/>
        <v>#REF!</v>
      </c>
      <c r="V73" s="274"/>
      <c r="W73" s="123">
        <f t="shared" si="23"/>
        <v>4095</v>
      </c>
      <c r="X73" s="297">
        <f t="shared" si="24"/>
        <v>0</v>
      </c>
      <c r="Y73" s="123">
        <f t="shared" si="25"/>
        <v>0</v>
      </c>
      <c r="Z73" s="123">
        <f t="shared" si="28"/>
        <v>0</v>
      </c>
      <c r="AA73" s="123">
        <f t="shared" si="26"/>
        <v>0</v>
      </c>
      <c r="AB73" s="123">
        <f t="shared" si="29"/>
        <v>2234.5081967213114</v>
      </c>
      <c r="AC73" s="123">
        <f t="shared" si="30"/>
        <v>0</v>
      </c>
      <c r="AD73" s="123">
        <f t="shared" si="31"/>
        <v>19500</v>
      </c>
      <c r="AE73" s="123">
        <f t="shared" si="16"/>
        <v>0</v>
      </c>
      <c r="AF73" s="123">
        <f t="shared" si="27"/>
        <v>1560</v>
      </c>
      <c r="AG73" s="298">
        <f t="shared" si="17"/>
        <v>0</v>
      </c>
    </row>
    <row r="74" spans="1:33" x14ac:dyDescent="0.35">
      <c r="A74" s="197">
        <v>2086</v>
      </c>
      <c r="B74" s="198">
        <v>3302086</v>
      </c>
      <c r="C74" s="264" t="s">
        <v>277</v>
      </c>
      <c r="D74" s="198" t="s">
        <v>563</v>
      </c>
      <c r="E74" s="198" t="s">
        <v>564</v>
      </c>
      <c r="F74" s="198" t="s">
        <v>49</v>
      </c>
      <c r="G74" s="197" t="s">
        <v>600</v>
      </c>
      <c r="H74" s="197"/>
      <c r="I74" s="265">
        <v>28696.2</v>
      </c>
      <c r="J74" s="265">
        <v>0</v>
      </c>
      <c r="K74" s="267">
        <v>0</v>
      </c>
      <c r="L74" s="267">
        <v>0</v>
      </c>
      <c r="M74" s="267">
        <v>0</v>
      </c>
      <c r="N74" s="269">
        <v>780</v>
      </c>
      <c r="O74" s="269">
        <v>820.36842105263156</v>
      </c>
      <c r="P74" s="269">
        <v>2145</v>
      </c>
      <c r="Q74" s="269">
        <v>0</v>
      </c>
      <c r="R74" s="269">
        <v>0</v>
      </c>
      <c r="S74" s="270">
        <f t="shared" si="22"/>
        <v>32441.568421052631</v>
      </c>
      <c r="T74" s="272" t="e">
        <f>#REF!+#REF!+#REF!+#REF!+#REF!+#REF!+#REF!+#REF!+#REF!</f>
        <v>#REF!</v>
      </c>
      <c r="U74" s="273" t="e">
        <f t="shared" si="14"/>
        <v>#REF!</v>
      </c>
      <c r="V74" s="274"/>
      <c r="W74" s="123">
        <f t="shared" si="23"/>
        <v>5070</v>
      </c>
      <c r="X74" s="297">
        <f t="shared" si="24"/>
        <v>0</v>
      </c>
      <c r="Y74" s="123">
        <f t="shared" si="25"/>
        <v>0</v>
      </c>
      <c r="Z74" s="123">
        <f t="shared" si="28"/>
        <v>0</v>
      </c>
      <c r="AA74" s="123">
        <f t="shared" si="26"/>
        <v>0</v>
      </c>
      <c r="AB74" s="123">
        <f t="shared" si="29"/>
        <v>1278.688524590164</v>
      </c>
      <c r="AC74" s="123">
        <f t="shared" si="30"/>
        <v>2828.8566243194196</v>
      </c>
      <c r="AD74" s="123">
        <f t="shared" si="31"/>
        <v>26812.5</v>
      </c>
      <c r="AE74" s="123">
        <f t="shared" si="16"/>
        <v>10.993948285347514</v>
      </c>
      <c r="AF74" s="123">
        <f t="shared" si="27"/>
        <v>2145</v>
      </c>
      <c r="AG74" s="298">
        <f t="shared" si="17"/>
        <v>0</v>
      </c>
    </row>
    <row r="75" spans="1:33" x14ac:dyDescent="0.35">
      <c r="A75" s="197">
        <v>2093</v>
      </c>
      <c r="B75" s="198">
        <v>3302093</v>
      </c>
      <c r="C75" s="264" t="s">
        <v>278</v>
      </c>
      <c r="D75" s="198" t="s">
        <v>563</v>
      </c>
      <c r="E75" s="198" t="s">
        <v>450</v>
      </c>
      <c r="F75" s="198" t="s">
        <v>27</v>
      </c>
      <c r="G75" s="197" t="s">
        <v>601</v>
      </c>
      <c r="H75" s="197"/>
      <c r="I75" s="265">
        <v>56288.700000000004</v>
      </c>
      <c r="J75" s="265">
        <v>0</v>
      </c>
      <c r="K75" s="267">
        <v>0</v>
      </c>
      <c r="L75" s="267">
        <v>0</v>
      </c>
      <c r="M75" s="267">
        <v>0</v>
      </c>
      <c r="N75" s="269">
        <v>222.3</v>
      </c>
      <c r="O75" s="269">
        <v>1118.6842105263158</v>
      </c>
      <c r="P75" s="269">
        <v>2925</v>
      </c>
      <c r="Q75" s="269">
        <v>0</v>
      </c>
      <c r="R75" s="269">
        <v>0</v>
      </c>
      <c r="S75" s="270">
        <f t="shared" ref="S75:S106" si="32">SUM(I75:R75)</f>
        <v>60554.68421052632</v>
      </c>
      <c r="T75" s="272" t="e">
        <f>#REF!+#REF!+#REF!+#REF!+#REF!+#REF!+#REF!+#REF!+#REF!</f>
        <v>#REF!</v>
      </c>
      <c r="U75" s="273" t="e">
        <f t="shared" si="14"/>
        <v>#REF!</v>
      </c>
      <c r="V75" s="274"/>
      <c r="W75" s="123">
        <f t="shared" ref="W75:W106" si="33">(I75+R75)/$W$8</f>
        <v>9945</v>
      </c>
      <c r="X75" s="123">
        <f t="shared" ref="X75:X106" si="34">J75/$X$8</f>
        <v>0</v>
      </c>
      <c r="Y75" s="123">
        <f t="shared" ref="Y75:Y106" si="35">(K75+Q75)/$Y$8</f>
        <v>0</v>
      </c>
      <c r="Z75" s="123">
        <f t="shared" si="28"/>
        <v>0</v>
      </c>
      <c r="AA75" s="123">
        <f t="shared" ref="AA75:AA106" si="36">L75/$AA$8</f>
        <v>0</v>
      </c>
      <c r="AB75" s="123">
        <f t="shared" si="29"/>
        <v>364.42622950819674</v>
      </c>
      <c r="AC75" s="123">
        <f t="shared" si="30"/>
        <v>3857.5317604355723</v>
      </c>
      <c r="AD75" s="123">
        <f t="shared" si="31"/>
        <v>36562.5</v>
      </c>
      <c r="AE75" s="123">
        <f t="shared" si="16"/>
        <v>14.99174766183752</v>
      </c>
      <c r="AF75" s="123">
        <f t="shared" ref="AF75:AF106" si="37">P75/$AF$8</f>
        <v>2925</v>
      </c>
      <c r="AG75" s="298">
        <f t="shared" si="17"/>
        <v>0</v>
      </c>
    </row>
    <row r="76" spans="1:33" x14ac:dyDescent="0.35">
      <c r="A76" s="197">
        <v>2096</v>
      </c>
      <c r="B76" s="198">
        <v>3302096</v>
      </c>
      <c r="C76" s="264" t="s">
        <v>279</v>
      </c>
      <c r="D76" s="198" t="s">
        <v>563</v>
      </c>
      <c r="E76" s="198" t="s">
        <v>564</v>
      </c>
      <c r="F76" s="198" t="s">
        <v>49</v>
      </c>
      <c r="G76" s="197" t="s">
        <v>602</v>
      </c>
      <c r="H76" s="197"/>
      <c r="I76" s="265">
        <v>28696.2</v>
      </c>
      <c r="J76" s="265">
        <v>0</v>
      </c>
      <c r="K76" s="267">
        <v>0</v>
      </c>
      <c r="L76" s="267">
        <v>0</v>
      </c>
      <c r="M76" s="267">
        <v>0</v>
      </c>
      <c r="N76" s="269">
        <v>2174.25</v>
      </c>
      <c r="O76" s="269">
        <v>1118.6842105263158</v>
      </c>
      <c r="P76" s="269">
        <v>2925</v>
      </c>
      <c r="Q76" s="269">
        <v>0</v>
      </c>
      <c r="R76" s="269">
        <v>0</v>
      </c>
      <c r="S76" s="270">
        <f t="shared" si="32"/>
        <v>34914.134210526317</v>
      </c>
      <c r="T76" s="272" t="e">
        <f>#REF!+#REF!+#REF!+#REF!+#REF!+#REF!+#REF!+#REF!+#REF!</f>
        <v>#REF!</v>
      </c>
      <c r="U76" s="273" t="e">
        <f t="shared" ref="U76:U139" si="38">S76-T76</f>
        <v>#REF!</v>
      </c>
      <c r="V76" s="274"/>
      <c r="W76" s="123">
        <f t="shared" si="33"/>
        <v>5070</v>
      </c>
      <c r="X76" s="297">
        <f t="shared" si="34"/>
        <v>0</v>
      </c>
      <c r="Y76" s="123">
        <f t="shared" si="35"/>
        <v>0</v>
      </c>
      <c r="Z76" s="123">
        <f t="shared" si="28"/>
        <v>0</v>
      </c>
      <c r="AA76" s="123">
        <f t="shared" si="36"/>
        <v>0</v>
      </c>
      <c r="AB76" s="123">
        <f t="shared" si="29"/>
        <v>3564.344262295082</v>
      </c>
      <c r="AC76" s="123">
        <f t="shared" si="30"/>
        <v>3857.5317604355723</v>
      </c>
      <c r="AD76" s="123">
        <f t="shared" si="31"/>
        <v>36562.5</v>
      </c>
      <c r="AE76" s="123">
        <f t="shared" ref="AE76:AE139" si="39">O76/$W$5/$AE$5</f>
        <v>14.99174766183752</v>
      </c>
      <c r="AF76" s="123">
        <f t="shared" si="37"/>
        <v>2925</v>
      </c>
      <c r="AG76" s="298">
        <f t="shared" ref="AG76:AG139" si="40">M76/($AG$8/$AI$4*13)</f>
        <v>0</v>
      </c>
    </row>
    <row r="77" spans="1:33" x14ac:dyDescent="0.35">
      <c r="A77" s="197">
        <v>2097</v>
      </c>
      <c r="B77" s="198">
        <v>3302097</v>
      </c>
      <c r="C77" s="264" t="s">
        <v>280</v>
      </c>
      <c r="D77" s="198" t="s">
        <v>563</v>
      </c>
      <c r="E77" s="198" t="s">
        <v>564</v>
      </c>
      <c r="F77" s="198" t="s">
        <v>49</v>
      </c>
      <c r="G77" s="197" t="s">
        <v>603</v>
      </c>
      <c r="H77" s="197"/>
      <c r="I77" s="265">
        <v>23177.7</v>
      </c>
      <c r="J77" s="265">
        <v>6622.2</v>
      </c>
      <c r="K77" s="267">
        <v>0</v>
      </c>
      <c r="L77" s="267">
        <v>0</v>
      </c>
      <c r="M77" s="267">
        <v>0</v>
      </c>
      <c r="N77" s="269">
        <v>1015.9499999999999</v>
      </c>
      <c r="O77" s="269">
        <v>372.89473684210526</v>
      </c>
      <c r="P77" s="269">
        <v>1365</v>
      </c>
      <c r="Q77" s="269">
        <v>0</v>
      </c>
      <c r="R77" s="269">
        <v>0</v>
      </c>
      <c r="S77" s="270">
        <f t="shared" si="32"/>
        <v>32553.744736842109</v>
      </c>
      <c r="T77" s="272" t="e">
        <f>#REF!+#REF!+#REF!+#REF!+#REF!+#REF!+#REF!+#REF!+#REF!</f>
        <v>#REF!</v>
      </c>
      <c r="U77" s="273" t="e">
        <f t="shared" si="38"/>
        <v>#REF!</v>
      </c>
      <c r="V77" s="274"/>
      <c r="W77" s="123">
        <f t="shared" si="33"/>
        <v>4095</v>
      </c>
      <c r="X77" s="297">
        <f t="shared" si="34"/>
        <v>1170</v>
      </c>
      <c r="Y77" s="123">
        <f t="shared" si="35"/>
        <v>0</v>
      </c>
      <c r="Z77" s="123">
        <f t="shared" si="28"/>
        <v>0</v>
      </c>
      <c r="AA77" s="123">
        <f t="shared" si="36"/>
        <v>0</v>
      </c>
      <c r="AB77" s="123">
        <f t="shared" si="29"/>
        <v>1665.4918032786884</v>
      </c>
      <c r="AC77" s="123">
        <f t="shared" si="30"/>
        <v>1285.8439201451906</v>
      </c>
      <c r="AD77" s="123">
        <f t="shared" si="31"/>
        <v>17062.5</v>
      </c>
      <c r="AE77" s="123">
        <f t="shared" si="39"/>
        <v>4.9972492206125061</v>
      </c>
      <c r="AF77" s="123">
        <f t="shared" si="37"/>
        <v>1365</v>
      </c>
      <c r="AG77" s="298">
        <f t="shared" si="40"/>
        <v>0</v>
      </c>
    </row>
    <row r="78" spans="1:33" x14ac:dyDescent="0.35">
      <c r="A78" s="197">
        <v>2098</v>
      </c>
      <c r="B78" s="198">
        <v>3302098</v>
      </c>
      <c r="C78" s="264" t="s">
        <v>281</v>
      </c>
      <c r="D78" s="198" t="s">
        <v>563</v>
      </c>
      <c r="E78" s="198" t="s">
        <v>564</v>
      </c>
      <c r="F78" s="198" t="s">
        <v>49</v>
      </c>
      <c r="G78" s="197" t="s">
        <v>604</v>
      </c>
      <c r="H78" s="197"/>
      <c r="I78" s="265">
        <v>28696.2</v>
      </c>
      <c r="J78" s="265">
        <v>0</v>
      </c>
      <c r="K78" s="267">
        <v>0</v>
      </c>
      <c r="L78" s="267">
        <v>0</v>
      </c>
      <c r="M78" s="267">
        <v>0</v>
      </c>
      <c r="N78" s="269">
        <v>1386.4499999999998</v>
      </c>
      <c r="O78" s="269">
        <v>1193.2631578947369</v>
      </c>
      <c r="P78" s="269">
        <v>3120</v>
      </c>
      <c r="Q78" s="269">
        <v>0</v>
      </c>
      <c r="R78" s="269">
        <v>0</v>
      </c>
      <c r="S78" s="270">
        <f t="shared" si="32"/>
        <v>34395.913157894742</v>
      </c>
      <c r="T78" s="272" t="e">
        <f>#REF!+#REF!+#REF!+#REF!+#REF!+#REF!+#REF!+#REF!+#REF!</f>
        <v>#REF!</v>
      </c>
      <c r="U78" s="273" t="e">
        <f t="shared" si="38"/>
        <v>#REF!</v>
      </c>
      <c r="V78" s="274"/>
      <c r="W78" s="123">
        <f t="shared" si="33"/>
        <v>5070</v>
      </c>
      <c r="X78" s="297">
        <f t="shared" si="34"/>
        <v>0</v>
      </c>
      <c r="Y78" s="123">
        <f t="shared" si="35"/>
        <v>0</v>
      </c>
      <c r="Z78" s="123">
        <f t="shared" si="28"/>
        <v>0</v>
      </c>
      <c r="AA78" s="123">
        <f t="shared" si="36"/>
        <v>0</v>
      </c>
      <c r="AB78" s="123">
        <f t="shared" si="29"/>
        <v>2272.8688524590161</v>
      </c>
      <c r="AC78" s="123">
        <f t="shared" si="30"/>
        <v>4114.7005444646102</v>
      </c>
      <c r="AD78" s="123">
        <f t="shared" si="31"/>
        <v>39000</v>
      </c>
      <c r="AE78" s="123">
        <f t="shared" si="39"/>
        <v>15.991197505960022</v>
      </c>
      <c r="AF78" s="123">
        <f t="shared" si="37"/>
        <v>3120</v>
      </c>
      <c r="AG78" s="298">
        <f t="shared" si="40"/>
        <v>0</v>
      </c>
    </row>
    <row r="79" spans="1:33" x14ac:dyDescent="0.35">
      <c r="A79" s="197">
        <v>2099</v>
      </c>
      <c r="B79" s="198">
        <v>3302099</v>
      </c>
      <c r="C79" s="264" t="s">
        <v>87</v>
      </c>
      <c r="D79" s="198" t="s">
        <v>563</v>
      </c>
      <c r="E79" s="198" t="s">
        <v>450</v>
      </c>
      <c r="F79" s="198" t="s">
        <v>27</v>
      </c>
      <c r="G79" s="197" t="s">
        <v>605</v>
      </c>
      <c r="H79" s="197"/>
      <c r="I79" s="265">
        <v>28696.2</v>
      </c>
      <c r="J79" s="265">
        <v>0</v>
      </c>
      <c r="K79" s="267">
        <v>0</v>
      </c>
      <c r="L79" s="267">
        <v>0</v>
      </c>
      <c r="M79" s="267">
        <v>0</v>
      </c>
      <c r="N79" s="269">
        <v>1762.8</v>
      </c>
      <c r="O79" s="269">
        <v>0</v>
      </c>
      <c r="P79" s="269">
        <v>1170</v>
      </c>
      <c r="Q79" s="269">
        <v>0</v>
      </c>
      <c r="R79" s="269">
        <v>0</v>
      </c>
      <c r="S79" s="270">
        <f t="shared" si="32"/>
        <v>31629</v>
      </c>
      <c r="T79" s="272" t="e">
        <f>#REF!+#REF!+#REF!+#REF!+#REF!+#REF!+#REF!+#REF!+#REF!</f>
        <v>#REF!</v>
      </c>
      <c r="U79" s="273" t="e">
        <f t="shared" si="38"/>
        <v>#REF!</v>
      </c>
      <c r="V79" s="274"/>
      <c r="W79" s="123">
        <f t="shared" si="33"/>
        <v>5070</v>
      </c>
      <c r="X79" s="123">
        <f t="shared" si="34"/>
        <v>0</v>
      </c>
      <c r="Y79" s="123">
        <f t="shared" si="35"/>
        <v>0</v>
      </c>
      <c r="Z79" s="123">
        <f t="shared" si="28"/>
        <v>0</v>
      </c>
      <c r="AA79" s="123">
        <f t="shared" si="36"/>
        <v>0</v>
      </c>
      <c r="AB79" s="123">
        <f t="shared" si="29"/>
        <v>2889.8360655737706</v>
      </c>
      <c r="AC79" s="123">
        <f t="shared" si="30"/>
        <v>0</v>
      </c>
      <c r="AD79" s="123">
        <f t="shared" si="31"/>
        <v>14625</v>
      </c>
      <c r="AE79" s="123">
        <f t="shared" si="39"/>
        <v>0</v>
      </c>
      <c r="AF79" s="123">
        <f t="shared" si="37"/>
        <v>1170</v>
      </c>
      <c r="AG79" s="298">
        <f t="shared" si="40"/>
        <v>0</v>
      </c>
    </row>
    <row r="80" spans="1:33" ht="26" x14ac:dyDescent="0.35">
      <c r="A80" s="197">
        <v>2100</v>
      </c>
      <c r="B80" s="198">
        <v>3302100</v>
      </c>
      <c r="C80" s="264" t="s">
        <v>282</v>
      </c>
      <c r="D80" s="198" t="s">
        <v>563</v>
      </c>
      <c r="E80" s="198" t="s">
        <v>564</v>
      </c>
      <c r="F80" s="198" t="s">
        <v>49</v>
      </c>
      <c r="G80" s="197" t="s">
        <v>606</v>
      </c>
      <c r="H80" s="197"/>
      <c r="I80" s="265">
        <v>27592.5</v>
      </c>
      <c r="J80" s="265">
        <v>0</v>
      </c>
      <c r="K80" s="267">
        <v>0</v>
      </c>
      <c r="L80" s="267">
        <v>0</v>
      </c>
      <c r="M80" s="267">
        <v>0</v>
      </c>
      <c r="N80" s="269">
        <v>2287.35</v>
      </c>
      <c r="O80" s="269">
        <v>1044.1052631578948</v>
      </c>
      <c r="P80" s="269">
        <v>2730</v>
      </c>
      <c r="Q80" s="269">
        <v>0</v>
      </c>
      <c r="R80" s="269">
        <v>0</v>
      </c>
      <c r="S80" s="270">
        <f t="shared" si="32"/>
        <v>33653.955263157892</v>
      </c>
      <c r="T80" s="272" t="e">
        <f>#REF!+#REF!+#REF!+#REF!+#REF!+#REF!+#REF!+#REF!+#REF!</f>
        <v>#REF!</v>
      </c>
      <c r="U80" s="273" t="e">
        <f t="shared" si="38"/>
        <v>#REF!</v>
      </c>
      <c r="V80" s="274"/>
      <c r="W80" s="123">
        <f t="shared" si="33"/>
        <v>4875</v>
      </c>
      <c r="X80" s="297">
        <f t="shared" si="34"/>
        <v>0</v>
      </c>
      <c r="Y80" s="123">
        <f t="shared" si="35"/>
        <v>0</v>
      </c>
      <c r="Z80" s="123">
        <f t="shared" si="28"/>
        <v>0</v>
      </c>
      <c r="AA80" s="123">
        <f t="shared" si="36"/>
        <v>0</v>
      </c>
      <c r="AB80" s="123">
        <f t="shared" si="29"/>
        <v>3749.7540983606555</v>
      </c>
      <c r="AC80" s="123">
        <f t="shared" si="30"/>
        <v>3600.362976406534</v>
      </c>
      <c r="AD80" s="123">
        <f t="shared" si="31"/>
        <v>34125</v>
      </c>
      <c r="AE80" s="123">
        <f t="shared" si="39"/>
        <v>13.99229781771502</v>
      </c>
      <c r="AF80" s="123">
        <f t="shared" si="37"/>
        <v>2730</v>
      </c>
      <c r="AG80" s="298">
        <f t="shared" si="40"/>
        <v>0</v>
      </c>
    </row>
    <row r="81" spans="1:33" x14ac:dyDescent="0.35">
      <c r="A81" s="197">
        <v>2102</v>
      </c>
      <c r="B81" s="198">
        <v>3302102</v>
      </c>
      <c r="C81" s="264" t="s">
        <v>283</v>
      </c>
      <c r="D81" s="198" t="s">
        <v>563</v>
      </c>
      <c r="E81" s="198" t="s">
        <v>564</v>
      </c>
      <c r="F81" s="198" t="s">
        <v>49</v>
      </c>
      <c r="G81" s="197" t="s">
        <v>607</v>
      </c>
      <c r="H81" s="197"/>
      <c r="I81" s="265">
        <v>52977.599999999999</v>
      </c>
      <c r="J81" s="265">
        <v>18762.900000000001</v>
      </c>
      <c r="K81" s="267">
        <v>0</v>
      </c>
      <c r="L81" s="267">
        <v>0</v>
      </c>
      <c r="M81" s="267">
        <v>0</v>
      </c>
      <c r="N81" s="269">
        <v>3896.1</v>
      </c>
      <c r="O81" s="269">
        <v>1789.8947368421054</v>
      </c>
      <c r="P81" s="269">
        <v>4680</v>
      </c>
      <c r="Q81" s="269">
        <v>0</v>
      </c>
      <c r="R81" s="269">
        <v>0</v>
      </c>
      <c r="S81" s="270">
        <f t="shared" si="32"/>
        <v>82106.494736842113</v>
      </c>
      <c r="T81" s="272" t="e">
        <f>#REF!+#REF!+#REF!+#REF!+#REF!+#REF!+#REF!+#REF!+#REF!</f>
        <v>#REF!</v>
      </c>
      <c r="U81" s="273" t="e">
        <f t="shared" si="38"/>
        <v>#REF!</v>
      </c>
      <c r="V81" s="274"/>
      <c r="W81" s="123">
        <f t="shared" si="33"/>
        <v>9360</v>
      </c>
      <c r="X81" s="297">
        <f t="shared" si="34"/>
        <v>3315</v>
      </c>
      <c r="Y81" s="123">
        <f t="shared" si="35"/>
        <v>0</v>
      </c>
      <c r="Z81" s="123">
        <f t="shared" si="28"/>
        <v>0</v>
      </c>
      <c r="AA81" s="123">
        <f t="shared" si="36"/>
        <v>0</v>
      </c>
      <c r="AB81" s="123">
        <f t="shared" si="29"/>
        <v>6387.0491803278692</v>
      </c>
      <c r="AC81" s="123">
        <f t="shared" si="30"/>
        <v>6172.0508166969157</v>
      </c>
      <c r="AD81" s="123">
        <f t="shared" si="31"/>
        <v>58500</v>
      </c>
      <c r="AE81" s="123">
        <f t="shared" si="39"/>
        <v>23.986796258940036</v>
      </c>
      <c r="AF81" s="123">
        <f t="shared" si="37"/>
        <v>4680</v>
      </c>
      <c r="AG81" s="298">
        <f t="shared" si="40"/>
        <v>0</v>
      </c>
    </row>
    <row r="82" spans="1:33" x14ac:dyDescent="0.35">
      <c r="A82" s="197">
        <v>2103</v>
      </c>
      <c r="B82" s="198">
        <v>3302103</v>
      </c>
      <c r="C82" s="264" t="s">
        <v>284</v>
      </c>
      <c r="D82" s="198" t="s">
        <v>563</v>
      </c>
      <c r="E82" s="198" t="s">
        <v>564</v>
      </c>
      <c r="F82" s="198" t="s">
        <v>49</v>
      </c>
      <c r="G82" s="197" t="s">
        <v>608</v>
      </c>
      <c r="H82" s="197"/>
      <c r="I82" s="265">
        <v>54081.3</v>
      </c>
      <c r="J82" s="265">
        <v>13244.4</v>
      </c>
      <c r="K82" s="267">
        <v>0</v>
      </c>
      <c r="L82" s="267">
        <v>0</v>
      </c>
      <c r="M82" s="267">
        <v>0</v>
      </c>
      <c r="N82" s="269">
        <v>1585.35</v>
      </c>
      <c r="O82" s="269">
        <v>149.15789473684211</v>
      </c>
      <c r="P82" s="269">
        <v>390</v>
      </c>
      <c r="Q82" s="269">
        <v>0</v>
      </c>
      <c r="R82" s="269">
        <v>0</v>
      </c>
      <c r="S82" s="270">
        <f t="shared" si="32"/>
        <v>69450.207894736843</v>
      </c>
      <c r="T82" s="272" t="e">
        <f>#REF!+#REF!+#REF!+#REF!+#REF!+#REF!+#REF!+#REF!+#REF!</f>
        <v>#REF!</v>
      </c>
      <c r="U82" s="273" t="e">
        <f t="shared" si="38"/>
        <v>#REF!</v>
      </c>
      <c r="V82" s="274"/>
      <c r="W82" s="123">
        <f t="shared" si="33"/>
        <v>9555</v>
      </c>
      <c r="X82" s="297">
        <f t="shared" si="34"/>
        <v>2340</v>
      </c>
      <c r="Y82" s="123">
        <f t="shared" si="35"/>
        <v>0</v>
      </c>
      <c r="Z82" s="123">
        <f t="shared" si="28"/>
        <v>0</v>
      </c>
      <c r="AA82" s="123">
        <f t="shared" si="36"/>
        <v>0</v>
      </c>
      <c r="AB82" s="123">
        <f t="shared" si="29"/>
        <v>2598.9344262295081</v>
      </c>
      <c r="AC82" s="123">
        <f t="shared" si="30"/>
        <v>514.33756805807627</v>
      </c>
      <c r="AD82" s="123">
        <f t="shared" si="31"/>
        <v>4875</v>
      </c>
      <c r="AE82" s="123">
        <f t="shared" si="39"/>
        <v>1.9988996882450027</v>
      </c>
      <c r="AF82" s="123">
        <f t="shared" si="37"/>
        <v>390</v>
      </c>
      <c r="AG82" s="298">
        <f t="shared" si="40"/>
        <v>0</v>
      </c>
    </row>
    <row r="83" spans="1:33" x14ac:dyDescent="0.35">
      <c r="A83" s="197">
        <v>2108</v>
      </c>
      <c r="B83" s="198">
        <v>3302108</v>
      </c>
      <c r="C83" s="264" t="s">
        <v>161</v>
      </c>
      <c r="D83" s="198" t="s">
        <v>563</v>
      </c>
      <c r="E83" s="198" t="s">
        <v>450</v>
      </c>
      <c r="F83" s="198" t="s">
        <v>27</v>
      </c>
      <c r="G83" s="197" t="s">
        <v>609</v>
      </c>
      <c r="H83" s="197"/>
      <c r="I83" s="265">
        <v>49666.5</v>
      </c>
      <c r="J83" s="265">
        <v>0</v>
      </c>
      <c r="K83" s="267">
        <v>0</v>
      </c>
      <c r="L83" s="267">
        <v>0</v>
      </c>
      <c r="M83" s="267">
        <v>0</v>
      </c>
      <c r="N83" s="269">
        <v>1811.5499999999997</v>
      </c>
      <c r="O83" s="269">
        <v>0</v>
      </c>
      <c r="P83" s="269">
        <v>195</v>
      </c>
      <c r="Q83" s="269">
        <v>0</v>
      </c>
      <c r="R83" s="269">
        <v>0</v>
      </c>
      <c r="S83" s="270">
        <f t="shared" si="32"/>
        <v>51673.05</v>
      </c>
      <c r="T83" s="272" t="e">
        <f>#REF!+#REF!+#REF!+#REF!+#REF!+#REF!+#REF!+#REF!+#REF!</f>
        <v>#REF!</v>
      </c>
      <c r="U83" s="273" t="e">
        <f t="shared" si="38"/>
        <v>#REF!</v>
      </c>
      <c r="V83" s="274"/>
      <c r="W83" s="123">
        <f t="shared" si="33"/>
        <v>8775</v>
      </c>
      <c r="X83" s="123">
        <f t="shared" si="34"/>
        <v>0</v>
      </c>
      <c r="Y83" s="123">
        <f t="shared" si="35"/>
        <v>0</v>
      </c>
      <c r="Z83" s="123">
        <f t="shared" si="28"/>
        <v>0</v>
      </c>
      <c r="AA83" s="123">
        <f t="shared" si="36"/>
        <v>0</v>
      </c>
      <c r="AB83" s="123">
        <f t="shared" si="29"/>
        <v>2969.7540983606555</v>
      </c>
      <c r="AC83" s="123">
        <f t="shared" si="30"/>
        <v>0</v>
      </c>
      <c r="AD83" s="123">
        <f t="shared" si="31"/>
        <v>2437.5</v>
      </c>
      <c r="AE83" s="123">
        <f t="shared" si="39"/>
        <v>0</v>
      </c>
      <c r="AF83" s="123">
        <f t="shared" si="37"/>
        <v>195</v>
      </c>
      <c r="AG83" s="298">
        <f t="shared" si="40"/>
        <v>0</v>
      </c>
    </row>
    <row r="84" spans="1:33" x14ac:dyDescent="0.35">
      <c r="A84" s="197">
        <v>2109</v>
      </c>
      <c r="B84" s="198">
        <v>3302109</v>
      </c>
      <c r="C84" s="264" t="s">
        <v>285</v>
      </c>
      <c r="D84" s="198" t="s">
        <v>563</v>
      </c>
      <c r="E84" s="198" t="s">
        <v>564</v>
      </c>
      <c r="F84" s="198" t="s">
        <v>49</v>
      </c>
      <c r="G84" s="197" t="s">
        <v>610</v>
      </c>
      <c r="H84" s="197"/>
      <c r="I84" s="265">
        <v>24281.4</v>
      </c>
      <c r="J84" s="265">
        <v>0</v>
      </c>
      <c r="K84" s="267">
        <v>0</v>
      </c>
      <c r="L84" s="267">
        <v>0</v>
      </c>
      <c r="M84" s="267">
        <v>0</v>
      </c>
      <c r="N84" s="269">
        <v>1014</v>
      </c>
      <c r="O84" s="269">
        <v>745.78947368421052</v>
      </c>
      <c r="P84" s="269">
        <v>1950</v>
      </c>
      <c r="Q84" s="269">
        <v>0</v>
      </c>
      <c r="R84" s="269">
        <v>0</v>
      </c>
      <c r="S84" s="270">
        <f t="shared" si="32"/>
        <v>27991.189473684211</v>
      </c>
      <c r="T84" s="272" t="e">
        <f>#REF!+#REF!+#REF!+#REF!+#REF!+#REF!+#REF!+#REF!+#REF!</f>
        <v>#REF!</v>
      </c>
      <c r="U84" s="273" t="e">
        <f t="shared" si="38"/>
        <v>#REF!</v>
      </c>
      <c r="V84" s="274"/>
      <c r="W84" s="123">
        <f t="shared" si="33"/>
        <v>4290</v>
      </c>
      <c r="X84" s="297">
        <f t="shared" si="34"/>
        <v>0</v>
      </c>
      <c r="Y84" s="123">
        <f t="shared" si="35"/>
        <v>0</v>
      </c>
      <c r="Z84" s="123">
        <f t="shared" si="28"/>
        <v>0</v>
      </c>
      <c r="AA84" s="123">
        <f t="shared" si="36"/>
        <v>0</v>
      </c>
      <c r="AB84" s="123">
        <f t="shared" si="29"/>
        <v>1662.2950819672133</v>
      </c>
      <c r="AC84" s="123">
        <f t="shared" si="30"/>
        <v>2571.6878402903812</v>
      </c>
      <c r="AD84" s="123">
        <f t="shared" si="31"/>
        <v>24375</v>
      </c>
      <c r="AE84" s="123">
        <f t="shared" si="39"/>
        <v>9.9944984412250122</v>
      </c>
      <c r="AF84" s="123">
        <f t="shared" si="37"/>
        <v>1950</v>
      </c>
      <c r="AG84" s="298">
        <f t="shared" si="40"/>
        <v>0</v>
      </c>
    </row>
    <row r="85" spans="1:33" x14ac:dyDescent="0.35">
      <c r="A85" s="197">
        <v>2110</v>
      </c>
      <c r="B85" s="198">
        <v>3302110</v>
      </c>
      <c r="C85" s="264" t="s">
        <v>286</v>
      </c>
      <c r="D85" s="198" t="s">
        <v>563</v>
      </c>
      <c r="E85" s="198" t="s">
        <v>564</v>
      </c>
      <c r="F85" s="198" t="s">
        <v>49</v>
      </c>
      <c r="G85" s="197" t="s">
        <v>611</v>
      </c>
      <c r="H85" s="197"/>
      <c r="I85" s="265">
        <v>82777.5</v>
      </c>
      <c r="J85" s="265">
        <v>0</v>
      </c>
      <c r="K85" s="267">
        <v>0</v>
      </c>
      <c r="L85" s="267">
        <v>0</v>
      </c>
      <c r="M85" s="267">
        <v>0</v>
      </c>
      <c r="N85" s="269">
        <v>1569.75</v>
      </c>
      <c r="O85" s="269">
        <v>74.578947368421055</v>
      </c>
      <c r="P85" s="269">
        <v>1170</v>
      </c>
      <c r="Q85" s="269">
        <v>0</v>
      </c>
      <c r="R85" s="269">
        <v>0</v>
      </c>
      <c r="S85" s="270">
        <f t="shared" si="32"/>
        <v>85591.828947368427</v>
      </c>
      <c r="T85" s="272" t="e">
        <f>#REF!+#REF!+#REF!+#REF!+#REF!+#REF!+#REF!+#REF!+#REF!</f>
        <v>#REF!</v>
      </c>
      <c r="U85" s="273" t="e">
        <f t="shared" si="38"/>
        <v>#REF!</v>
      </c>
      <c r="V85" s="274"/>
      <c r="W85" s="123">
        <f t="shared" si="33"/>
        <v>14625</v>
      </c>
      <c r="X85" s="297">
        <f t="shared" si="34"/>
        <v>0</v>
      </c>
      <c r="Y85" s="123">
        <f t="shared" si="35"/>
        <v>0</v>
      </c>
      <c r="Z85" s="123">
        <f t="shared" si="28"/>
        <v>0</v>
      </c>
      <c r="AA85" s="123">
        <f t="shared" si="36"/>
        <v>0</v>
      </c>
      <c r="AB85" s="123">
        <f t="shared" si="29"/>
        <v>2573.3606557377052</v>
      </c>
      <c r="AC85" s="123">
        <f t="shared" si="30"/>
        <v>257.16878402903814</v>
      </c>
      <c r="AD85" s="123">
        <f t="shared" si="31"/>
        <v>14625</v>
      </c>
      <c r="AE85" s="123">
        <f t="shared" si="39"/>
        <v>0.99944984412250137</v>
      </c>
      <c r="AF85" s="123">
        <f t="shared" si="37"/>
        <v>1170</v>
      </c>
      <c r="AG85" s="298">
        <f t="shared" si="40"/>
        <v>0</v>
      </c>
    </row>
    <row r="86" spans="1:33" x14ac:dyDescent="0.35">
      <c r="A86" s="197">
        <v>2115</v>
      </c>
      <c r="B86" s="198">
        <v>3302115</v>
      </c>
      <c r="C86" s="264" t="s">
        <v>287</v>
      </c>
      <c r="D86" s="198" t="s">
        <v>563</v>
      </c>
      <c r="E86" s="198" t="s">
        <v>450</v>
      </c>
      <c r="F86" s="198" t="s">
        <v>27</v>
      </c>
      <c r="G86" s="197" t="s">
        <v>612</v>
      </c>
      <c r="H86" s="197"/>
      <c r="I86" s="265">
        <v>35318.400000000001</v>
      </c>
      <c r="J86" s="265">
        <v>15451.800000000001</v>
      </c>
      <c r="K86" s="267">
        <v>0</v>
      </c>
      <c r="L86" s="267">
        <v>0</v>
      </c>
      <c r="M86" s="267">
        <v>0</v>
      </c>
      <c r="N86" s="269">
        <v>1267.5</v>
      </c>
      <c r="O86" s="269">
        <v>0</v>
      </c>
      <c r="P86" s="269">
        <v>2340</v>
      </c>
      <c r="Q86" s="269">
        <v>0</v>
      </c>
      <c r="R86" s="269">
        <v>0</v>
      </c>
      <c r="S86" s="270">
        <f t="shared" si="32"/>
        <v>54377.700000000004</v>
      </c>
      <c r="T86" s="272" t="e">
        <f>#REF!+#REF!+#REF!+#REF!+#REF!+#REF!+#REF!+#REF!+#REF!</f>
        <v>#REF!</v>
      </c>
      <c r="U86" s="273" t="e">
        <f t="shared" si="38"/>
        <v>#REF!</v>
      </c>
      <c r="V86" s="274"/>
      <c r="W86" s="123">
        <f t="shared" si="33"/>
        <v>6240</v>
      </c>
      <c r="X86" s="123">
        <f t="shared" si="34"/>
        <v>2730</v>
      </c>
      <c r="Y86" s="123">
        <f t="shared" si="35"/>
        <v>0</v>
      </c>
      <c r="Z86" s="123">
        <f t="shared" si="28"/>
        <v>0</v>
      </c>
      <c r="AA86" s="123">
        <f t="shared" si="36"/>
        <v>0</v>
      </c>
      <c r="AB86" s="123">
        <f t="shared" si="29"/>
        <v>2077.8688524590166</v>
      </c>
      <c r="AC86" s="123">
        <f t="shared" si="30"/>
        <v>0</v>
      </c>
      <c r="AD86" s="123">
        <f t="shared" si="31"/>
        <v>29250</v>
      </c>
      <c r="AE86" s="123">
        <f t="shared" si="39"/>
        <v>0</v>
      </c>
      <c r="AF86" s="123">
        <f t="shared" si="37"/>
        <v>2340</v>
      </c>
      <c r="AG86" s="298">
        <f t="shared" si="40"/>
        <v>0</v>
      </c>
    </row>
    <row r="87" spans="1:33" x14ac:dyDescent="0.35">
      <c r="A87" s="197">
        <v>2117</v>
      </c>
      <c r="B87" s="198">
        <v>3302117</v>
      </c>
      <c r="C87" s="264" t="s">
        <v>288</v>
      </c>
      <c r="D87" s="198" t="s">
        <v>563</v>
      </c>
      <c r="E87" s="198" t="s">
        <v>564</v>
      </c>
      <c r="F87" s="198" t="s">
        <v>49</v>
      </c>
      <c r="G87" s="197" t="s">
        <v>613</v>
      </c>
      <c r="H87" s="197"/>
      <c r="I87" s="265">
        <v>37525.800000000003</v>
      </c>
      <c r="J87" s="265">
        <v>0</v>
      </c>
      <c r="K87" s="267">
        <v>0</v>
      </c>
      <c r="L87" s="267">
        <v>0</v>
      </c>
      <c r="M87" s="267">
        <v>0</v>
      </c>
      <c r="N87" s="269">
        <v>684.45</v>
      </c>
      <c r="O87" s="269">
        <v>298.31578947368422</v>
      </c>
      <c r="P87" s="269">
        <v>780</v>
      </c>
      <c r="Q87" s="269">
        <v>0</v>
      </c>
      <c r="R87" s="269">
        <v>0</v>
      </c>
      <c r="S87" s="270">
        <f t="shared" si="32"/>
        <v>39288.565789473687</v>
      </c>
      <c r="T87" s="272" t="e">
        <f>#REF!+#REF!+#REF!+#REF!+#REF!+#REF!+#REF!+#REF!+#REF!</f>
        <v>#REF!</v>
      </c>
      <c r="U87" s="273" t="e">
        <f t="shared" si="38"/>
        <v>#REF!</v>
      </c>
      <c r="V87" s="274"/>
      <c r="W87" s="123">
        <f t="shared" si="33"/>
        <v>6630</v>
      </c>
      <c r="X87" s="297">
        <f t="shared" si="34"/>
        <v>0</v>
      </c>
      <c r="Y87" s="123">
        <f t="shared" si="35"/>
        <v>0</v>
      </c>
      <c r="Z87" s="123">
        <f t="shared" si="28"/>
        <v>0</v>
      </c>
      <c r="AA87" s="123">
        <f t="shared" si="36"/>
        <v>0</v>
      </c>
      <c r="AB87" s="123">
        <f t="shared" si="29"/>
        <v>1122.049180327869</v>
      </c>
      <c r="AC87" s="123">
        <f t="shared" si="30"/>
        <v>1028.6751361161525</v>
      </c>
      <c r="AD87" s="123">
        <f t="shared" si="31"/>
        <v>9750</v>
      </c>
      <c r="AE87" s="123">
        <f t="shared" si="39"/>
        <v>3.9977993764900055</v>
      </c>
      <c r="AF87" s="123">
        <f t="shared" si="37"/>
        <v>780</v>
      </c>
      <c r="AG87" s="298">
        <f t="shared" si="40"/>
        <v>0</v>
      </c>
    </row>
    <row r="88" spans="1:33" x14ac:dyDescent="0.35">
      <c r="A88" s="197">
        <v>2119</v>
      </c>
      <c r="B88" s="198">
        <v>3302119</v>
      </c>
      <c r="C88" s="264" t="s">
        <v>289</v>
      </c>
      <c r="D88" s="198" t="s">
        <v>563</v>
      </c>
      <c r="E88" s="198" t="s">
        <v>564</v>
      </c>
      <c r="F88" s="198" t="s">
        <v>49</v>
      </c>
      <c r="G88" s="197" t="s">
        <v>571</v>
      </c>
      <c r="H88" s="197"/>
      <c r="I88" s="265">
        <v>23177.7</v>
      </c>
      <c r="J88" s="265">
        <v>0</v>
      </c>
      <c r="K88" s="267">
        <v>0</v>
      </c>
      <c r="L88" s="267">
        <v>0</v>
      </c>
      <c r="M88" s="267">
        <v>0</v>
      </c>
      <c r="N88" s="269">
        <v>475.79999999999995</v>
      </c>
      <c r="O88" s="269">
        <v>0</v>
      </c>
      <c r="P88" s="269">
        <v>2340</v>
      </c>
      <c r="Q88" s="269">
        <v>0</v>
      </c>
      <c r="R88" s="269">
        <v>0</v>
      </c>
      <c r="S88" s="270">
        <f t="shared" si="32"/>
        <v>25993.5</v>
      </c>
      <c r="T88" s="272" t="e">
        <f>#REF!+#REF!+#REF!+#REF!+#REF!+#REF!+#REF!+#REF!+#REF!</f>
        <v>#REF!</v>
      </c>
      <c r="U88" s="273" t="e">
        <f t="shared" si="38"/>
        <v>#REF!</v>
      </c>
      <c r="V88" s="274"/>
      <c r="W88" s="123">
        <f t="shared" si="33"/>
        <v>4095</v>
      </c>
      <c r="X88" s="297">
        <f t="shared" si="34"/>
        <v>0</v>
      </c>
      <c r="Y88" s="123">
        <f t="shared" si="35"/>
        <v>0</v>
      </c>
      <c r="Z88" s="123">
        <f t="shared" si="28"/>
        <v>0</v>
      </c>
      <c r="AA88" s="123">
        <f t="shared" si="36"/>
        <v>0</v>
      </c>
      <c r="AB88" s="123">
        <f t="shared" si="29"/>
        <v>779.99999999999989</v>
      </c>
      <c r="AC88" s="123">
        <f t="shared" si="30"/>
        <v>0</v>
      </c>
      <c r="AD88" s="123">
        <f t="shared" si="31"/>
        <v>29250</v>
      </c>
      <c r="AE88" s="123">
        <f t="shared" si="39"/>
        <v>0</v>
      </c>
      <c r="AF88" s="123">
        <f t="shared" si="37"/>
        <v>2340</v>
      </c>
      <c r="AG88" s="298">
        <f t="shared" si="40"/>
        <v>0</v>
      </c>
    </row>
    <row r="89" spans="1:33" ht="26" x14ac:dyDescent="0.35">
      <c r="A89" s="197">
        <v>2121</v>
      </c>
      <c r="B89" s="198">
        <v>3302121</v>
      </c>
      <c r="C89" s="264" t="s">
        <v>290</v>
      </c>
      <c r="D89" s="198" t="s">
        <v>563</v>
      </c>
      <c r="E89" s="198" t="s">
        <v>564</v>
      </c>
      <c r="F89" s="198" t="s">
        <v>49</v>
      </c>
      <c r="G89" s="197" t="s">
        <v>614</v>
      </c>
      <c r="H89" s="197"/>
      <c r="I89" s="265">
        <v>29799.9</v>
      </c>
      <c r="J89" s="265">
        <v>1103.7</v>
      </c>
      <c r="K89" s="267">
        <v>0</v>
      </c>
      <c r="L89" s="267">
        <v>0</v>
      </c>
      <c r="M89" s="267">
        <v>0</v>
      </c>
      <c r="N89" s="269">
        <v>2299.0500000000002</v>
      </c>
      <c r="O89" s="269">
        <v>1193.2631578947369</v>
      </c>
      <c r="P89" s="269">
        <v>3120</v>
      </c>
      <c r="Q89" s="269">
        <v>0</v>
      </c>
      <c r="R89" s="269">
        <v>0</v>
      </c>
      <c r="S89" s="270">
        <f t="shared" si="32"/>
        <v>37515.913157894742</v>
      </c>
      <c r="T89" s="272" t="e">
        <f>#REF!+#REF!+#REF!+#REF!+#REF!+#REF!+#REF!+#REF!+#REF!</f>
        <v>#REF!</v>
      </c>
      <c r="U89" s="273" t="e">
        <f t="shared" si="38"/>
        <v>#REF!</v>
      </c>
      <c r="V89" s="274"/>
      <c r="W89" s="123">
        <f t="shared" si="33"/>
        <v>5265</v>
      </c>
      <c r="X89" s="297">
        <f t="shared" si="34"/>
        <v>195</v>
      </c>
      <c r="Y89" s="123">
        <f t="shared" si="35"/>
        <v>0</v>
      </c>
      <c r="Z89" s="123">
        <f t="shared" si="28"/>
        <v>0</v>
      </c>
      <c r="AA89" s="123">
        <f t="shared" si="36"/>
        <v>0</v>
      </c>
      <c r="AB89" s="123">
        <f t="shared" si="29"/>
        <v>3768.9344262295085</v>
      </c>
      <c r="AC89" s="123">
        <f t="shared" si="30"/>
        <v>4114.7005444646102</v>
      </c>
      <c r="AD89" s="123">
        <f t="shared" si="31"/>
        <v>39000</v>
      </c>
      <c r="AE89" s="123">
        <f t="shared" si="39"/>
        <v>15.991197505960022</v>
      </c>
      <c r="AF89" s="123">
        <f t="shared" si="37"/>
        <v>3120</v>
      </c>
      <c r="AG89" s="298">
        <f t="shared" si="40"/>
        <v>0</v>
      </c>
    </row>
    <row r="90" spans="1:33" x14ac:dyDescent="0.35">
      <c r="A90" s="197">
        <v>2122</v>
      </c>
      <c r="B90" s="198">
        <v>3302122</v>
      </c>
      <c r="C90" s="264" t="s">
        <v>291</v>
      </c>
      <c r="D90" s="198" t="s">
        <v>563</v>
      </c>
      <c r="E90" s="198" t="s">
        <v>564</v>
      </c>
      <c r="F90" s="198" t="s">
        <v>49</v>
      </c>
      <c r="G90" s="197" t="s">
        <v>615</v>
      </c>
      <c r="H90" s="197"/>
      <c r="I90" s="265">
        <v>71740.5</v>
      </c>
      <c r="J90" s="265">
        <v>4414.8</v>
      </c>
      <c r="K90" s="267">
        <v>0</v>
      </c>
      <c r="L90" s="267">
        <v>0</v>
      </c>
      <c r="M90" s="267">
        <v>0</v>
      </c>
      <c r="N90" s="269">
        <v>1101.75</v>
      </c>
      <c r="O90" s="269">
        <v>1118.6842105263158</v>
      </c>
      <c r="P90" s="269">
        <v>2925</v>
      </c>
      <c r="Q90" s="269">
        <v>0</v>
      </c>
      <c r="R90" s="269">
        <v>0</v>
      </c>
      <c r="S90" s="270">
        <f t="shared" si="32"/>
        <v>81300.734210526323</v>
      </c>
      <c r="T90" s="272" t="e">
        <f>#REF!+#REF!+#REF!+#REF!+#REF!+#REF!+#REF!+#REF!+#REF!</f>
        <v>#REF!</v>
      </c>
      <c r="U90" s="273" t="e">
        <f t="shared" si="38"/>
        <v>#REF!</v>
      </c>
      <c r="V90" s="274"/>
      <c r="W90" s="123">
        <f t="shared" si="33"/>
        <v>12675</v>
      </c>
      <c r="X90" s="297">
        <f t="shared" si="34"/>
        <v>780</v>
      </c>
      <c r="Y90" s="123">
        <f t="shared" si="35"/>
        <v>0</v>
      </c>
      <c r="Z90" s="123">
        <f t="shared" si="28"/>
        <v>0</v>
      </c>
      <c r="AA90" s="123">
        <f t="shared" si="36"/>
        <v>0</v>
      </c>
      <c r="AB90" s="123">
        <f t="shared" si="29"/>
        <v>1806.1475409836066</v>
      </c>
      <c r="AC90" s="123">
        <f t="shared" si="30"/>
        <v>3857.5317604355723</v>
      </c>
      <c r="AD90" s="123">
        <f t="shared" si="31"/>
        <v>36562.5</v>
      </c>
      <c r="AE90" s="123">
        <f t="shared" si="39"/>
        <v>14.99174766183752</v>
      </c>
      <c r="AF90" s="123">
        <f t="shared" si="37"/>
        <v>2925</v>
      </c>
      <c r="AG90" s="298">
        <f t="shared" si="40"/>
        <v>0</v>
      </c>
    </row>
    <row r="91" spans="1:33" x14ac:dyDescent="0.35">
      <c r="A91" s="197">
        <v>2127</v>
      </c>
      <c r="B91" s="198">
        <v>3302127</v>
      </c>
      <c r="C91" s="264" t="s">
        <v>292</v>
      </c>
      <c r="D91" s="198" t="s">
        <v>563</v>
      </c>
      <c r="E91" s="198" t="s">
        <v>450</v>
      </c>
      <c r="F91" s="198" t="s">
        <v>27</v>
      </c>
      <c r="G91" s="197" t="s">
        <v>616</v>
      </c>
      <c r="H91" s="197"/>
      <c r="I91" s="265">
        <v>45251.700000000004</v>
      </c>
      <c r="J91" s="265">
        <v>6622.2</v>
      </c>
      <c r="K91" s="267">
        <v>0</v>
      </c>
      <c r="L91" s="267">
        <v>0</v>
      </c>
      <c r="M91" s="267">
        <v>320.89</v>
      </c>
      <c r="N91" s="269">
        <v>2125.5</v>
      </c>
      <c r="O91" s="269">
        <v>1118.6842105263158</v>
      </c>
      <c r="P91" s="269">
        <v>2925</v>
      </c>
      <c r="Q91" s="269">
        <v>0</v>
      </c>
      <c r="R91" s="269">
        <v>0</v>
      </c>
      <c r="S91" s="270">
        <f t="shared" si="32"/>
        <v>58363.974210526314</v>
      </c>
      <c r="T91" s="272" t="e">
        <f>#REF!+#REF!+#REF!+#REF!+#REF!+#REF!+#REF!+#REF!+#REF!</f>
        <v>#REF!</v>
      </c>
      <c r="U91" s="273" t="e">
        <f t="shared" si="38"/>
        <v>#REF!</v>
      </c>
      <c r="V91" s="274"/>
      <c r="W91" s="123">
        <f t="shared" si="33"/>
        <v>7995.0000000000009</v>
      </c>
      <c r="X91" s="123">
        <f t="shared" si="34"/>
        <v>1170</v>
      </c>
      <c r="Y91" s="123">
        <f t="shared" si="35"/>
        <v>0</v>
      </c>
      <c r="Z91" s="123">
        <f t="shared" si="28"/>
        <v>0</v>
      </c>
      <c r="AA91" s="123">
        <f t="shared" si="36"/>
        <v>0</v>
      </c>
      <c r="AB91" s="123">
        <f t="shared" si="29"/>
        <v>3484.4262295081967</v>
      </c>
      <c r="AC91" s="123">
        <f t="shared" si="30"/>
        <v>3857.5317604355723</v>
      </c>
      <c r="AD91" s="123">
        <f t="shared" si="31"/>
        <v>36562.5</v>
      </c>
      <c r="AE91" s="123">
        <f t="shared" si="39"/>
        <v>14.99174766183752</v>
      </c>
      <c r="AF91" s="123">
        <f t="shared" si="37"/>
        <v>2925</v>
      </c>
      <c r="AG91" s="298">
        <f t="shared" si="40"/>
        <v>0.99998523864195499</v>
      </c>
    </row>
    <row r="92" spans="1:33" x14ac:dyDescent="0.35">
      <c r="A92" s="197">
        <v>2132</v>
      </c>
      <c r="B92" s="198">
        <v>3302132</v>
      </c>
      <c r="C92" s="264" t="s">
        <v>293</v>
      </c>
      <c r="D92" s="198" t="s">
        <v>563</v>
      </c>
      <c r="E92" s="198" t="s">
        <v>564</v>
      </c>
      <c r="F92" s="198" t="s">
        <v>49</v>
      </c>
      <c r="G92" s="197" t="s">
        <v>617</v>
      </c>
      <c r="H92" s="197"/>
      <c r="I92" s="265">
        <v>51873.9</v>
      </c>
      <c r="J92" s="265">
        <v>0</v>
      </c>
      <c r="K92" s="267">
        <v>0</v>
      </c>
      <c r="L92" s="267">
        <v>0</v>
      </c>
      <c r="M92" s="267">
        <v>0</v>
      </c>
      <c r="N92" s="269">
        <v>1209</v>
      </c>
      <c r="O92" s="269">
        <v>0</v>
      </c>
      <c r="P92" s="269">
        <v>3120</v>
      </c>
      <c r="Q92" s="269">
        <v>0</v>
      </c>
      <c r="R92" s="269">
        <v>0</v>
      </c>
      <c r="S92" s="270">
        <f t="shared" si="32"/>
        <v>56202.9</v>
      </c>
      <c r="T92" s="272" t="e">
        <f>#REF!+#REF!+#REF!+#REF!+#REF!+#REF!+#REF!+#REF!+#REF!</f>
        <v>#REF!</v>
      </c>
      <c r="U92" s="273" t="e">
        <f t="shared" si="38"/>
        <v>#REF!</v>
      </c>
      <c r="V92" s="274"/>
      <c r="W92" s="123">
        <f t="shared" si="33"/>
        <v>9165</v>
      </c>
      <c r="X92" s="297">
        <f t="shared" si="34"/>
        <v>0</v>
      </c>
      <c r="Y92" s="123">
        <f t="shared" si="35"/>
        <v>0</v>
      </c>
      <c r="Z92" s="123">
        <f t="shared" si="28"/>
        <v>0</v>
      </c>
      <c r="AA92" s="123">
        <f t="shared" si="36"/>
        <v>0</v>
      </c>
      <c r="AB92" s="123">
        <f t="shared" si="29"/>
        <v>1981.967213114754</v>
      </c>
      <c r="AC92" s="123">
        <f t="shared" si="30"/>
        <v>0</v>
      </c>
      <c r="AD92" s="123">
        <f t="shared" si="31"/>
        <v>39000</v>
      </c>
      <c r="AE92" s="123">
        <f t="shared" si="39"/>
        <v>0</v>
      </c>
      <c r="AF92" s="123">
        <f t="shared" si="37"/>
        <v>3120</v>
      </c>
      <c r="AG92" s="298">
        <f t="shared" si="40"/>
        <v>0</v>
      </c>
    </row>
    <row r="93" spans="1:33" x14ac:dyDescent="0.35">
      <c r="A93" s="197">
        <v>2136</v>
      </c>
      <c r="B93" s="198">
        <v>3302136</v>
      </c>
      <c r="C93" s="264" t="s">
        <v>294</v>
      </c>
      <c r="D93" s="198" t="s">
        <v>563</v>
      </c>
      <c r="E93" s="198" t="s">
        <v>564</v>
      </c>
      <c r="F93" s="198" t="s">
        <v>49</v>
      </c>
      <c r="G93" s="197" t="s">
        <v>618</v>
      </c>
      <c r="H93" s="197"/>
      <c r="I93" s="265">
        <v>36422.1</v>
      </c>
      <c r="J93" s="265">
        <v>14348.1</v>
      </c>
      <c r="K93" s="267">
        <v>0</v>
      </c>
      <c r="L93" s="267">
        <v>0</v>
      </c>
      <c r="M93" s="267">
        <v>0</v>
      </c>
      <c r="N93" s="269">
        <v>1370.85</v>
      </c>
      <c r="O93" s="269">
        <v>820.36842105263156</v>
      </c>
      <c r="P93" s="269">
        <v>2145</v>
      </c>
      <c r="Q93" s="269">
        <v>0</v>
      </c>
      <c r="R93" s="269">
        <v>0</v>
      </c>
      <c r="S93" s="270">
        <f t="shared" si="32"/>
        <v>55106.418421052629</v>
      </c>
      <c r="T93" s="272" t="e">
        <f>#REF!+#REF!+#REF!+#REF!+#REF!+#REF!+#REF!+#REF!+#REF!</f>
        <v>#REF!</v>
      </c>
      <c r="U93" s="273" t="e">
        <f t="shared" si="38"/>
        <v>#REF!</v>
      </c>
      <c r="V93" s="274"/>
      <c r="W93" s="123">
        <f t="shared" si="33"/>
        <v>6435</v>
      </c>
      <c r="X93" s="297">
        <f t="shared" si="34"/>
        <v>2535</v>
      </c>
      <c r="Y93" s="123">
        <f t="shared" si="35"/>
        <v>0</v>
      </c>
      <c r="Z93" s="123">
        <f t="shared" si="28"/>
        <v>0</v>
      </c>
      <c r="AA93" s="123">
        <f t="shared" si="36"/>
        <v>0</v>
      </c>
      <c r="AB93" s="123">
        <f t="shared" si="29"/>
        <v>2247.2950819672128</v>
      </c>
      <c r="AC93" s="123">
        <f t="shared" si="30"/>
        <v>2828.8566243194196</v>
      </c>
      <c r="AD93" s="123">
        <f t="shared" si="31"/>
        <v>26812.5</v>
      </c>
      <c r="AE93" s="123">
        <f t="shared" si="39"/>
        <v>10.993948285347514</v>
      </c>
      <c r="AF93" s="123">
        <f t="shared" si="37"/>
        <v>2145</v>
      </c>
      <c r="AG93" s="298">
        <f t="shared" si="40"/>
        <v>0</v>
      </c>
    </row>
    <row r="94" spans="1:33" x14ac:dyDescent="0.35">
      <c r="A94" s="197">
        <v>2138</v>
      </c>
      <c r="B94" s="198">
        <v>3302138</v>
      </c>
      <c r="C94" s="264" t="s">
        <v>295</v>
      </c>
      <c r="D94" s="198" t="s">
        <v>563</v>
      </c>
      <c r="E94" s="198" t="s">
        <v>564</v>
      </c>
      <c r="F94" s="198" t="s">
        <v>49</v>
      </c>
      <c r="G94" s="197" t="s">
        <v>619</v>
      </c>
      <c r="H94" s="197"/>
      <c r="I94" s="265">
        <v>43044.3</v>
      </c>
      <c r="J94" s="265">
        <v>8829.6</v>
      </c>
      <c r="K94" s="267">
        <v>0</v>
      </c>
      <c r="L94" s="267">
        <v>0</v>
      </c>
      <c r="M94" s="267">
        <v>0</v>
      </c>
      <c r="N94" s="269">
        <v>109.2</v>
      </c>
      <c r="O94" s="269">
        <v>671.21052631578948</v>
      </c>
      <c r="P94" s="269">
        <v>1755</v>
      </c>
      <c r="Q94" s="269">
        <v>0</v>
      </c>
      <c r="R94" s="269">
        <v>0</v>
      </c>
      <c r="S94" s="270">
        <f t="shared" si="32"/>
        <v>54409.310526315785</v>
      </c>
      <c r="T94" s="272" t="e">
        <f>#REF!+#REF!+#REF!+#REF!+#REF!+#REF!+#REF!+#REF!+#REF!</f>
        <v>#REF!</v>
      </c>
      <c r="U94" s="273" t="e">
        <f t="shared" si="38"/>
        <v>#REF!</v>
      </c>
      <c r="V94" s="274"/>
      <c r="W94" s="123">
        <f t="shared" si="33"/>
        <v>7605</v>
      </c>
      <c r="X94" s="297">
        <f t="shared" si="34"/>
        <v>1560</v>
      </c>
      <c r="Y94" s="123">
        <f t="shared" si="35"/>
        <v>0</v>
      </c>
      <c r="Z94" s="123">
        <f t="shared" si="28"/>
        <v>0</v>
      </c>
      <c r="AA94" s="123">
        <f t="shared" si="36"/>
        <v>0</v>
      </c>
      <c r="AB94" s="123">
        <f t="shared" si="29"/>
        <v>179.01639344262296</v>
      </c>
      <c r="AC94" s="123">
        <f t="shared" si="30"/>
        <v>2314.5190562613434</v>
      </c>
      <c r="AD94" s="123">
        <f t="shared" si="31"/>
        <v>21937.5</v>
      </c>
      <c r="AE94" s="123">
        <f t="shared" si="39"/>
        <v>8.995048597102512</v>
      </c>
      <c r="AF94" s="123">
        <f t="shared" si="37"/>
        <v>1755</v>
      </c>
      <c r="AG94" s="298">
        <f t="shared" si="40"/>
        <v>0</v>
      </c>
    </row>
    <row r="95" spans="1:33" x14ac:dyDescent="0.35">
      <c r="A95" s="197">
        <v>2141</v>
      </c>
      <c r="B95" s="198">
        <v>3302141</v>
      </c>
      <c r="C95" s="264" t="s">
        <v>296</v>
      </c>
      <c r="D95" s="198" t="s">
        <v>563</v>
      </c>
      <c r="E95" s="198" t="s">
        <v>564</v>
      </c>
      <c r="F95" s="198" t="s">
        <v>49</v>
      </c>
      <c r="G95" s="197" t="s">
        <v>620</v>
      </c>
      <c r="H95" s="197"/>
      <c r="I95" s="265">
        <v>19866.600000000002</v>
      </c>
      <c r="J95" s="265">
        <v>0</v>
      </c>
      <c r="K95" s="267">
        <v>0</v>
      </c>
      <c r="L95" s="267">
        <v>0</v>
      </c>
      <c r="M95" s="267">
        <v>0</v>
      </c>
      <c r="N95" s="269">
        <v>2022.1499999999999</v>
      </c>
      <c r="O95" s="269">
        <v>0</v>
      </c>
      <c r="P95" s="269">
        <v>0</v>
      </c>
      <c r="Q95" s="269">
        <v>0</v>
      </c>
      <c r="R95" s="269">
        <v>0</v>
      </c>
      <c r="S95" s="270">
        <f t="shared" si="32"/>
        <v>21888.750000000004</v>
      </c>
      <c r="T95" s="272" t="e">
        <f>#REF!+#REF!+#REF!+#REF!+#REF!+#REF!+#REF!+#REF!+#REF!</f>
        <v>#REF!</v>
      </c>
      <c r="U95" s="273" t="e">
        <f t="shared" si="38"/>
        <v>#REF!</v>
      </c>
      <c r="V95" s="274"/>
      <c r="W95" s="123">
        <f t="shared" si="33"/>
        <v>3510.0000000000005</v>
      </c>
      <c r="X95" s="297">
        <f t="shared" si="34"/>
        <v>0</v>
      </c>
      <c r="Y95" s="123">
        <f t="shared" si="35"/>
        <v>0</v>
      </c>
      <c r="Z95" s="123">
        <f t="shared" si="28"/>
        <v>0</v>
      </c>
      <c r="AA95" s="123">
        <f t="shared" si="36"/>
        <v>0</v>
      </c>
      <c r="AB95" s="123">
        <f t="shared" si="29"/>
        <v>3315</v>
      </c>
      <c r="AC95" s="123">
        <f t="shared" si="30"/>
        <v>0</v>
      </c>
      <c r="AD95" s="123">
        <f t="shared" si="31"/>
        <v>0</v>
      </c>
      <c r="AE95" s="123">
        <f t="shared" si="39"/>
        <v>0</v>
      </c>
      <c r="AF95" s="123">
        <f t="shared" si="37"/>
        <v>0</v>
      </c>
      <c r="AG95" s="298">
        <f t="shared" si="40"/>
        <v>0</v>
      </c>
    </row>
    <row r="96" spans="1:33" x14ac:dyDescent="0.35">
      <c r="A96" s="197">
        <v>2142</v>
      </c>
      <c r="B96" s="198">
        <v>3302142</v>
      </c>
      <c r="C96" s="264" t="s">
        <v>115</v>
      </c>
      <c r="D96" s="198" t="s">
        <v>563</v>
      </c>
      <c r="E96" s="198" t="s">
        <v>450</v>
      </c>
      <c r="F96" s="198" t="s">
        <v>27</v>
      </c>
      <c r="G96" s="197" t="s">
        <v>621</v>
      </c>
      <c r="H96" s="197"/>
      <c r="I96" s="265">
        <v>26488.799999999999</v>
      </c>
      <c r="J96" s="265">
        <v>0</v>
      </c>
      <c r="K96" s="267">
        <v>0</v>
      </c>
      <c r="L96" s="267">
        <v>0</v>
      </c>
      <c r="M96" s="267">
        <v>0</v>
      </c>
      <c r="N96" s="269">
        <v>1696.5</v>
      </c>
      <c r="O96" s="269">
        <v>1342.421052631579</v>
      </c>
      <c r="P96" s="269">
        <v>3510</v>
      </c>
      <c r="Q96" s="269">
        <v>0</v>
      </c>
      <c r="R96" s="269">
        <v>0</v>
      </c>
      <c r="S96" s="270">
        <f t="shared" si="32"/>
        <v>33037.721052631576</v>
      </c>
      <c r="T96" s="272" t="e">
        <f>#REF!+#REF!+#REF!+#REF!+#REF!+#REF!+#REF!+#REF!+#REF!</f>
        <v>#REF!</v>
      </c>
      <c r="U96" s="273" t="e">
        <f t="shared" si="38"/>
        <v>#REF!</v>
      </c>
      <c r="V96" s="274"/>
      <c r="W96" s="123">
        <f t="shared" si="33"/>
        <v>4680</v>
      </c>
      <c r="X96" s="123">
        <f t="shared" si="34"/>
        <v>0</v>
      </c>
      <c r="Y96" s="123">
        <f t="shared" si="35"/>
        <v>0</v>
      </c>
      <c r="Z96" s="123">
        <f t="shared" si="28"/>
        <v>0</v>
      </c>
      <c r="AA96" s="123">
        <f t="shared" si="36"/>
        <v>0</v>
      </c>
      <c r="AB96" s="123">
        <f t="shared" si="29"/>
        <v>2781.1475409836066</v>
      </c>
      <c r="AC96" s="123">
        <f t="shared" si="30"/>
        <v>4629.0381125226868</v>
      </c>
      <c r="AD96" s="123">
        <f t="shared" si="31"/>
        <v>43875</v>
      </c>
      <c r="AE96" s="123">
        <f t="shared" si="39"/>
        <v>17.990097194205024</v>
      </c>
      <c r="AF96" s="123">
        <f t="shared" si="37"/>
        <v>3510</v>
      </c>
      <c r="AG96" s="298">
        <f t="shared" si="40"/>
        <v>0</v>
      </c>
    </row>
    <row r="97" spans="1:33" x14ac:dyDescent="0.35">
      <c r="A97" s="197">
        <v>2144</v>
      </c>
      <c r="B97" s="198">
        <v>3302144</v>
      </c>
      <c r="C97" s="264" t="s">
        <v>298</v>
      </c>
      <c r="D97" s="198" t="s">
        <v>563</v>
      </c>
      <c r="E97" s="198" t="s">
        <v>564</v>
      </c>
      <c r="F97" s="198" t="s">
        <v>49</v>
      </c>
      <c r="G97" s="197" t="s">
        <v>622</v>
      </c>
      <c r="H97" s="197"/>
      <c r="I97" s="265">
        <v>52977.599999999999</v>
      </c>
      <c r="J97" s="265">
        <v>3311.1</v>
      </c>
      <c r="K97" s="267">
        <v>0</v>
      </c>
      <c r="L97" s="267">
        <v>0</v>
      </c>
      <c r="M97" s="267">
        <v>0</v>
      </c>
      <c r="N97" s="269">
        <v>1419.6000000000001</v>
      </c>
      <c r="O97" s="269">
        <v>1715.3157894736842</v>
      </c>
      <c r="P97" s="269">
        <v>4485</v>
      </c>
      <c r="Q97" s="269">
        <v>0</v>
      </c>
      <c r="R97" s="269">
        <v>0</v>
      </c>
      <c r="S97" s="270">
        <f t="shared" si="32"/>
        <v>63908.615789473683</v>
      </c>
      <c r="T97" s="272" t="e">
        <f>#REF!+#REF!+#REF!+#REF!+#REF!+#REF!+#REF!+#REF!+#REF!</f>
        <v>#REF!</v>
      </c>
      <c r="U97" s="273" t="e">
        <f t="shared" si="38"/>
        <v>#REF!</v>
      </c>
      <c r="V97" s="274"/>
      <c r="W97" s="123">
        <f t="shared" si="33"/>
        <v>9360</v>
      </c>
      <c r="X97" s="297">
        <f t="shared" si="34"/>
        <v>585</v>
      </c>
      <c r="Y97" s="123">
        <f t="shared" si="35"/>
        <v>0</v>
      </c>
      <c r="Z97" s="123">
        <f t="shared" ref="Z97:Z128" si="41">L97/$Z$8</f>
        <v>0</v>
      </c>
      <c r="AA97" s="123">
        <f t="shared" si="36"/>
        <v>0</v>
      </c>
      <c r="AB97" s="123">
        <f t="shared" ref="AB97:AB128" si="42">N97/$AB$8</f>
        <v>2327.2131147540986</v>
      </c>
      <c r="AC97" s="123">
        <f t="shared" ref="AC97:AC128" si="43">O97/$AC$8</f>
        <v>5914.882032667877</v>
      </c>
      <c r="AD97" s="123">
        <f t="shared" ref="AD97:AD128" si="44">P97/$AD$8</f>
        <v>56062.5</v>
      </c>
      <c r="AE97" s="123">
        <f t="shared" si="39"/>
        <v>22.98734641481753</v>
      </c>
      <c r="AF97" s="123">
        <f t="shared" si="37"/>
        <v>4485</v>
      </c>
      <c r="AG97" s="298">
        <f t="shared" si="40"/>
        <v>0</v>
      </c>
    </row>
    <row r="98" spans="1:33" x14ac:dyDescent="0.35">
      <c r="A98" s="197">
        <v>2146</v>
      </c>
      <c r="B98" s="198">
        <v>3302146</v>
      </c>
      <c r="C98" s="264" t="s">
        <v>299</v>
      </c>
      <c r="D98" s="198" t="s">
        <v>563</v>
      </c>
      <c r="E98" s="198" t="s">
        <v>564</v>
      </c>
      <c r="F98" s="198" t="s">
        <v>49</v>
      </c>
      <c r="G98" s="197" t="s">
        <v>623</v>
      </c>
      <c r="H98" s="197"/>
      <c r="I98" s="265">
        <v>54081.3</v>
      </c>
      <c r="J98" s="265">
        <v>0</v>
      </c>
      <c r="K98" s="267">
        <v>0</v>
      </c>
      <c r="L98" s="267">
        <v>0</v>
      </c>
      <c r="M98" s="267">
        <v>0</v>
      </c>
      <c r="N98" s="269">
        <v>1015.95</v>
      </c>
      <c r="O98" s="269">
        <v>2088.2105263157896</v>
      </c>
      <c r="P98" s="269">
        <v>5460</v>
      </c>
      <c r="Q98" s="269">
        <v>0</v>
      </c>
      <c r="R98" s="269">
        <v>0</v>
      </c>
      <c r="S98" s="270">
        <f t="shared" si="32"/>
        <v>62645.460526315786</v>
      </c>
      <c r="T98" s="272" t="e">
        <f>#REF!+#REF!+#REF!+#REF!+#REF!+#REF!+#REF!+#REF!+#REF!</f>
        <v>#REF!</v>
      </c>
      <c r="U98" s="273" t="e">
        <f t="shared" si="38"/>
        <v>#REF!</v>
      </c>
      <c r="V98" s="274"/>
      <c r="W98" s="123">
        <f t="shared" si="33"/>
        <v>9555</v>
      </c>
      <c r="X98" s="297">
        <f t="shared" si="34"/>
        <v>0</v>
      </c>
      <c r="Y98" s="123">
        <f t="shared" si="35"/>
        <v>0</v>
      </c>
      <c r="Z98" s="123">
        <f t="shared" si="41"/>
        <v>0</v>
      </c>
      <c r="AA98" s="123">
        <f t="shared" si="36"/>
        <v>0</v>
      </c>
      <c r="AB98" s="123">
        <f t="shared" si="42"/>
        <v>1665.4918032786886</v>
      </c>
      <c r="AC98" s="123">
        <f t="shared" si="43"/>
        <v>7200.725952813068</v>
      </c>
      <c r="AD98" s="123">
        <f t="shared" si="44"/>
        <v>68250</v>
      </c>
      <c r="AE98" s="123">
        <f t="shared" si="39"/>
        <v>27.98459563543004</v>
      </c>
      <c r="AF98" s="123">
        <f t="shared" si="37"/>
        <v>5460</v>
      </c>
      <c r="AG98" s="298">
        <f t="shared" si="40"/>
        <v>0</v>
      </c>
    </row>
    <row r="99" spans="1:33" x14ac:dyDescent="0.35">
      <c r="A99" s="197">
        <v>2149</v>
      </c>
      <c r="B99" s="198">
        <v>3302149</v>
      </c>
      <c r="C99" s="264" t="s">
        <v>300</v>
      </c>
      <c r="D99" s="198" t="s">
        <v>563</v>
      </c>
      <c r="E99" s="198" t="s">
        <v>564</v>
      </c>
      <c r="F99" s="198" t="s">
        <v>49</v>
      </c>
      <c r="G99" s="197" t="s">
        <v>624</v>
      </c>
      <c r="H99" s="197"/>
      <c r="I99" s="265">
        <v>26488.799999999999</v>
      </c>
      <c r="J99" s="265">
        <v>0</v>
      </c>
      <c r="K99" s="267">
        <v>0</v>
      </c>
      <c r="L99" s="267">
        <v>0</v>
      </c>
      <c r="M99" s="267">
        <v>0</v>
      </c>
      <c r="N99" s="269">
        <v>391.95</v>
      </c>
      <c r="O99" s="269">
        <v>522.0526315789474</v>
      </c>
      <c r="P99" s="269">
        <v>1365</v>
      </c>
      <c r="Q99" s="269">
        <v>0</v>
      </c>
      <c r="R99" s="269">
        <v>0</v>
      </c>
      <c r="S99" s="270">
        <f t="shared" si="32"/>
        <v>28767.802631578947</v>
      </c>
      <c r="T99" s="272" t="e">
        <f>#REF!+#REF!+#REF!+#REF!+#REF!+#REF!+#REF!+#REF!+#REF!</f>
        <v>#REF!</v>
      </c>
      <c r="U99" s="273" t="e">
        <f t="shared" si="38"/>
        <v>#REF!</v>
      </c>
      <c r="V99" s="274"/>
      <c r="W99" s="123">
        <f t="shared" si="33"/>
        <v>4680</v>
      </c>
      <c r="X99" s="297">
        <f t="shared" si="34"/>
        <v>0</v>
      </c>
      <c r="Y99" s="123">
        <f t="shared" si="35"/>
        <v>0</v>
      </c>
      <c r="Z99" s="123">
        <f t="shared" si="41"/>
        <v>0</v>
      </c>
      <c r="AA99" s="123">
        <f t="shared" si="36"/>
        <v>0</v>
      </c>
      <c r="AB99" s="123">
        <f t="shared" si="42"/>
        <v>642.54098360655735</v>
      </c>
      <c r="AC99" s="123">
        <f t="shared" si="43"/>
        <v>1800.181488203267</v>
      </c>
      <c r="AD99" s="123">
        <f t="shared" si="44"/>
        <v>17062.5</v>
      </c>
      <c r="AE99" s="123">
        <f t="shared" si="39"/>
        <v>6.99614890885751</v>
      </c>
      <c r="AF99" s="123">
        <f t="shared" si="37"/>
        <v>1365</v>
      </c>
      <c r="AG99" s="298">
        <f t="shared" si="40"/>
        <v>0</v>
      </c>
    </row>
    <row r="100" spans="1:33" x14ac:dyDescent="0.35">
      <c r="A100" s="197">
        <v>2150</v>
      </c>
      <c r="B100" s="198">
        <v>3302150</v>
      </c>
      <c r="C100" s="264" t="s">
        <v>203</v>
      </c>
      <c r="D100" s="198" t="s">
        <v>563</v>
      </c>
      <c r="E100" s="198" t="s">
        <v>450</v>
      </c>
      <c r="F100" s="198" t="s">
        <v>27</v>
      </c>
      <c r="G100" s="197" t="s">
        <v>625</v>
      </c>
      <c r="H100" s="197"/>
      <c r="I100" s="265">
        <v>12140.7</v>
      </c>
      <c r="J100" s="265">
        <v>0</v>
      </c>
      <c r="K100" s="267">
        <v>0</v>
      </c>
      <c r="L100" s="267">
        <v>0</v>
      </c>
      <c r="M100" s="267">
        <v>0</v>
      </c>
      <c r="N100" s="269">
        <v>473.84999999999997</v>
      </c>
      <c r="O100" s="269">
        <v>223.73684210526318</v>
      </c>
      <c r="P100" s="269">
        <v>585</v>
      </c>
      <c r="Q100" s="269">
        <v>0</v>
      </c>
      <c r="R100" s="269">
        <v>0</v>
      </c>
      <c r="S100" s="270">
        <f t="shared" si="32"/>
        <v>13423.286842105264</v>
      </c>
      <c r="T100" s="272" t="e">
        <f>#REF!+#REF!+#REF!+#REF!+#REF!+#REF!+#REF!+#REF!+#REF!</f>
        <v>#REF!</v>
      </c>
      <c r="U100" s="273" t="e">
        <f t="shared" si="38"/>
        <v>#REF!</v>
      </c>
      <c r="V100" s="274"/>
      <c r="W100" s="123">
        <f t="shared" si="33"/>
        <v>2145</v>
      </c>
      <c r="X100" s="123">
        <f t="shared" si="34"/>
        <v>0</v>
      </c>
      <c r="Y100" s="123">
        <f t="shared" si="35"/>
        <v>0</v>
      </c>
      <c r="Z100" s="123">
        <f t="shared" si="41"/>
        <v>0</v>
      </c>
      <c r="AA100" s="123">
        <f t="shared" si="36"/>
        <v>0</v>
      </c>
      <c r="AB100" s="123">
        <f t="shared" si="42"/>
        <v>776.80327868852453</v>
      </c>
      <c r="AC100" s="123">
        <f t="shared" si="43"/>
        <v>771.50635208711446</v>
      </c>
      <c r="AD100" s="123">
        <f t="shared" si="44"/>
        <v>7312.5</v>
      </c>
      <c r="AE100" s="123">
        <f t="shared" si="39"/>
        <v>2.9983495323675045</v>
      </c>
      <c r="AF100" s="123">
        <f t="shared" si="37"/>
        <v>585</v>
      </c>
      <c r="AG100" s="298">
        <f t="shared" si="40"/>
        <v>0</v>
      </c>
    </row>
    <row r="101" spans="1:33" x14ac:dyDescent="0.35">
      <c r="A101" s="197">
        <v>2156</v>
      </c>
      <c r="B101" s="198">
        <v>3302156</v>
      </c>
      <c r="C101" s="264" t="s">
        <v>301</v>
      </c>
      <c r="D101" s="198" t="s">
        <v>563</v>
      </c>
      <c r="E101" s="198" t="s">
        <v>564</v>
      </c>
      <c r="F101" s="198" t="s">
        <v>49</v>
      </c>
      <c r="G101" s="197" t="s">
        <v>626</v>
      </c>
      <c r="H101" s="197"/>
      <c r="I101" s="265">
        <v>27592.5</v>
      </c>
      <c r="J101" s="265">
        <v>0</v>
      </c>
      <c r="K101" s="267">
        <v>0</v>
      </c>
      <c r="L101" s="267">
        <v>0</v>
      </c>
      <c r="M101" s="267">
        <v>0</v>
      </c>
      <c r="N101" s="269">
        <v>1376.7</v>
      </c>
      <c r="O101" s="269">
        <v>1044.1052631578948</v>
      </c>
      <c r="P101" s="269">
        <v>2730</v>
      </c>
      <c r="Q101" s="269">
        <v>0</v>
      </c>
      <c r="R101" s="269">
        <v>0</v>
      </c>
      <c r="S101" s="270">
        <f t="shared" si="32"/>
        <v>32743.305263157894</v>
      </c>
      <c r="T101" s="272" t="e">
        <f>#REF!+#REF!+#REF!+#REF!+#REF!+#REF!+#REF!+#REF!+#REF!</f>
        <v>#REF!</v>
      </c>
      <c r="U101" s="273" t="e">
        <f t="shared" si="38"/>
        <v>#REF!</v>
      </c>
      <c r="V101" s="274"/>
      <c r="W101" s="123">
        <f t="shared" si="33"/>
        <v>4875</v>
      </c>
      <c r="X101" s="297">
        <f t="shared" si="34"/>
        <v>0</v>
      </c>
      <c r="Y101" s="123">
        <f t="shared" si="35"/>
        <v>0</v>
      </c>
      <c r="Z101" s="123">
        <f t="shared" si="41"/>
        <v>0</v>
      </c>
      <c r="AA101" s="123">
        <f t="shared" si="36"/>
        <v>0</v>
      </c>
      <c r="AB101" s="123">
        <f t="shared" si="42"/>
        <v>2256.8852459016393</v>
      </c>
      <c r="AC101" s="123">
        <f t="shared" si="43"/>
        <v>3600.362976406534</v>
      </c>
      <c r="AD101" s="123">
        <f t="shared" si="44"/>
        <v>34125</v>
      </c>
      <c r="AE101" s="123">
        <f t="shared" si="39"/>
        <v>13.99229781771502</v>
      </c>
      <c r="AF101" s="123">
        <f t="shared" si="37"/>
        <v>2730</v>
      </c>
      <c r="AG101" s="298">
        <f t="shared" si="40"/>
        <v>0</v>
      </c>
    </row>
    <row r="102" spans="1:33" x14ac:dyDescent="0.35">
      <c r="A102" s="197">
        <v>2157</v>
      </c>
      <c r="B102" s="198">
        <v>3302157</v>
      </c>
      <c r="C102" s="264" t="s">
        <v>205</v>
      </c>
      <c r="D102" s="198" t="s">
        <v>563</v>
      </c>
      <c r="E102" s="198" t="s">
        <v>450</v>
      </c>
      <c r="F102" s="198" t="s">
        <v>27</v>
      </c>
      <c r="G102" s="197" t="s">
        <v>627</v>
      </c>
      <c r="H102" s="197"/>
      <c r="I102" s="265">
        <v>20970.3</v>
      </c>
      <c r="J102" s="265">
        <v>9933.3000000000011</v>
      </c>
      <c r="K102" s="267">
        <v>0</v>
      </c>
      <c r="L102" s="267">
        <v>0</v>
      </c>
      <c r="M102" s="267">
        <v>0</v>
      </c>
      <c r="N102" s="269">
        <v>118.95</v>
      </c>
      <c r="O102" s="269">
        <v>0</v>
      </c>
      <c r="P102" s="269">
        <v>0</v>
      </c>
      <c r="Q102" s="269">
        <v>0</v>
      </c>
      <c r="R102" s="269">
        <v>0</v>
      </c>
      <c r="S102" s="270">
        <f t="shared" si="32"/>
        <v>31022.55</v>
      </c>
      <c r="T102" s="272" t="e">
        <f>#REF!+#REF!+#REF!+#REF!+#REF!+#REF!+#REF!+#REF!+#REF!</f>
        <v>#REF!</v>
      </c>
      <c r="U102" s="273" t="e">
        <f t="shared" si="38"/>
        <v>#REF!</v>
      </c>
      <c r="V102" s="274"/>
      <c r="W102" s="123">
        <f t="shared" si="33"/>
        <v>3705</v>
      </c>
      <c r="X102" s="123">
        <f t="shared" si="34"/>
        <v>1755.0000000000002</v>
      </c>
      <c r="Y102" s="123">
        <f t="shared" si="35"/>
        <v>0</v>
      </c>
      <c r="Z102" s="123">
        <f t="shared" si="41"/>
        <v>0</v>
      </c>
      <c r="AA102" s="123">
        <f t="shared" si="36"/>
        <v>0</v>
      </c>
      <c r="AB102" s="123">
        <f t="shared" si="42"/>
        <v>195</v>
      </c>
      <c r="AC102" s="123">
        <f t="shared" si="43"/>
        <v>0</v>
      </c>
      <c r="AD102" s="123">
        <f t="shared" si="44"/>
        <v>0</v>
      </c>
      <c r="AE102" s="123">
        <f t="shared" si="39"/>
        <v>0</v>
      </c>
      <c r="AF102" s="123">
        <f t="shared" si="37"/>
        <v>0</v>
      </c>
      <c r="AG102" s="298">
        <f t="shared" si="40"/>
        <v>0</v>
      </c>
    </row>
    <row r="103" spans="1:33" x14ac:dyDescent="0.35">
      <c r="A103" s="197">
        <v>2161</v>
      </c>
      <c r="B103" s="198">
        <v>3302161</v>
      </c>
      <c r="C103" s="264" t="s">
        <v>302</v>
      </c>
      <c r="D103" s="198" t="s">
        <v>563</v>
      </c>
      <c r="E103" s="198" t="s">
        <v>450</v>
      </c>
      <c r="F103" s="198" t="s">
        <v>27</v>
      </c>
      <c r="G103" s="197" t="s">
        <v>628</v>
      </c>
      <c r="H103" s="197"/>
      <c r="I103" s="265">
        <v>44148</v>
      </c>
      <c r="J103" s="265">
        <v>13244.4</v>
      </c>
      <c r="K103" s="267">
        <v>0</v>
      </c>
      <c r="L103" s="267">
        <v>0</v>
      </c>
      <c r="M103" s="267">
        <v>0</v>
      </c>
      <c r="N103" s="269">
        <v>1195.3499999999999</v>
      </c>
      <c r="O103" s="269">
        <v>0</v>
      </c>
      <c r="P103" s="269">
        <v>3900</v>
      </c>
      <c r="Q103" s="269">
        <v>0</v>
      </c>
      <c r="R103" s="269">
        <v>0</v>
      </c>
      <c r="S103" s="270">
        <f t="shared" si="32"/>
        <v>62487.75</v>
      </c>
      <c r="T103" s="272" t="e">
        <f>#REF!+#REF!+#REF!+#REF!+#REF!+#REF!+#REF!+#REF!+#REF!</f>
        <v>#REF!</v>
      </c>
      <c r="U103" s="273" t="e">
        <f t="shared" si="38"/>
        <v>#REF!</v>
      </c>
      <c r="V103" s="274"/>
      <c r="W103" s="123">
        <f t="shared" si="33"/>
        <v>7800</v>
      </c>
      <c r="X103" s="123">
        <f t="shared" si="34"/>
        <v>2340</v>
      </c>
      <c r="Y103" s="123">
        <f t="shared" si="35"/>
        <v>0</v>
      </c>
      <c r="Z103" s="123">
        <f t="shared" si="41"/>
        <v>0</v>
      </c>
      <c r="AA103" s="123">
        <f t="shared" si="36"/>
        <v>0</v>
      </c>
      <c r="AB103" s="123">
        <f t="shared" si="42"/>
        <v>1959.5901639344261</v>
      </c>
      <c r="AC103" s="123">
        <f t="shared" si="43"/>
        <v>0</v>
      </c>
      <c r="AD103" s="123">
        <f t="shared" si="44"/>
        <v>48750</v>
      </c>
      <c r="AE103" s="123">
        <f t="shared" si="39"/>
        <v>0</v>
      </c>
      <c r="AF103" s="123">
        <f t="shared" si="37"/>
        <v>3900</v>
      </c>
      <c r="AG103" s="298">
        <f t="shared" si="40"/>
        <v>0</v>
      </c>
    </row>
    <row r="104" spans="1:33" x14ac:dyDescent="0.35">
      <c r="A104" s="197">
        <v>2162</v>
      </c>
      <c r="B104" s="198">
        <v>3302162</v>
      </c>
      <c r="C104" s="264" t="s">
        <v>303</v>
      </c>
      <c r="D104" s="198" t="s">
        <v>563</v>
      </c>
      <c r="E104" s="198" t="s">
        <v>564</v>
      </c>
      <c r="F104" s="198" t="s">
        <v>49</v>
      </c>
      <c r="G104" s="197" t="s">
        <v>629</v>
      </c>
      <c r="H104" s="197"/>
      <c r="I104" s="265">
        <v>23177.7</v>
      </c>
      <c r="J104" s="265">
        <v>0</v>
      </c>
      <c r="K104" s="267">
        <v>0</v>
      </c>
      <c r="L104" s="267">
        <v>0</v>
      </c>
      <c r="M104" s="267">
        <v>0</v>
      </c>
      <c r="N104" s="269">
        <v>819</v>
      </c>
      <c r="O104" s="269">
        <v>0</v>
      </c>
      <c r="P104" s="269">
        <v>0</v>
      </c>
      <c r="Q104" s="269">
        <v>0</v>
      </c>
      <c r="R104" s="269">
        <v>0</v>
      </c>
      <c r="S104" s="270">
        <f t="shared" si="32"/>
        <v>23996.7</v>
      </c>
      <c r="T104" s="272" t="e">
        <f>#REF!+#REF!+#REF!+#REF!+#REF!+#REF!+#REF!+#REF!+#REF!</f>
        <v>#REF!</v>
      </c>
      <c r="U104" s="273" t="e">
        <f t="shared" si="38"/>
        <v>#REF!</v>
      </c>
      <c r="V104" s="274"/>
      <c r="W104" s="123">
        <f t="shared" si="33"/>
        <v>4095</v>
      </c>
      <c r="X104" s="297">
        <f t="shared" si="34"/>
        <v>0</v>
      </c>
      <c r="Y104" s="123">
        <f t="shared" si="35"/>
        <v>0</v>
      </c>
      <c r="Z104" s="123">
        <f t="shared" si="41"/>
        <v>0</v>
      </c>
      <c r="AA104" s="123">
        <f t="shared" si="36"/>
        <v>0</v>
      </c>
      <c r="AB104" s="123">
        <f t="shared" si="42"/>
        <v>1342.6229508196723</v>
      </c>
      <c r="AC104" s="123">
        <f t="shared" si="43"/>
        <v>0</v>
      </c>
      <c r="AD104" s="123">
        <f t="shared" si="44"/>
        <v>0</v>
      </c>
      <c r="AE104" s="123">
        <f t="shared" si="39"/>
        <v>0</v>
      </c>
      <c r="AF104" s="123">
        <f t="shared" si="37"/>
        <v>0</v>
      </c>
      <c r="AG104" s="298">
        <f t="shared" si="40"/>
        <v>0</v>
      </c>
    </row>
    <row r="105" spans="1:33" x14ac:dyDescent="0.35">
      <c r="A105" s="197">
        <v>2169</v>
      </c>
      <c r="B105" s="198">
        <v>3302169</v>
      </c>
      <c r="C105" s="264" t="s">
        <v>304</v>
      </c>
      <c r="D105" s="198" t="s">
        <v>563</v>
      </c>
      <c r="E105" s="198" t="s">
        <v>450</v>
      </c>
      <c r="F105" s="198" t="s">
        <v>27</v>
      </c>
      <c r="G105" s="197" t="s">
        <v>630</v>
      </c>
      <c r="H105" s="197"/>
      <c r="I105" s="265">
        <v>39733.200000000004</v>
      </c>
      <c r="J105" s="265">
        <v>4414.8</v>
      </c>
      <c r="K105" s="267">
        <v>0</v>
      </c>
      <c r="L105" s="267">
        <v>0</v>
      </c>
      <c r="M105" s="267">
        <v>0</v>
      </c>
      <c r="N105" s="269">
        <v>2472.6000000000004</v>
      </c>
      <c r="O105" s="269">
        <v>1267.8421052631579</v>
      </c>
      <c r="P105" s="269">
        <v>3315</v>
      </c>
      <c r="Q105" s="269">
        <v>0</v>
      </c>
      <c r="R105" s="269">
        <v>0</v>
      </c>
      <c r="S105" s="270">
        <f t="shared" si="32"/>
        <v>51203.442105263166</v>
      </c>
      <c r="T105" s="272" t="e">
        <f>#REF!+#REF!+#REF!+#REF!+#REF!+#REF!+#REF!+#REF!+#REF!</f>
        <v>#REF!</v>
      </c>
      <c r="U105" s="273" t="e">
        <f t="shared" si="38"/>
        <v>#REF!</v>
      </c>
      <c r="V105" s="274"/>
      <c r="W105" s="123">
        <f t="shared" si="33"/>
        <v>7020.0000000000009</v>
      </c>
      <c r="X105" s="123">
        <f t="shared" si="34"/>
        <v>780</v>
      </c>
      <c r="Y105" s="123">
        <f t="shared" si="35"/>
        <v>0</v>
      </c>
      <c r="Z105" s="123">
        <f t="shared" si="41"/>
        <v>0</v>
      </c>
      <c r="AA105" s="123">
        <f t="shared" si="36"/>
        <v>0</v>
      </c>
      <c r="AB105" s="123">
        <f t="shared" si="42"/>
        <v>4053.4426229508204</v>
      </c>
      <c r="AC105" s="123">
        <f t="shared" si="43"/>
        <v>4371.869328493648</v>
      </c>
      <c r="AD105" s="123">
        <f t="shared" si="44"/>
        <v>41437.5</v>
      </c>
      <c r="AE105" s="123">
        <f t="shared" si="39"/>
        <v>16.990647350082522</v>
      </c>
      <c r="AF105" s="123">
        <f t="shared" si="37"/>
        <v>3315</v>
      </c>
      <c r="AG105" s="298">
        <f t="shared" si="40"/>
        <v>0</v>
      </c>
    </row>
    <row r="106" spans="1:33" x14ac:dyDescent="0.35">
      <c r="A106" s="197">
        <v>2170</v>
      </c>
      <c r="B106" s="198">
        <v>3302170</v>
      </c>
      <c r="C106" s="264" t="s">
        <v>305</v>
      </c>
      <c r="D106" s="198" t="s">
        <v>563</v>
      </c>
      <c r="E106" s="198" t="s">
        <v>564</v>
      </c>
      <c r="F106" s="198" t="s">
        <v>49</v>
      </c>
      <c r="G106" s="197" t="s">
        <v>631</v>
      </c>
      <c r="H106" s="197"/>
      <c r="I106" s="265">
        <v>49666.5</v>
      </c>
      <c r="J106" s="265">
        <v>2207.4</v>
      </c>
      <c r="K106" s="267">
        <v>16594.5</v>
      </c>
      <c r="L106" s="267">
        <v>0</v>
      </c>
      <c r="M106" s="267">
        <v>0</v>
      </c>
      <c r="N106" s="269">
        <v>3110.2499999999995</v>
      </c>
      <c r="O106" s="269">
        <v>1864.4736842105265</v>
      </c>
      <c r="P106" s="269">
        <v>7410</v>
      </c>
      <c r="Q106" s="269">
        <v>0</v>
      </c>
      <c r="R106" s="269">
        <v>0</v>
      </c>
      <c r="S106" s="270">
        <f t="shared" si="32"/>
        <v>80853.123684210514</v>
      </c>
      <c r="T106" s="272" t="e">
        <f>#REF!+#REF!+#REF!+#REF!+#REF!+#REF!+#REF!+#REF!+#REF!</f>
        <v>#REF!</v>
      </c>
      <c r="U106" s="273" t="e">
        <f t="shared" si="38"/>
        <v>#REF!</v>
      </c>
      <c r="V106" s="274"/>
      <c r="W106" s="123">
        <f t="shared" si="33"/>
        <v>8775</v>
      </c>
      <c r="X106" s="297">
        <f t="shared" si="34"/>
        <v>390</v>
      </c>
      <c r="Y106" s="123">
        <f t="shared" si="35"/>
        <v>1950</v>
      </c>
      <c r="Z106" s="123">
        <f t="shared" si="41"/>
        <v>0</v>
      </c>
      <c r="AA106" s="123">
        <f t="shared" si="36"/>
        <v>0</v>
      </c>
      <c r="AB106" s="123">
        <f t="shared" si="42"/>
        <v>5098.7704918032778</v>
      </c>
      <c r="AC106" s="123">
        <f t="shared" si="43"/>
        <v>6429.2196007259536</v>
      </c>
      <c r="AD106" s="123">
        <f t="shared" si="44"/>
        <v>92625</v>
      </c>
      <c r="AE106" s="123">
        <f t="shared" si="39"/>
        <v>24.986246103062534</v>
      </c>
      <c r="AF106" s="123">
        <f t="shared" si="37"/>
        <v>7410</v>
      </c>
      <c r="AG106" s="298">
        <f t="shared" si="40"/>
        <v>0</v>
      </c>
    </row>
    <row r="107" spans="1:33" x14ac:dyDescent="0.35">
      <c r="A107" s="197">
        <v>2171</v>
      </c>
      <c r="B107" s="198">
        <v>3302171</v>
      </c>
      <c r="C107" s="264" t="s">
        <v>306</v>
      </c>
      <c r="D107" s="198" t="s">
        <v>563</v>
      </c>
      <c r="E107" s="198" t="s">
        <v>564</v>
      </c>
      <c r="F107" s="198" t="s">
        <v>49</v>
      </c>
      <c r="G107" s="197" t="s">
        <v>632</v>
      </c>
      <c r="H107" s="197"/>
      <c r="I107" s="265">
        <v>23177.7</v>
      </c>
      <c r="J107" s="265">
        <v>0</v>
      </c>
      <c r="K107" s="267">
        <v>0</v>
      </c>
      <c r="L107" s="267">
        <v>0</v>
      </c>
      <c r="M107" s="267">
        <v>0</v>
      </c>
      <c r="N107" s="269">
        <v>534.30000000000007</v>
      </c>
      <c r="O107" s="269">
        <v>447.47368421052636</v>
      </c>
      <c r="P107" s="269">
        <v>1170</v>
      </c>
      <c r="Q107" s="269">
        <v>0</v>
      </c>
      <c r="R107" s="269">
        <v>0</v>
      </c>
      <c r="S107" s="270">
        <f t="shared" ref="S107:S138" si="45">SUM(I107:R107)</f>
        <v>25329.473684210527</v>
      </c>
      <c r="T107" s="272" t="e">
        <f>#REF!+#REF!+#REF!+#REF!+#REF!+#REF!+#REF!+#REF!+#REF!</f>
        <v>#REF!</v>
      </c>
      <c r="U107" s="273" t="e">
        <f t="shared" si="38"/>
        <v>#REF!</v>
      </c>
      <c r="V107" s="274"/>
      <c r="W107" s="123">
        <f t="shared" ref="W107:W138" si="46">(I107+R107)/$W$8</f>
        <v>4095</v>
      </c>
      <c r="X107" s="297">
        <f t="shared" ref="X107:X138" si="47">J107/$X$8</f>
        <v>0</v>
      </c>
      <c r="Y107" s="123">
        <f t="shared" ref="Y107:Y138" si="48">(K107+Q107)/$Y$8</f>
        <v>0</v>
      </c>
      <c r="Z107" s="123">
        <f t="shared" si="41"/>
        <v>0</v>
      </c>
      <c r="AA107" s="123">
        <f t="shared" ref="AA107:AA138" si="49">L107/$AA$8</f>
        <v>0</v>
      </c>
      <c r="AB107" s="123">
        <f t="shared" si="42"/>
        <v>875.90163934426243</v>
      </c>
      <c r="AC107" s="123">
        <f t="shared" si="43"/>
        <v>1543.0127041742289</v>
      </c>
      <c r="AD107" s="123">
        <f t="shared" si="44"/>
        <v>14625</v>
      </c>
      <c r="AE107" s="123">
        <f t="shared" si="39"/>
        <v>5.9966990647350089</v>
      </c>
      <c r="AF107" s="123">
        <f t="shared" ref="AF107:AF138" si="50">P107/$AF$8</f>
        <v>1170</v>
      </c>
      <c r="AG107" s="298">
        <f t="shared" si="40"/>
        <v>0</v>
      </c>
    </row>
    <row r="108" spans="1:33" x14ac:dyDescent="0.35">
      <c r="A108" s="197">
        <v>2176</v>
      </c>
      <c r="B108" s="198">
        <v>3302176</v>
      </c>
      <c r="C108" s="264" t="s">
        <v>307</v>
      </c>
      <c r="D108" s="198" t="s">
        <v>563</v>
      </c>
      <c r="E108" s="198" t="s">
        <v>450</v>
      </c>
      <c r="F108" s="198" t="s">
        <v>27</v>
      </c>
      <c r="G108" s="197" t="s">
        <v>633</v>
      </c>
      <c r="H108" s="197"/>
      <c r="I108" s="265">
        <v>70636.800000000003</v>
      </c>
      <c r="J108" s="265">
        <v>8829.6</v>
      </c>
      <c r="K108" s="267">
        <v>0</v>
      </c>
      <c r="L108" s="267">
        <v>0</v>
      </c>
      <c r="M108" s="267">
        <v>0</v>
      </c>
      <c r="N108" s="269">
        <v>1542.45</v>
      </c>
      <c r="O108" s="269">
        <v>149.15789473684211</v>
      </c>
      <c r="P108" s="269">
        <v>6240</v>
      </c>
      <c r="Q108" s="269">
        <v>0</v>
      </c>
      <c r="R108" s="269">
        <v>0</v>
      </c>
      <c r="S108" s="270">
        <f t="shared" si="45"/>
        <v>87398.007894736846</v>
      </c>
      <c r="T108" s="272" t="e">
        <f>#REF!+#REF!+#REF!+#REF!+#REF!+#REF!+#REF!+#REF!+#REF!</f>
        <v>#REF!</v>
      </c>
      <c r="U108" s="273" t="e">
        <f t="shared" si="38"/>
        <v>#REF!</v>
      </c>
      <c r="V108" s="274"/>
      <c r="W108" s="123">
        <f t="shared" si="46"/>
        <v>12480</v>
      </c>
      <c r="X108" s="123">
        <f t="shared" si="47"/>
        <v>1560</v>
      </c>
      <c r="Y108" s="123">
        <f t="shared" si="48"/>
        <v>0</v>
      </c>
      <c r="Z108" s="123">
        <f t="shared" si="41"/>
        <v>0</v>
      </c>
      <c r="AA108" s="123">
        <f t="shared" si="49"/>
        <v>0</v>
      </c>
      <c r="AB108" s="123">
        <f t="shared" si="42"/>
        <v>2528.6065573770493</v>
      </c>
      <c r="AC108" s="123">
        <f t="shared" si="43"/>
        <v>514.33756805807627</v>
      </c>
      <c r="AD108" s="123">
        <f t="shared" si="44"/>
        <v>78000</v>
      </c>
      <c r="AE108" s="123">
        <f t="shared" si="39"/>
        <v>1.9988996882450027</v>
      </c>
      <c r="AF108" s="123">
        <f t="shared" si="50"/>
        <v>6240</v>
      </c>
      <c r="AG108" s="298">
        <f t="shared" si="40"/>
        <v>0</v>
      </c>
    </row>
    <row r="109" spans="1:33" x14ac:dyDescent="0.35">
      <c r="A109" s="197">
        <v>2178</v>
      </c>
      <c r="B109" s="198">
        <v>3302178</v>
      </c>
      <c r="C109" s="264" t="s">
        <v>155</v>
      </c>
      <c r="D109" s="198" t="s">
        <v>563</v>
      </c>
      <c r="E109" s="198" t="s">
        <v>450</v>
      </c>
      <c r="F109" s="198" t="s">
        <v>27</v>
      </c>
      <c r="G109" s="197" t="s">
        <v>634</v>
      </c>
      <c r="H109" s="197"/>
      <c r="I109" s="265">
        <v>26488.799999999999</v>
      </c>
      <c r="J109" s="265">
        <v>8388.1200000000008</v>
      </c>
      <c r="K109" s="267">
        <v>0</v>
      </c>
      <c r="L109" s="267">
        <v>0</v>
      </c>
      <c r="M109" s="267">
        <v>0</v>
      </c>
      <c r="N109" s="269">
        <v>926.24999999999989</v>
      </c>
      <c r="O109" s="269">
        <v>223.73684210526318</v>
      </c>
      <c r="P109" s="269">
        <v>975</v>
      </c>
      <c r="Q109" s="269">
        <v>0</v>
      </c>
      <c r="R109" s="269">
        <v>0</v>
      </c>
      <c r="S109" s="270">
        <f t="shared" si="45"/>
        <v>37001.906842105258</v>
      </c>
      <c r="T109" s="272" t="e">
        <f>#REF!+#REF!+#REF!+#REF!+#REF!+#REF!+#REF!+#REF!+#REF!</f>
        <v>#REF!</v>
      </c>
      <c r="U109" s="273" t="e">
        <f t="shared" si="38"/>
        <v>#REF!</v>
      </c>
      <c r="V109" s="274"/>
      <c r="W109" s="123">
        <f t="shared" si="46"/>
        <v>4680</v>
      </c>
      <c r="X109" s="123">
        <f t="shared" si="47"/>
        <v>1482</v>
      </c>
      <c r="Y109" s="123">
        <f t="shared" si="48"/>
        <v>0</v>
      </c>
      <c r="Z109" s="123">
        <f t="shared" si="41"/>
        <v>0</v>
      </c>
      <c r="AA109" s="123">
        <f t="shared" si="49"/>
        <v>0</v>
      </c>
      <c r="AB109" s="123">
        <f t="shared" si="42"/>
        <v>1518.4426229508194</v>
      </c>
      <c r="AC109" s="123">
        <f t="shared" si="43"/>
        <v>771.50635208711446</v>
      </c>
      <c r="AD109" s="123">
        <f t="shared" si="44"/>
        <v>12187.5</v>
      </c>
      <c r="AE109" s="123">
        <f t="shared" si="39"/>
        <v>2.9983495323675045</v>
      </c>
      <c r="AF109" s="123">
        <f t="shared" si="50"/>
        <v>975</v>
      </c>
      <c r="AG109" s="298">
        <f t="shared" si="40"/>
        <v>0</v>
      </c>
    </row>
    <row r="110" spans="1:33" ht="26" x14ac:dyDescent="0.35">
      <c r="A110" s="197">
        <v>2180</v>
      </c>
      <c r="B110" s="198">
        <v>3302180</v>
      </c>
      <c r="C110" s="264" t="s">
        <v>308</v>
      </c>
      <c r="D110" s="198" t="s">
        <v>563</v>
      </c>
      <c r="E110" s="198" t="s">
        <v>564</v>
      </c>
      <c r="F110" s="198" t="s">
        <v>49</v>
      </c>
      <c r="G110" s="197" t="s">
        <v>635</v>
      </c>
      <c r="H110" s="197"/>
      <c r="I110" s="265">
        <v>73947.900000000009</v>
      </c>
      <c r="J110" s="265">
        <v>3311.1</v>
      </c>
      <c r="K110" s="267">
        <v>0</v>
      </c>
      <c r="L110" s="267">
        <v>0</v>
      </c>
      <c r="M110" s="267">
        <v>0</v>
      </c>
      <c r="N110" s="269">
        <v>2948.3999999999996</v>
      </c>
      <c r="O110" s="269">
        <v>2088.2105263157896</v>
      </c>
      <c r="P110" s="269">
        <v>5460</v>
      </c>
      <c r="Q110" s="269">
        <v>0</v>
      </c>
      <c r="R110" s="269">
        <v>0</v>
      </c>
      <c r="S110" s="270">
        <f t="shared" si="45"/>
        <v>87755.610526315795</v>
      </c>
      <c r="T110" s="272" t="e">
        <f>#REF!+#REF!+#REF!+#REF!+#REF!+#REF!+#REF!+#REF!+#REF!</f>
        <v>#REF!</v>
      </c>
      <c r="U110" s="273" t="e">
        <f t="shared" si="38"/>
        <v>#REF!</v>
      </c>
      <c r="V110" s="274"/>
      <c r="W110" s="123">
        <f t="shared" si="46"/>
        <v>13065.000000000002</v>
      </c>
      <c r="X110" s="297">
        <f t="shared" si="47"/>
        <v>585</v>
      </c>
      <c r="Y110" s="123">
        <f t="shared" si="48"/>
        <v>0</v>
      </c>
      <c r="Z110" s="123">
        <f t="shared" si="41"/>
        <v>0</v>
      </c>
      <c r="AA110" s="123">
        <f t="shared" si="49"/>
        <v>0</v>
      </c>
      <c r="AB110" s="123">
        <f t="shared" si="42"/>
        <v>4833.442622950819</v>
      </c>
      <c r="AC110" s="123">
        <f t="shared" si="43"/>
        <v>7200.725952813068</v>
      </c>
      <c r="AD110" s="123">
        <f t="shared" si="44"/>
        <v>68250</v>
      </c>
      <c r="AE110" s="123">
        <f t="shared" si="39"/>
        <v>27.98459563543004</v>
      </c>
      <c r="AF110" s="123">
        <f t="shared" si="50"/>
        <v>5460</v>
      </c>
      <c r="AG110" s="298">
        <f t="shared" si="40"/>
        <v>0</v>
      </c>
    </row>
    <row r="111" spans="1:33" ht="13.5" customHeight="1" x14ac:dyDescent="0.35">
      <c r="A111" s="197">
        <v>2181</v>
      </c>
      <c r="B111" s="198">
        <v>3302181</v>
      </c>
      <c r="C111" s="264" t="s">
        <v>309</v>
      </c>
      <c r="D111" s="198" t="s">
        <v>563</v>
      </c>
      <c r="E111" s="198" t="s">
        <v>564</v>
      </c>
      <c r="F111" s="198" t="s">
        <v>49</v>
      </c>
      <c r="G111" s="197" t="s">
        <v>636</v>
      </c>
      <c r="H111" s="197"/>
      <c r="I111" s="265">
        <v>25385.100000000002</v>
      </c>
      <c r="J111" s="265">
        <v>0</v>
      </c>
      <c r="K111" s="267">
        <v>0</v>
      </c>
      <c r="L111" s="267">
        <v>0</v>
      </c>
      <c r="M111" s="267">
        <v>0</v>
      </c>
      <c r="N111" s="269">
        <v>202.79999999999998</v>
      </c>
      <c r="O111" s="269">
        <v>0</v>
      </c>
      <c r="P111" s="269">
        <v>0</v>
      </c>
      <c r="Q111" s="269">
        <v>0</v>
      </c>
      <c r="R111" s="269">
        <v>0</v>
      </c>
      <c r="S111" s="270">
        <f t="shared" si="45"/>
        <v>25587.9</v>
      </c>
      <c r="T111" s="272" t="e">
        <f>#REF!+#REF!+#REF!+#REF!+#REF!+#REF!+#REF!+#REF!+#REF!</f>
        <v>#REF!</v>
      </c>
      <c r="U111" s="273" t="e">
        <f t="shared" si="38"/>
        <v>#REF!</v>
      </c>
      <c r="V111" s="274"/>
      <c r="W111" s="123">
        <f t="shared" si="46"/>
        <v>4485</v>
      </c>
      <c r="X111" s="297">
        <f t="shared" si="47"/>
        <v>0</v>
      </c>
      <c r="Y111" s="123">
        <f t="shared" si="48"/>
        <v>0</v>
      </c>
      <c r="Z111" s="123">
        <f t="shared" si="41"/>
        <v>0</v>
      </c>
      <c r="AA111" s="123">
        <f t="shared" si="49"/>
        <v>0</v>
      </c>
      <c r="AB111" s="123">
        <f t="shared" si="42"/>
        <v>332.4590163934426</v>
      </c>
      <c r="AC111" s="123">
        <f t="shared" si="43"/>
        <v>0</v>
      </c>
      <c r="AD111" s="123">
        <f t="shared" si="44"/>
        <v>0</v>
      </c>
      <c r="AE111" s="123">
        <f t="shared" si="39"/>
        <v>0</v>
      </c>
      <c r="AF111" s="123">
        <f t="shared" si="50"/>
        <v>0</v>
      </c>
      <c r="AG111" s="298">
        <f t="shared" si="40"/>
        <v>0</v>
      </c>
    </row>
    <row r="112" spans="1:33" ht="16.5" customHeight="1" x14ac:dyDescent="0.35">
      <c r="A112" s="197">
        <v>2185</v>
      </c>
      <c r="B112" s="198">
        <v>3302185</v>
      </c>
      <c r="C112" s="264" t="s">
        <v>65</v>
      </c>
      <c r="D112" s="198" t="s">
        <v>563</v>
      </c>
      <c r="E112" s="198" t="s">
        <v>450</v>
      </c>
      <c r="F112" s="198" t="s">
        <v>27</v>
      </c>
      <c r="G112" s="197" t="s">
        <v>637</v>
      </c>
      <c r="H112" s="283"/>
      <c r="I112" s="265">
        <v>34214.700000000004</v>
      </c>
      <c r="J112" s="265">
        <v>12140.7</v>
      </c>
      <c r="K112" s="267">
        <v>0</v>
      </c>
      <c r="L112" s="267">
        <v>0</v>
      </c>
      <c r="M112" s="267">
        <v>0</v>
      </c>
      <c r="N112" s="269">
        <v>72.149999999999991</v>
      </c>
      <c r="O112" s="269">
        <v>74.578947368421055</v>
      </c>
      <c r="P112" s="269">
        <v>1950</v>
      </c>
      <c r="Q112" s="269">
        <v>0</v>
      </c>
      <c r="R112" s="269">
        <v>0</v>
      </c>
      <c r="S112" s="270">
        <f t="shared" si="45"/>
        <v>48452.12894736843</v>
      </c>
      <c r="T112" s="272" t="e">
        <f>#REF!+#REF!+#REF!+#REF!+#REF!+#REF!+#REF!+#REF!+#REF!</f>
        <v>#REF!</v>
      </c>
      <c r="U112" s="273" t="e">
        <f t="shared" si="38"/>
        <v>#REF!</v>
      </c>
      <c r="V112" s="274"/>
      <c r="W112" s="123">
        <f t="shared" si="46"/>
        <v>6045.0000000000009</v>
      </c>
      <c r="X112" s="123">
        <f t="shared" si="47"/>
        <v>2145</v>
      </c>
      <c r="Y112" s="123">
        <f t="shared" si="48"/>
        <v>0</v>
      </c>
      <c r="Z112" s="123">
        <f t="shared" si="41"/>
        <v>0</v>
      </c>
      <c r="AA112" s="123">
        <f t="shared" si="49"/>
        <v>0</v>
      </c>
      <c r="AB112" s="123">
        <f t="shared" si="42"/>
        <v>118.27868852459015</v>
      </c>
      <c r="AC112" s="123">
        <f t="shared" si="43"/>
        <v>257.16878402903814</v>
      </c>
      <c r="AD112" s="123">
        <f t="shared" si="44"/>
        <v>24375</v>
      </c>
      <c r="AE112" s="123">
        <f t="shared" si="39"/>
        <v>0.99944984412250137</v>
      </c>
      <c r="AF112" s="123">
        <f t="shared" si="50"/>
        <v>1950</v>
      </c>
      <c r="AG112" s="298">
        <f t="shared" si="40"/>
        <v>0</v>
      </c>
    </row>
    <row r="113" spans="1:33" x14ac:dyDescent="0.35">
      <c r="A113" s="197">
        <v>2186</v>
      </c>
      <c r="B113" s="198">
        <v>3302186</v>
      </c>
      <c r="C113" s="264" t="s">
        <v>310</v>
      </c>
      <c r="D113" s="198" t="s">
        <v>563</v>
      </c>
      <c r="E113" s="198" t="s">
        <v>564</v>
      </c>
      <c r="F113" s="198" t="s">
        <v>49</v>
      </c>
      <c r="G113" s="197" t="s">
        <v>638</v>
      </c>
      <c r="H113" s="197"/>
      <c r="I113" s="265">
        <v>65118.3</v>
      </c>
      <c r="J113" s="265">
        <v>9933.3000000000011</v>
      </c>
      <c r="K113" s="267">
        <v>0</v>
      </c>
      <c r="L113" s="267">
        <v>0</v>
      </c>
      <c r="M113" s="267">
        <v>0</v>
      </c>
      <c r="N113" s="269">
        <v>1105.6500000000001</v>
      </c>
      <c r="O113" s="269">
        <v>1789.8947368421054</v>
      </c>
      <c r="P113" s="269">
        <v>4875</v>
      </c>
      <c r="Q113" s="269">
        <v>0</v>
      </c>
      <c r="R113" s="269">
        <v>0</v>
      </c>
      <c r="S113" s="270">
        <f t="shared" si="45"/>
        <v>82822.144736842107</v>
      </c>
      <c r="T113" s="272" t="e">
        <f>#REF!+#REF!+#REF!+#REF!+#REF!+#REF!+#REF!+#REF!+#REF!</f>
        <v>#REF!</v>
      </c>
      <c r="U113" s="273" t="e">
        <f t="shared" si="38"/>
        <v>#REF!</v>
      </c>
      <c r="V113" s="274"/>
      <c r="W113" s="123">
        <f t="shared" si="46"/>
        <v>11505</v>
      </c>
      <c r="X113" s="297">
        <f t="shared" si="47"/>
        <v>1755.0000000000002</v>
      </c>
      <c r="Y113" s="123">
        <f t="shared" si="48"/>
        <v>0</v>
      </c>
      <c r="Z113" s="123">
        <f t="shared" si="41"/>
        <v>0</v>
      </c>
      <c r="AA113" s="123">
        <f t="shared" si="49"/>
        <v>0</v>
      </c>
      <c r="AB113" s="123">
        <f t="shared" si="42"/>
        <v>1812.5409836065576</v>
      </c>
      <c r="AC113" s="123">
        <f t="shared" si="43"/>
        <v>6172.0508166969157</v>
      </c>
      <c r="AD113" s="123">
        <f t="shared" si="44"/>
        <v>60937.5</v>
      </c>
      <c r="AE113" s="123">
        <f t="shared" si="39"/>
        <v>23.986796258940036</v>
      </c>
      <c r="AF113" s="123">
        <f t="shared" si="50"/>
        <v>4875</v>
      </c>
      <c r="AG113" s="298">
        <f t="shared" si="40"/>
        <v>0</v>
      </c>
    </row>
    <row r="114" spans="1:33" ht="26" x14ac:dyDescent="0.35">
      <c r="A114" s="197">
        <v>2187</v>
      </c>
      <c r="B114" s="198">
        <v>3302187</v>
      </c>
      <c r="C114" s="264" t="s">
        <v>311</v>
      </c>
      <c r="D114" s="198" t="s">
        <v>563</v>
      </c>
      <c r="E114" s="198" t="s">
        <v>564</v>
      </c>
      <c r="F114" s="198" t="s">
        <v>49</v>
      </c>
      <c r="G114" s="197" t="s">
        <v>639</v>
      </c>
      <c r="H114" s="197"/>
      <c r="I114" s="265">
        <v>47459.1</v>
      </c>
      <c r="J114" s="265">
        <v>6622.2</v>
      </c>
      <c r="K114" s="267">
        <v>0</v>
      </c>
      <c r="L114" s="267">
        <v>0</v>
      </c>
      <c r="M114" s="267">
        <v>320.89</v>
      </c>
      <c r="N114" s="269">
        <v>1234.3499999999999</v>
      </c>
      <c r="O114" s="269">
        <v>74.578947368421055</v>
      </c>
      <c r="P114" s="269">
        <v>2145</v>
      </c>
      <c r="Q114" s="269">
        <v>0</v>
      </c>
      <c r="R114" s="269">
        <v>0</v>
      </c>
      <c r="S114" s="270">
        <f t="shared" si="45"/>
        <v>57856.118947368414</v>
      </c>
      <c r="T114" s="272" t="e">
        <f>#REF!+#REF!+#REF!+#REF!+#REF!+#REF!+#REF!+#REF!+#REF!</f>
        <v>#REF!</v>
      </c>
      <c r="U114" s="273" t="e">
        <f t="shared" si="38"/>
        <v>#REF!</v>
      </c>
      <c r="V114" s="274"/>
      <c r="W114" s="123">
        <f t="shared" si="46"/>
        <v>8385</v>
      </c>
      <c r="X114" s="297">
        <f t="shared" si="47"/>
        <v>1170</v>
      </c>
      <c r="Y114" s="123">
        <f t="shared" si="48"/>
        <v>0</v>
      </c>
      <c r="Z114" s="123">
        <f t="shared" si="41"/>
        <v>0</v>
      </c>
      <c r="AA114" s="123">
        <f t="shared" si="49"/>
        <v>0</v>
      </c>
      <c r="AB114" s="123">
        <f t="shared" si="42"/>
        <v>2023.5245901639344</v>
      </c>
      <c r="AC114" s="123">
        <f t="shared" si="43"/>
        <v>257.16878402903814</v>
      </c>
      <c r="AD114" s="123">
        <f t="shared" si="44"/>
        <v>26812.5</v>
      </c>
      <c r="AE114" s="123">
        <f t="shared" si="39"/>
        <v>0.99944984412250137</v>
      </c>
      <c r="AF114" s="123">
        <f t="shared" si="50"/>
        <v>2145</v>
      </c>
      <c r="AG114" s="298">
        <f t="shared" si="40"/>
        <v>0.99998523864195499</v>
      </c>
    </row>
    <row r="115" spans="1:33" x14ac:dyDescent="0.35">
      <c r="A115" s="197">
        <v>2188</v>
      </c>
      <c r="B115" s="198">
        <v>3302188</v>
      </c>
      <c r="C115" s="264" t="s">
        <v>312</v>
      </c>
      <c r="D115" s="198" t="s">
        <v>563</v>
      </c>
      <c r="E115" s="198" t="s">
        <v>564</v>
      </c>
      <c r="F115" s="198" t="s">
        <v>49</v>
      </c>
      <c r="G115" s="197" t="s">
        <v>640</v>
      </c>
      <c r="H115" s="197"/>
      <c r="I115" s="265">
        <v>23177.7</v>
      </c>
      <c r="J115" s="265">
        <v>0</v>
      </c>
      <c r="K115" s="267">
        <v>0</v>
      </c>
      <c r="L115" s="267">
        <v>0</v>
      </c>
      <c r="M115" s="267">
        <v>0</v>
      </c>
      <c r="N115" s="269">
        <v>150.15</v>
      </c>
      <c r="O115" s="269">
        <v>522.0526315789474</v>
      </c>
      <c r="P115" s="269">
        <v>1365</v>
      </c>
      <c r="Q115" s="269">
        <v>0</v>
      </c>
      <c r="R115" s="269">
        <v>0</v>
      </c>
      <c r="S115" s="270">
        <f t="shared" si="45"/>
        <v>25214.902631578949</v>
      </c>
      <c r="T115" s="272" t="e">
        <f>#REF!+#REF!+#REF!+#REF!+#REF!+#REF!+#REF!+#REF!+#REF!</f>
        <v>#REF!</v>
      </c>
      <c r="U115" s="273" t="e">
        <f t="shared" si="38"/>
        <v>#REF!</v>
      </c>
      <c r="V115" s="274"/>
      <c r="W115" s="123">
        <f t="shared" si="46"/>
        <v>4095</v>
      </c>
      <c r="X115" s="297">
        <f t="shared" si="47"/>
        <v>0</v>
      </c>
      <c r="Y115" s="123">
        <f t="shared" si="48"/>
        <v>0</v>
      </c>
      <c r="Z115" s="123">
        <f t="shared" si="41"/>
        <v>0</v>
      </c>
      <c r="AA115" s="123">
        <f t="shared" si="49"/>
        <v>0</v>
      </c>
      <c r="AB115" s="123">
        <f t="shared" si="42"/>
        <v>246.14754098360658</v>
      </c>
      <c r="AC115" s="123">
        <f t="shared" si="43"/>
        <v>1800.181488203267</v>
      </c>
      <c r="AD115" s="123">
        <f t="shared" si="44"/>
        <v>17062.5</v>
      </c>
      <c r="AE115" s="123">
        <f t="shared" si="39"/>
        <v>6.99614890885751</v>
      </c>
      <c r="AF115" s="123">
        <f t="shared" si="50"/>
        <v>1365</v>
      </c>
      <c r="AG115" s="298">
        <f t="shared" si="40"/>
        <v>0</v>
      </c>
    </row>
    <row r="116" spans="1:33" ht="35.15" customHeight="1" x14ac:dyDescent="0.35">
      <c r="A116" s="197">
        <v>2189</v>
      </c>
      <c r="B116" s="198">
        <v>3302189</v>
      </c>
      <c r="C116" s="264" t="s">
        <v>183</v>
      </c>
      <c r="D116" s="198" t="s">
        <v>563</v>
      </c>
      <c r="E116" s="198" t="s">
        <v>450</v>
      </c>
      <c r="F116" s="198" t="s">
        <v>27</v>
      </c>
      <c r="G116" s="197" t="s">
        <v>641</v>
      </c>
      <c r="H116" s="283"/>
      <c r="I116" s="265">
        <v>29799.9</v>
      </c>
      <c r="J116" s="265">
        <v>0</v>
      </c>
      <c r="K116" s="267">
        <v>0</v>
      </c>
      <c r="L116" s="267">
        <v>0</v>
      </c>
      <c r="M116" s="267">
        <v>0</v>
      </c>
      <c r="N116" s="269">
        <v>2012.3999999999999</v>
      </c>
      <c r="O116" s="269">
        <v>969.52631578947376</v>
      </c>
      <c r="P116" s="269">
        <v>2535</v>
      </c>
      <c r="Q116" s="269">
        <v>0</v>
      </c>
      <c r="R116" s="269">
        <v>0</v>
      </c>
      <c r="S116" s="270">
        <f t="shared" si="45"/>
        <v>35316.826315789476</v>
      </c>
      <c r="T116" s="272" t="e">
        <f>#REF!+#REF!+#REF!+#REF!+#REF!+#REF!+#REF!+#REF!+#REF!</f>
        <v>#REF!</v>
      </c>
      <c r="U116" s="273" t="e">
        <f t="shared" si="38"/>
        <v>#REF!</v>
      </c>
      <c r="V116" s="274"/>
      <c r="W116" s="123">
        <f t="shared" si="46"/>
        <v>5265</v>
      </c>
      <c r="X116" s="123">
        <f t="shared" si="47"/>
        <v>0</v>
      </c>
      <c r="Y116" s="123">
        <f t="shared" si="48"/>
        <v>0</v>
      </c>
      <c r="Z116" s="123">
        <f t="shared" si="41"/>
        <v>0</v>
      </c>
      <c r="AA116" s="123">
        <f t="shared" si="49"/>
        <v>0</v>
      </c>
      <c r="AB116" s="123">
        <f t="shared" si="42"/>
        <v>3299.0163934426228</v>
      </c>
      <c r="AC116" s="123">
        <f t="shared" si="43"/>
        <v>3343.1941923774962</v>
      </c>
      <c r="AD116" s="123">
        <f t="shared" si="44"/>
        <v>31687.5</v>
      </c>
      <c r="AE116" s="123">
        <f t="shared" si="39"/>
        <v>12.992847973592518</v>
      </c>
      <c r="AF116" s="123">
        <f t="shared" si="50"/>
        <v>2535</v>
      </c>
      <c r="AG116" s="298">
        <f t="shared" si="40"/>
        <v>0</v>
      </c>
    </row>
    <row r="117" spans="1:33" x14ac:dyDescent="0.35">
      <c r="A117" s="197">
        <v>2191</v>
      </c>
      <c r="B117" s="198">
        <v>3302191</v>
      </c>
      <c r="C117" s="264" t="s">
        <v>313</v>
      </c>
      <c r="D117" s="198" t="s">
        <v>563</v>
      </c>
      <c r="E117" s="198" t="s">
        <v>564</v>
      </c>
      <c r="F117" s="198" t="s">
        <v>49</v>
      </c>
      <c r="G117" s="197" t="s">
        <v>642</v>
      </c>
      <c r="H117" s="197"/>
      <c r="I117" s="265">
        <v>27592.5</v>
      </c>
      <c r="J117" s="265">
        <v>4414.8</v>
      </c>
      <c r="K117" s="267">
        <v>0</v>
      </c>
      <c r="L117" s="267">
        <v>0</v>
      </c>
      <c r="M117" s="267">
        <v>0</v>
      </c>
      <c r="N117" s="269">
        <v>1288.95</v>
      </c>
      <c r="O117" s="269">
        <v>298.31578947368422</v>
      </c>
      <c r="P117" s="269">
        <v>2145</v>
      </c>
      <c r="Q117" s="269">
        <v>0</v>
      </c>
      <c r="R117" s="269">
        <v>0</v>
      </c>
      <c r="S117" s="270">
        <f t="shared" si="45"/>
        <v>35739.565789473687</v>
      </c>
      <c r="T117" s="272" t="e">
        <f>#REF!+#REF!+#REF!+#REF!+#REF!+#REF!+#REF!+#REF!+#REF!</f>
        <v>#REF!</v>
      </c>
      <c r="U117" s="273" t="e">
        <f t="shared" si="38"/>
        <v>#REF!</v>
      </c>
      <c r="V117" s="274"/>
      <c r="W117" s="123">
        <f t="shared" si="46"/>
        <v>4875</v>
      </c>
      <c r="X117" s="297">
        <f t="shared" si="47"/>
        <v>780</v>
      </c>
      <c r="Y117" s="123">
        <f t="shared" si="48"/>
        <v>0</v>
      </c>
      <c r="Z117" s="123">
        <f t="shared" si="41"/>
        <v>0</v>
      </c>
      <c r="AA117" s="123">
        <f t="shared" si="49"/>
        <v>0</v>
      </c>
      <c r="AB117" s="123">
        <f t="shared" si="42"/>
        <v>2113.032786885246</v>
      </c>
      <c r="AC117" s="123">
        <f t="shared" si="43"/>
        <v>1028.6751361161525</v>
      </c>
      <c r="AD117" s="123">
        <f t="shared" si="44"/>
        <v>26812.5</v>
      </c>
      <c r="AE117" s="123">
        <f t="shared" si="39"/>
        <v>3.9977993764900055</v>
      </c>
      <c r="AF117" s="123">
        <f t="shared" si="50"/>
        <v>2145</v>
      </c>
      <c r="AG117" s="298">
        <f t="shared" si="40"/>
        <v>0</v>
      </c>
    </row>
    <row r="118" spans="1:33" x14ac:dyDescent="0.35">
      <c r="A118" s="197">
        <v>2194</v>
      </c>
      <c r="B118" s="198">
        <v>3302194</v>
      </c>
      <c r="C118" s="264" t="s">
        <v>314</v>
      </c>
      <c r="D118" s="198" t="s">
        <v>563</v>
      </c>
      <c r="E118" s="198" t="s">
        <v>564</v>
      </c>
      <c r="F118" s="198" t="s">
        <v>49</v>
      </c>
      <c r="G118" s="197" t="s">
        <v>643</v>
      </c>
      <c r="H118" s="197"/>
      <c r="I118" s="265">
        <v>62910.9</v>
      </c>
      <c r="J118" s="265">
        <v>2207.4</v>
      </c>
      <c r="K118" s="267">
        <v>0</v>
      </c>
      <c r="L118" s="267">
        <v>0</v>
      </c>
      <c r="M118" s="267">
        <v>0</v>
      </c>
      <c r="N118" s="269">
        <v>518.70000000000005</v>
      </c>
      <c r="O118" s="269">
        <v>969.52631578947376</v>
      </c>
      <c r="P118" s="269">
        <v>2535</v>
      </c>
      <c r="Q118" s="269">
        <v>0</v>
      </c>
      <c r="R118" s="269">
        <v>0</v>
      </c>
      <c r="S118" s="270">
        <f t="shared" si="45"/>
        <v>69141.526315789481</v>
      </c>
      <c r="T118" s="272" t="e">
        <f>#REF!+#REF!+#REF!+#REF!+#REF!+#REF!+#REF!+#REF!+#REF!</f>
        <v>#REF!</v>
      </c>
      <c r="U118" s="273" t="e">
        <f t="shared" si="38"/>
        <v>#REF!</v>
      </c>
      <c r="V118" s="274"/>
      <c r="W118" s="123">
        <f t="shared" si="46"/>
        <v>11115</v>
      </c>
      <c r="X118" s="297">
        <f t="shared" si="47"/>
        <v>390</v>
      </c>
      <c r="Y118" s="123">
        <f t="shared" si="48"/>
        <v>0</v>
      </c>
      <c r="Z118" s="123">
        <f t="shared" si="41"/>
        <v>0</v>
      </c>
      <c r="AA118" s="123">
        <f t="shared" si="49"/>
        <v>0</v>
      </c>
      <c r="AB118" s="123">
        <f t="shared" si="42"/>
        <v>850.32786885245912</v>
      </c>
      <c r="AC118" s="123">
        <f t="shared" si="43"/>
        <v>3343.1941923774962</v>
      </c>
      <c r="AD118" s="123">
        <f t="shared" si="44"/>
        <v>31687.5</v>
      </c>
      <c r="AE118" s="123">
        <f t="shared" si="39"/>
        <v>12.992847973592518</v>
      </c>
      <c r="AF118" s="123">
        <f t="shared" si="50"/>
        <v>2535</v>
      </c>
      <c r="AG118" s="298">
        <f t="shared" si="40"/>
        <v>0</v>
      </c>
    </row>
    <row r="119" spans="1:33" x14ac:dyDescent="0.35">
      <c r="A119" s="197">
        <v>2195</v>
      </c>
      <c r="B119" s="198">
        <v>3302195</v>
      </c>
      <c r="C119" s="264" t="s">
        <v>315</v>
      </c>
      <c r="D119" s="198" t="s">
        <v>563</v>
      </c>
      <c r="E119" s="198" t="s">
        <v>564</v>
      </c>
      <c r="F119" s="198" t="s">
        <v>49</v>
      </c>
      <c r="G119" s="197" t="s">
        <v>644</v>
      </c>
      <c r="H119" s="197"/>
      <c r="I119" s="265">
        <v>67987.92</v>
      </c>
      <c r="J119" s="265">
        <v>0</v>
      </c>
      <c r="K119" s="267">
        <v>21572.85</v>
      </c>
      <c r="L119" s="267">
        <v>0</v>
      </c>
      <c r="M119" s="267">
        <v>0</v>
      </c>
      <c r="N119" s="269">
        <v>4488.8999999999996</v>
      </c>
      <c r="O119" s="269">
        <v>1715.3157894736842</v>
      </c>
      <c r="P119" s="269">
        <v>5655</v>
      </c>
      <c r="Q119" s="269">
        <v>0</v>
      </c>
      <c r="R119" s="269">
        <v>0</v>
      </c>
      <c r="S119" s="270">
        <f t="shared" si="45"/>
        <v>101419.98578947366</v>
      </c>
      <c r="T119" s="272" t="e">
        <f>#REF!+#REF!+#REF!+#REF!+#REF!+#REF!+#REF!+#REF!+#REF!</f>
        <v>#REF!</v>
      </c>
      <c r="U119" s="273" t="e">
        <f t="shared" si="38"/>
        <v>#REF!</v>
      </c>
      <c r="V119" s="274"/>
      <c r="W119" s="123">
        <f t="shared" si="46"/>
        <v>12012</v>
      </c>
      <c r="X119" s="297">
        <f t="shared" si="47"/>
        <v>0</v>
      </c>
      <c r="Y119" s="123">
        <f t="shared" si="48"/>
        <v>2535</v>
      </c>
      <c r="Z119" s="123">
        <f t="shared" si="41"/>
        <v>0</v>
      </c>
      <c r="AA119" s="123">
        <f t="shared" si="49"/>
        <v>0</v>
      </c>
      <c r="AB119" s="123">
        <f t="shared" si="42"/>
        <v>7358.8524590163934</v>
      </c>
      <c r="AC119" s="123">
        <f t="shared" si="43"/>
        <v>5914.882032667877</v>
      </c>
      <c r="AD119" s="123">
        <f t="shared" si="44"/>
        <v>70687.5</v>
      </c>
      <c r="AE119" s="123">
        <f t="shared" si="39"/>
        <v>22.98734641481753</v>
      </c>
      <c r="AF119" s="123">
        <f t="shared" si="50"/>
        <v>5655</v>
      </c>
      <c r="AG119" s="298">
        <f t="shared" si="40"/>
        <v>0</v>
      </c>
    </row>
    <row r="120" spans="1:33" x14ac:dyDescent="0.35">
      <c r="A120" s="197">
        <v>2196</v>
      </c>
      <c r="B120" s="198">
        <v>3302196</v>
      </c>
      <c r="C120" s="264" t="s">
        <v>316</v>
      </c>
      <c r="D120" s="198" t="s">
        <v>563</v>
      </c>
      <c r="E120" s="198" t="s">
        <v>564</v>
      </c>
      <c r="F120" s="198" t="s">
        <v>49</v>
      </c>
      <c r="G120" s="197" t="s">
        <v>645</v>
      </c>
      <c r="H120" s="197"/>
      <c r="I120" s="265">
        <v>25385.100000000002</v>
      </c>
      <c r="J120" s="265">
        <v>0</v>
      </c>
      <c r="K120" s="267">
        <v>0</v>
      </c>
      <c r="L120" s="267">
        <v>0</v>
      </c>
      <c r="M120" s="267">
        <v>0</v>
      </c>
      <c r="N120" s="269">
        <v>1573.65</v>
      </c>
      <c r="O120" s="269">
        <v>596.63157894736844</v>
      </c>
      <c r="P120" s="269">
        <v>1560</v>
      </c>
      <c r="Q120" s="269">
        <v>0</v>
      </c>
      <c r="R120" s="269">
        <v>0</v>
      </c>
      <c r="S120" s="270">
        <f t="shared" si="45"/>
        <v>29115.381578947374</v>
      </c>
      <c r="T120" s="272" t="e">
        <f>#REF!+#REF!+#REF!+#REF!+#REF!+#REF!+#REF!+#REF!+#REF!</f>
        <v>#REF!</v>
      </c>
      <c r="U120" s="273" t="e">
        <f t="shared" si="38"/>
        <v>#REF!</v>
      </c>
      <c r="V120" s="274"/>
      <c r="W120" s="123">
        <f t="shared" si="46"/>
        <v>4485</v>
      </c>
      <c r="X120" s="297">
        <f t="shared" si="47"/>
        <v>0</v>
      </c>
      <c r="Y120" s="123">
        <f t="shared" si="48"/>
        <v>0</v>
      </c>
      <c r="Z120" s="123">
        <f t="shared" si="41"/>
        <v>0</v>
      </c>
      <c r="AA120" s="123">
        <f t="shared" si="49"/>
        <v>0</v>
      </c>
      <c r="AB120" s="123">
        <f t="shared" si="42"/>
        <v>2579.7540983606559</v>
      </c>
      <c r="AC120" s="123">
        <f t="shared" si="43"/>
        <v>2057.3502722323051</v>
      </c>
      <c r="AD120" s="123">
        <f t="shared" si="44"/>
        <v>19500</v>
      </c>
      <c r="AE120" s="123">
        <f t="shared" si="39"/>
        <v>7.995598752980011</v>
      </c>
      <c r="AF120" s="123">
        <f t="shared" si="50"/>
        <v>1560</v>
      </c>
      <c r="AG120" s="298">
        <f t="shared" si="40"/>
        <v>0</v>
      </c>
    </row>
    <row r="121" spans="1:33" x14ac:dyDescent="0.35">
      <c r="A121" s="197">
        <v>2204</v>
      </c>
      <c r="B121" s="198">
        <v>3302204</v>
      </c>
      <c r="C121" s="264" t="s">
        <v>317</v>
      </c>
      <c r="D121" s="198" t="s">
        <v>563</v>
      </c>
      <c r="E121" s="198" t="s">
        <v>564</v>
      </c>
      <c r="F121" s="198" t="s">
        <v>49</v>
      </c>
      <c r="G121" s="197" t="s">
        <v>646</v>
      </c>
      <c r="H121" s="197"/>
      <c r="I121" s="265">
        <v>18762.900000000001</v>
      </c>
      <c r="J121" s="265">
        <v>2207.4</v>
      </c>
      <c r="K121" s="267">
        <v>0</v>
      </c>
      <c r="L121" s="267">
        <v>0</v>
      </c>
      <c r="M121" s="267">
        <v>0</v>
      </c>
      <c r="N121" s="269">
        <v>842.4</v>
      </c>
      <c r="O121" s="269">
        <v>522.0526315789474</v>
      </c>
      <c r="P121" s="269">
        <v>1560</v>
      </c>
      <c r="Q121" s="269">
        <v>0</v>
      </c>
      <c r="R121" s="269">
        <v>0</v>
      </c>
      <c r="S121" s="270">
        <f t="shared" si="45"/>
        <v>23894.752631578951</v>
      </c>
      <c r="T121" s="272" t="e">
        <f>#REF!+#REF!+#REF!+#REF!+#REF!+#REF!+#REF!+#REF!+#REF!</f>
        <v>#REF!</v>
      </c>
      <c r="U121" s="273" t="e">
        <f t="shared" si="38"/>
        <v>#REF!</v>
      </c>
      <c r="V121" s="274"/>
      <c r="W121" s="123">
        <f t="shared" si="46"/>
        <v>3315</v>
      </c>
      <c r="X121" s="297">
        <f t="shared" si="47"/>
        <v>390</v>
      </c>
      <c r="Y121" s="123">
        <f t="shared" si="48"/>
        <v>0</v>
      </c>
      <c r="Z121" s="123">
        <f t="shared" si="41"/>
        <v>0</v>
      </c>
      <c r="AA121" s="123">
        <f t="shared" si="49"/>
        <v>0</v>
      </c>
      <c r="AB121" s="123">
        <f t="shared" si="42"/>
        <v>1380.983606557377</v>
      </c>
      <c r="AC121" s="123">
        <f t="shared" si="43"/>
        <v>1800.181488203267</v>
      </c>
      <c r="AD121" s="123">
        <f t="shared" si="44"/>
        <v>19500</v>
      </c>
      <c r="AE121" s="123">
        <f t="shared" si="39"/>
        <v>6.99614890885751</v>
      </c>
      <c r="AF121" s="123">
        <f t="shared" si="50"/>
        <v>1560</v>
      </c>
      <c r="AG121" s="298">
        <f t="shared" si="40"/>
        <v>0</v>
      </c>
    </row>
    <row r="122" spans="1:33" x14ac:dyDescent="0.35">
      <c r="A122" s="197">
        <v>2211</v>
      </c>
      <c r="B122" s="198">
        <v>3302211</v>
      </c>
      <c r="C122" s="264" t="s">
        <v>318</v>
      </c>
      <c r="D122" s="198" t="s">
        <v>563</v>
      </c>
      <c r="E122" s="198" t="s">
        <v>564</v>
      </c>
      <c r="F122" s="198" t="s">
        <v>49</v>
      </c>
      <c r="G122" s="197" t="s">
        <v>647</v>
      </c>
      <c r="H122" s="197"/>
      <c r="I122" s="265">
        <v>67325.7</v>
      </c>
      <c r="J122" s="265">
        <v>13244.4</v>
      </c>
      <c r="K122" s="267">
        <v>0</v>
      </c>
      <c r="L122" s="267">
        <v>0</v>
      </c>
      <c r="M122" s="267">
        <v>0</v>
      </c>
      <c r="N122" s="269">
        <v>2482.35</v>
      </c>
      <c r="O122" s="269">
        <v>1939.0526315789475</v>
      </c>
      <c r="P122" s="269">
        <v>5070</v>
      </c>
      <c r="Q122" s="269">
        <v>0</v>
      </c>
      <c r="R122" s="269">
        <v>0</v>
      </c>
      <c r="S122" s="270">
        <f t="shared" si="45"/>
        <v>90061.502631578944</v>
      </c>
      <c r="T122" s="272" t="e">
        <f>#REF!+#REF!+#REF!+#REF!+#REF!+#REF!+#REF!+#REF!+#REF!</f>
        <v>#REF!</v>
      </c>
      <c r="U122" s="273" t="e">
        <f t="shared" si="38"/>
        <v>#REF!</v>
      </c>
      <c r="V122" s="274"/>
      <c r="W122" s="123">
        <f t="shared" si="46"/>
        <v>11895</v>
      </c>
      <c r="X122" s="297">
        <f t="shared" si="47"/>
        <v>2340</v>
      </c>
      <c r="Y122" s="123">
        <f t="shared" si="48"/>
        <v>0</v>
      </c>
      <c r="Z122" s="123">
        <f t="shared" si="41"/>
        <v>0</v>
      </c>
      <c r="AA122" s="123">
        <f t="shared" si="49"/>
        <v>0</v>
      </c>
      <c r="AB122" s="123">
        <f t="shared" si="42"/>
        <v>4069.4262295081967</v>
      </c>
      <c r="AC122" s="123">
        <f t="shared" si="43"/>
        <v>6686.3883847549923</v>
      </c>
      <c r="AD122" s="123">
        <f t="shared" si="44"/>
        <v>63375</v>
      </c>
      <c r="AE122" s="123">
        <f t="shared" si="39"/>
        <v>25.985695947185036</v>
      </c>
      <c r="AF122" s="123">
        <f t="shared" si="50"/>
        <v>5070</v>
      </c>
      <c r="AG122" s="298">
        <f t="shared" si="40"/>
        <v>0</v>
      </c>
    </row>
    <row r="123" spans="1:33" x14ac:dyDescent="0.35">
      <c r="A123" s="197">
        <v>2212</v>
      </c>
      <c r="B123" s="198">
        <v>3302212</v>
      </c>
      <c r="C123" s="264" t="s">
        <v>648</v>
      </c>
      <c r="D123" s="198" t="s">
        <v>49</v>
      </c>
      <c r="E123" s="198" t="s">
        <v>564</v>
      </c>
      <c r="F123" s="198" t="s">
        <v>49</v>
      </c>
      <c r="G123" s="197"/>
      <c r="H123" s="197"/>
      <c r="I123" s="265">
        <v>15451.800000000001</v>
      </c>
      <c r="J123" s="265">
        <v>0</v>
      </c>
      <c r="K123" s="267">
        <v>0</v>
      </c>
      <c r="L123" s="267">
        <v>0</v>
      </c>
      <c r="M123" s="267">
        <v>0</v>
      </c>
      <c r="N123" s="269">
        <v>1166.0999999999999</v>
      </c>
      <c r="O123" s="269">
        <v>0</v>
      </c>
      <c r="P123" s="269">
        <v>0</v>
      </c>
      <c r="Q123" s="269">
        <v>0</v>
      </c>
      <c r="R123" s="269">
        <v>0</v>
      </c>
      <c r="S123" s="270">
        <f t="shared" si="45"/>
        <v>16617.900000000001</v>
      </c>
      <c r="T123" s="272" t="e">
        <f>#REF!+#REF!+#REF!+#REF!+#REF!+#REF!+#REF!+#REF!+#REF!</f>
        <v>#REF!</v>
      </c>
      <c r="U123" s="273" t="e">
        <f t="shared" si="38"/>
        <v>#REF!</v>
      </c>
      <c r="V123" s="274"/>
      <c r="W123" s="123">
        <f t="shared" si="46"/>
        <v>2730</v>
      </c>
      <c r="X123" s="297">
        <f t="shared" si="47"/>
        <v>0</v>
      </c>
      <c r="Y123" s="123">
        <f t="shared" si="48"/>
        <v>0</v>
      </c>
      <c r="Z123" s="123">
        <f t="shared" si="41"/>
        <v>0</v>
      </c>
      <c r="AA123" s="123">
        <f t="shared" si="49"/>
        <v>0</v>
      </c>
      <c r="AB123" s="123">
        <f t="shared" si="42"/>
        <v>1911.639344262295</v>
      </c>
      <c r="AC123" s="123">
        <f t="shared" si="43"/>
        <v>0</v>
      </c>
      <c r="AD123" s="123">
        <f t="shared" si="44"/>
        <v>0</v>
      </c>
      <c r="AE123" s="123">
        <f t="shared" si="39"/>
        <v>0</v>
      </c>
      <c r="AF123" s="123">
        <f t="shared" si="50"/>
        <v>0</v>
      </c>
      <c r="AG123" s="298">
        <f t="shared" si="40"/>
        <v>0</v>
      </c>
    </row>
    <row r="124" spans="1:33" x14ac:dyDescent="0.35">
      <c r="A124" s="197">
        <v>2221</v>
      </c>
      <c r="B124" s="198">
        <v>3302221</v>
      </c>
      <c r="C124" s="264" t="s">
        <v>649</v>
      </c>
      <c r="D124" s="198" t="s">
        <v>49</v>
      </c>
      <c r="E124" s="198" t="s">
        <v>564</v>
      </c>
      <c r="F124" s="198" t="s">
        <v>49</v>
      </c>
      <c r="G124" s="197"/>
      <c r="H124" s="197"/>
      <c r="I124" s="265">
        <v>47459.1</v>
      </c>
      <c r="J124" s="265">
        <v>0</v>
      </c>
      <c r="K124" s="267"/>
      <c r="L124" s="267">
        <v>0</v>
      </c>
      <c r="M124" s="267">
        <v>0</v>
      </c>
      <c r="N124" s="269">
        <v>633.74999999999989</v>
      </c>
      <c r="O124" s="269">
        <v>0</v>
      </c>
      <c r="P124" s="269">
        <v>0</v>
      </c>
      <c r="Q124" s="269">
        <v>0</v>
      </c>
      <c r="R124" s="269">
        <v>0</v>
      </c>
      <c r="S124" s="270">
        <f t="shared" si="45"/>
        <v>48092.85</v>
      </c>
      <c r="T124" s="272" t="e">
        <f>#REF!+#REF!+#REF!+#REF!+#REF!+#REF!+#REF!+#REF!+#REF!</f>
        <v>#REF!</v>
      </c>
      <c r="U124" s="273" t="e">
        <f t="shared" si="38"/>
        <v>#REF!</v>
      </c>
      <c r="V124" s="274"/>
      <c r="W124" s="123">
        <f t="shared" si="46"/>
        <v>8385</v>
      </c>
      <c r="X124" s="297">
        <f t="shared" si="47"/>
        <v>0</v>
      </c>
      <c r="Y124" s="123">
        <f t="shared" si="48"/>
        <v>0</v>
      </c>
      <c r="Z124" s="123">
        <f t="shared" si="41"/>
        <v>0</v>
      </c>
      <c r="AA124" s="123">
        <f t="shared" si="49"/>
        <v>0</v>
      </c>
      <c r="AB124" s="123">
        <f t="shared" si="42"/>
        <v>1038.9344262295081</v>
      </c>
      <c r="AC124" s="123">
        <f t="shared" si="43"/>
        <v>0</v>
      </c>
      <c r="AD124" s="123">
        <f t="shared" si="44"/>
        <v>0</v>
      </c>
      <c r="AE124" s="123">
        <f t="shared" si="39"/>
        <v>0</v>
      </c>
      <c r="AF124" s="123">
        <f t="shared" si="50"/>
        <v>0</v>
      </c>
      <c r="AG124" s="298">
        <f t="shared" si="40"/>
        <v>0</v>
      </c>
    </row>
    <row r="125" spans="1:33" ht="26.5" customHeight="1" x14ac:dyDescent="0.35">
      <c r="A125" s="197">
        <v>2227</v>
      </c>
      <c r="B125" s="198">
        <v>3302227</v>
      </c>
      <c r="C125" s="264" t="s">
        <v>319</v>
      </c>
      <c r="D125" s="198" t="s">
        <v>563</v>
      </c>
      <c r="E125" s="198" t="s">
        <v>450</v>
      </c>
      <c r="F125" s="198" t="s">
        <v>27</v>
      </c>
      <c r="G125" s="197" t="s">
        <v>650</v>
      </c>
      <c r="H125" s="283"/>
      <c r="I125" s="265">
        <v>51873.9</v>
      </c>
      <c r="J125" s="265">
        <v>6622.2</v>
      </c>
      <c r="K125" s="267">
        <v>0</v>
      </c>
      <c r="L125" s="267">
        <v>0</v>
      </c>
      <c r="M125" s="267">
        <v>320.89</v>
      </c>
      <c r="N125" s="269">
        <v>2207.3999999999996</v>
      </c>
      <c r="O125" s="269">
        <v>2013.6315789473686</v>
      </c>
      <c r="P125" s="269">
        <v>5265</v>
      </c>
      <c r="Q125" s="269">
        <v>0</v>
      </c>
      <c r="R125" s="269">
        <v>0</v>
      </c>
      <c r="S125" s="270">
        <f t="shared" si="45"/>
        <v>68303.021578947373</v>
      </c>
      <c r="T125" s="272" t="e">
        <f>#REF!+#REF!+#REF!+#REF!+#REF!+#REF!+#REF!+#REF!+#REF!</f>
        <v>#REF!</v>
      </c>
      <c r="U125" s="273" t="e">
        <f t="shared" si="38"/>
        <v>#REF!</v>
      </c>
      <c r="V125" s="274"/>
      <c r="W125" s="123">
        <f t="shared" si="46"/>
        <v>9165</v>
      </c>
      <c r="X125" s="123">
        <f t="shared" si="47"/>
        <v>1170</v>
      </c>
      <c r="Y125" s="123">
        <f t="shared" si="48"/>
        <v>0</v>
      </c>
      <c r="Z125" s="123">
        <f t="shared" si="41"/>
        <v>0</v>
      </c>
      <c r="AA125" s="123">
        <f t="shared" si="49"/>
        <v>0</v>
      </c>
      <c r="AB125" s="123">
        <f t="shared" si="42"/>
        <v>3618.6885245901635</v>
      </c>
      <c r="AC125" s="123">
        <f t="shared" si="43"/>
        <v>6943.5571687840302</v>
      </c>
      <c r="AD125" s="123">
        <f t="shared" si="44"/>
        <v>65812.5</v>
      </c>
      <c r="AE125" s="123">
        <f t="shared" si="39"/>
        <v>26.985145791307534</v>
      </c>
      <c r="AF125" s="123">
        <f t="shared" si="50"/>
        <v>5265</v>
      </c>
      <c r="AG125" s="298">
        <f t="shared" si="40"/>
        <v>0.99998523864195499</v>
      </c>
    </row>
    <row r="126" spans="1:33" x14ac:dyDescent="0.35">
      <c r="A126" s="197">
        <v>2231</v>
      </c>
      <c r="B126" s="198">
        <v>3302231</v>
      </c>
      <c r="C126" s="264" t="s">
        <v>320</v>
      </c>
      <c r="D126" s="198" t="s">
        <v>563</v>
      </c>
      <c r="E126" s="198" t="s">
        <v>450</v>
      </c>
      <c r="F126" s="198" t="s">
        <v>27</v>
      </c>
      <c r="G126" s="197" t="s">
        <v>651</v>
      </c>
      <c r="H126" s="197"/>
      <c r="I126" s="265">
        <v>32007.3</v>
      </c>
      <c r="J126" s="265">
        <v>6622.2</v>
      </c>
      <c r="K126" s="267">
        <v>0</v>
      </c>
      <c r="L126" s="267">
        <v>0</v>
      </c>
      <c r="M126" s="267">
        <v>0</v>
      </c>
      <c r="N126" s="269">
        <v>274.95</v>
      </c>
      <c r="O126" s="269">
        <v>0</v>
      </c>
      <c r="P126" s="269">
        <v>0</v>
      </c>
      <c r="Q126" s="269">
        <v>0</v>
      </c>
      <c r="R126" s="269">
        <v>0</v>
      </c>
      <c r="S126" s="270">
        <f t="shared" si="45"/>
        <v>38904.449999999997</v>
      </c>
      <c r="T126" s="272" t="e">
        <f>#REF!+#REF!+#REF!+#REF!+#REF!+#REF!+#REF!+#REF!+#REF!</f>
        <v>#REF!</v>
      </c>
      <c r="U126" s="273" t="e">
        <f t="shared" si="38"/>
        <v>#REF!</v>
      </c>
      <c r="V126" s="274"/>
      <c r="W126" s="123">
        <f t="shared" si="46"/>
        <v>5655</v>
      </c>
      <c r="X126" s="123">
        <f t="shared" si="47"/>
        <v>1170</v>
      </c>
      <c r="Y126" s="123">
        <f t="shared" si="48"/>
        <v>0</v>
      </c>
      <c r="Z126" s="123">
        <f t="shared" si="41"/>
        <v>0</v>
      </c>
      <c r="AA126" s="123">
        <f t="shared" si="49"/>
        <v>0</v>
      </c>
      <c r="AB126" s="123">
        <f t="shared" si="42"/>
        <v>450.73770491803276</v>
      </c>
      <c r="AC126" s="123">
        <f t="shared" si="43"/>
        <v>0</v>
      </c>
      <c r="AD126" s="123">
        <f t="shared" si="44"/>
        <v>0</v>
      </c>
      <c r="AE126" s="123">
        <f t="shared" si="39"/>
        <v>0</v>
      </c>
      <c r="AF126" s="123">
        <f t="shared" si="50"/>
        <v>0</v>
      </c>
      <c r="AG126" s="298">
        <f t="shared" si="40"/>
        <v>0</v>
      </c>
    </row>
    <row r="127" spans="1:33" ht="28" customHeight="1" x14ac:dyDescent="0.35">
      <c r="A127" s="197">
        <v>2238</v>
      </c>
      <c r="B127" s="198">
        <v>3302238</v>
      </c>
      <c r="C127" s="264" t="s">
        <v>321</v>
      </c>
      <c r="D127" s="198" t="s">
        <v>563</v>
      </c>
      <c r="E127" s="198" t="s">
        <v>564</v>
      </c>
      <c r="F127" s="198" t="s">
        <v>49</v>
      </c>
      <c r="G127" s="197" t="s">
        <v>652</v>
      </c>
      <c r="H127" s="197"/>
      <c r="I127" s="265">
        <v>26488.799999999999</v>
      </c>
      <c r="J127" s="265">
        <v>9933.3000000000011</v>
      </c>
      <c r="K127" s="267">
        <v>0</v>
      </c>
      <c r="L127" s="267">
        <v>0</v>
      </c>
      <c r="M127" s="267">
        <v>0</v>
      </c>
      <c r="N127" s="269">
        <v>780</v>
      </c>
      <c r="O127" s="269">
        <v>0</v>
      </c>
      <c r="P127" s="269">
        <v>1950</v>
      </c>
      <c r="Q127" s="269">
        <v>0</v>
      </c>
      <c r="R127" s="269">
        <v>0</v>
      </c>
      <c r="S127" s="270">
        <f t="shared" si="45"/>
        <v>39152.1</v>
      </c>
      <c r="T127" s="272" t="e">
        <f>#REF!+#REF!+#REF!+#REF!+#REF!+#REF!+#REF!+#REF!+#REF!</f>
        <v>#REF!</v>
      </c>
      <c r="U127" s="273" t="e">
        <f t="shared" si="38"/>
        <v>#REF!</v>
      </c>
      <c r="V127" s="274"/>
      <c r="W127" s="123">
        <f t="shared" si="46"/>
        <v>4680</v>
      </c>
      <c r="X127" s="297">
        <f t="shared" si="47"/>
        <v>1755.0000000000002</v>
      </c>
      <c r="Y127" s="123">
        <f t="shared" si="48"/>
        <v>0</v>
      </c>
      <c r="Z127" s="123">
        <f t="shared" si="41"/>
        <v>0</v>
      </c>
      <c r="AA127" s="123">
        <f t="shared" si="49"/>
        <v>0</v>
      </c>
      <c r="AB127" s="123">
        <f t="shared" si="42"/>
        <v>1278.688524590164</v>
      </c>
      <c r="AC127" s="123">
        <f t="shared" si="43"/>
        <v>0</v>
      </c>
      <c r="AD127" s="123">
        <f t="shared" si="44"/>
        <v>24375</v>
      </c>
      <c r="AE127" s="123">
        <f t="shared" si="39"/>
        <v>0</v>
      </c>
      <c r="AF127" s="123">
        <f t="shared" si="50"/>
        <v>1950</v>
      </c>
      <c r="AG127" s="298">
        <f t="shared" si="40"/>
        <v>0</v>
      </c>
    </row>
    <row r="128" spans="1:33" x14ac:dyDescent="0.35">
      <c r="A128" s="197">
        <v>2239</v>
      </c>
      <c r="B128" s="198">
        <v>3302239</v>
      </c>
      <c r="C128" s="264" t="s">
        <v>322</v>
      </c>
      <c r="D128" s="198" t="s">
        <v>563</v>
      </c>
      <c r="E128" s="198" t="s">
        <v>450</v>
      </c>
      <c r="F128" s="198" t="s">
        <v>27</v>
      </c>
      <c r="G128" s="197" t="s">
        <v>653</v>
      </c>
      <c r="H128" s="197"/>
      <c r="I128" s="265">
        <v>45251.700000000004</v>
      </c>
      <c r="J128" s="265">
        <v>16555.5</v>
      </c>
      <c r="K128" s="267">
        <v>0</v>
      </c>
      <c r="L128" s="267">
        <v>0</v>
      </c>
      <c r="M128" s="267">
        <v>962.67</v>
      </c>
      <c r="N128" s="269">
        <v>2573.9999999999995</v>
      </c>
      <c r="O128" s="269">
        <v>1193.2631578947369</v>
      </c>
      <c r="P128" s="269">
        <v>3120</v>
      </c>
      <c r="Q128" s="269">
        <v>0</v>
      </c>
      <c r="R128" s="269">
        <v>0</v>
      </c>
      <c r="S128" s="270">
        <f t="shared" si="45"/>
        <v>69657.133157894743</v>
      </c>
      <c r="T128" s="272" t="e">
        <f>#REF!+#REF!+#REF!+#REF!+#REF!+#REF!+#REF!+#REF!+#REF!</f>
        <v>#REF!</v>
      </c>
      <c r="U128" s="273" t="e">
        <f t="shared" si="38"/>
        <v>#REF!</v>
      </c>
      <c r="V128" s="274"/>
      <c r="W128" s="123">
        <f t="shared" si="46"/>
        <v>7995.0000000000009</v>
      </c>
      <c r="X128" s="123">
        <f t="shared" si="47"/>
        <v>2925</v>
      </c>
      <c r="Y128" s="123">
        <f t="shared" si="48"/>
        <v>0</v>
      </c>
      <c r="Z128" s="123">
        <f t="shared" si="41"/>
        <v>0</v>
      </c>
      <c r="AA128" s="123">
        <f t="shared" si="49"/>
        <v>0</v>
      </c>
      <c r="AB128" s="123">
        <f t="shared" si="42"/>
        <v>4219.6721311475403</v>
      </c>
      <c r="AC128" s="123">
        <f t="shared" si="43"/>
        <v>4114.7005444646102</v>
      </c>
      <c r="AD128" s="123">
        <f t="shared" si="44"/>
        <v>39000</v>
      </c>
      <c r="AE128" s="123">
        <f t="shared" si="39"/>
        <v>15.991197505960022</v>
      </c>
      <c r="AF128" s="123">
        <f t="shared" si="50"/>
        <v>3120</v>
      </c>
      <c r="AG128" s="298">
        <f t="shared" si="40"/>
        <v>2.9999557159258652</v>
      </c>
    </row>
    <row r="129" spans="1:33" ht="26" x14ac:dyDescent="0.35">
      <c r="A129" s="197">
        <v>2245</v>
      </c>
      <c r="B129" s="198">
        <v>3302245</v>
      </c>
      <c r="C129" s="264" t="s">
        <v>323</v>
      </c>
      <c r="D129" s="198" t="s">
        <v>563</v>
      </c>
      <c r="E129" s="198" t="s">
        <v>450</v>
      </c>
      <c r="F129" s="198" t="s">
        <v>27</v>
      </c>
      <c r="G129" s="197" t="s">
        <v>654</v>
      </c>
      <c r="H129" s="197"/>
      <c r="I129" s="265">
        <v>24281.4</v>
      </c>
      <c r="J129" s="265">
        <v>0</v>
      </c>
      <c r="K129" s="267">
        <v>0</v>
      </c>
      <c r="L129" s="267">
        <v>0</v>
      </c>
      <c r="M129" s="267">
        <v>0</v>
      </c>
      <c r="N129" s="269">
        <v>2316.6</v>
      </c>
      <c r="O129" s="269">
        <v>1417</v>
      </c>
      <c r="P129" s="269">
        <v>3705</v>
      </c>
      <c r="Q129" s="269">
        <v>0</v>
      </c>
      <c r="R129" s="269">
        <v>0</v>
      </c>
      <c r="S129" s="270">
        <f t="shared" si="45"/>
        <v>31720</v>
      </c>
      <c r="T129" s="272" t="e">
        <f>#REF!+#REF!+#REF!+#REF!+#REF!+#REF!+#REF!+#REF!+#REF!</f>
        <v>#REF!</v>
      </c>
      <c r="U129" s="273" t="e">
        <f t="shared" si="38"/>
        <v>#REF!</v>
      </c>
      <c r="V129" s="274"/>
      <c r="W129" s="123">
        <f t="shared" si="46"/>
        <v>4290</v>
      </c>
      <c r="X129" s="123">
        <f t="shared" si="47"/>
        <v>0</v>
      </c>
      <c r="Y129" s="123">
        <f t="shared" si="48"/>
        <v>0</v>
      </c>
      <c r="Z129" s="123">
        <f t="shared" ref="Z129:Z160" si="51">L129/$Z$8</f>
        <v>0</v>
      </c>
      <c r="AA129" s="123">
        <f t="shared" si="49"/>
        <v>0</v>
      </c>
      <c r="AB129" s="123">
        <f t="shared" ref="AB129:AB160" si="52">N129/$AB$8</f>
        <v>3797.7049180327867</v>
      </c>
      <c r="AC129" s="123">
        <f t="shared" ref="AC129:AC160" si="53">O129/$AC$8</f>
        <v>4886.2068965517246</v>
      </c>
      <c r="AD129" s="123">
        <f t="shared" ref="AD129:AD160" si="54">P129/$AD$8</f>
        <v>46312.5</v>
      </c>
      <c r="AE129" s="123">
        <f t="shared" si="39"/>
        <v>18.989547038327526</v>
      </c>
      <c r="AF129" s="123">
        <f t="shared" si="50"/>
        <v>3705</v>
      </c>
      <c r="AG129" s="298">
        <f t="shared" si="40"/>
        <v>0</v>
      </c>
    </row>
    <row r="130" spans="1:33" x14ac:dyDescent="0.35">
      <c r="A130" s="197">
        <v>2251</v>
      </c>
      <c r="B130" s="198">
        <v>3302251</v>
      </c>
      <c r="C130" s="264" t="s">
        <v>324</v>
      </c>
      <c r="D130" s="198" t="s">
        <v>563</v>
      </c>
      <c r="E130" s="198" t="s">
        <v>450</v>
      </c>
      <c r="F130" s="198" t="s">
        <v>27</v>
      </c>
      <c r="G130" s="197" t="s">
        <v>655</v>
      </c>
      <c r="H130" s="197"/>
      <c r="I130" s="265">
        <v>26488.799999999999</v>
      </c>
      <c r="J130" s="265">
        <v>23177.7</v>
      </c>
      <c r="K130" s="267">
        <v>0</v>
      </c>
      <c r="L130" s="267">
        <v>0</v>
      </c>
      <c r="M130" s="267">
        <v>0</v>
      </c>
      <c r="N130" s="269">
        <v>15.6</v>
      </c>
      <c r="O130" s="269">
        <v>149.15789473684211</v>
      </c>
      <c r="P130" s="269">
        <v>390</v>
      </c>
      <c r="Q130" s="269">
        <v>0</v>
      </c>
      <c r="R130" s="269">
        <v>0</v>
      </c>
      <c r="S130" s="270">
        <f t="shared" si="45"/>
        <v>50221.257894736838</v>
      </c>
      <c r="T130" s="272" t="e">
        <f>#REF!+#REF!+#REF!+#REF!+#REF!+#REF!+#REF!+#REF!+#REF!</f>
        <v>#REF!</v>
      </c>
      <c r="U130" s="273" t="e">
        <f t="shared" si="38"/>
        <v>#REF!</v>
      </c>
      <c r="V130" s="274"/>
      <c r="W130" s="123">
        <f t="shared" si="46"/>
        <v>4680</v>
      </c>
      <c r="X130" s="123">
        <f t="shared" si="47"/>
        <v>4095</v>
      </c>
      <c r="Y130" s="123">
        <f t="shared" si="48"/>
        <v>0</v>
      </c>
      <c r="Z130" s="123">
        <f t="shared" si="51"/>
        <v>0</v>
      </c>
      <c r="AA130" s="123">
        <f t="shared" si="49"/>
        <v>0</v>
      </c>
      <c r="AB130" s="123">
        <f t="shared" si="52"/>
        <v>25.57377049180328</v>
      </c>
      <c r="AC130" s="123">
        <f t="shared" si="53"/>
        <v>514.33756805807627</v>
      </c>
      <c r="AD130" s="123">
        <f t="shared" si="54"/>
        <v>4875</v>
      </c>
      <c r="AE130" s="123">
        <f t="shared" si="39"/>
        <v>1.9988996882450027</v>
      </c>
      <c r="AF130" s="123">
        <f t="shared" si="50"/>
        <v>390</v>
      </c>
      <c r="AG130" s="298">
        <f t="shared" si="40"/>
        <v>0</v>
      </c>
    </row>
    <row r="131" spans="1:33" x14ac:dyDescent="0.35">
      <c r="A131" s="197">
        <v>2293</v>
      </c>
      <c r="B131" s="198">
        <v>3302293</v>
      </c>
      <c r="C131" s="264" t="s">
        <v>173</v>
      </c>
      <c r="D131" s="198" t="s">
        <v>563</v>
      </c>
      <c r="E131" s="198" t="s">
        <v>450</v>
      </c>
      <c r="F131" s="198" t="s">
        <v>27</v>
      </c>
      <c r="G131" s="197" t="s">
        <v>656</v>
      </c>
      <c r="H131" s="197"/>
      <c r="I131" s="265">
        <v>72844.2</v>
      </c>
      <c r="J131" s="265">
        <v>0</v>
      </c>
      <c r="K131" s="267">
        <v>0</v>
      </c>
      <c r="L131" s="267">
        <v>0</v>
      </c>
      <c r="M131" s="267">
        <v>0</v>
      </c>
      <c r="N131" s="269">
        <v>1402.05</v>
      </c>
      <c r="O131" s="269">
        <v>0</v>
      </c>
      <c r="P131" s="269">
        <v>4680</v>
      </c>
      <c r="Q131" s="269">
        <v>0</v>
      </c>
      <c r="R131" s="269">
        <v>0</v>
      </c>
      <c r="S131" s="270">
        <f t="shared" si="45"/>
        <v>78926.25</v>
      </c>
      <c r="T131" s="272" t="e">
        <f>#REF!+#REF!+#REF!+#REF!+#REF!+#REF!+#REF!+#REF!+#REF!</f>
        <v>#REF!</v>
      </c>
      <c r="U131" s="273" t="e">
        <f t="shared" si="38"/>
        <v>#REF!</v>
      </c>
      <c r="V131" s="274"/>
      <c r="W131" s="123">
        <f t="shared" si="46"/>
        <v>12870</v>
      </c>
      <c r="X131" s="123">
        <f t="shared" si="47"/>
        <v>0</v>
      </c>
      <c r="Y131" s="123">
        <f t="shared" si="48"/>
        <v>0</v>
      </c>
      <c r="Z131" s="123">
        <f t="shared" si="51"/>
        <v>0</v>
      </c>
      <c r="AA131" s="123">
        <f t="shared" si="49"/>
        <v>0</v>
      </c>
      <c r="AB131" s="123">
        <f t="shared" si="52"/>
        <v>2298.4426229508194</v>
      </c>
      <c r="AC131" s="123">
        <f t="shared" si="53"/>
        <v>0</v>
      </c>
      <c r="AD131" s="123">
        <f t="shared" si="54"/>
        <v>58500</v>
      </c>
      <c r="AE131" s="123">
        <f t="shared" si="39"/>
        <v>0</v>
      </c>
      <c r="AF131" s="123">
        <f t="shared" si="50"/>
        <v>4680</v>
      </c>
      <c r="AG131" s="298">
        <f t="shared" si="40"/>
        <v>0</v>
      </c>
    </row>
    <row r="132" spans="1:33" ht="26" x14ac:dyDescent="0.35">
      <c r="A132" s="197">
        <v>2299</v>
      </c>
      <c r="B132" s="198">
        <v>3302299</v>
      </c>
      <c r="C132" s="264" t="s">
        <v>325</v>
      </c>
      <c r="D132" s="198" t="s">
        <v>563</v>
      </c>
      <c r="E132" s="198" t="s">
        <v>564</v>
      </c>
      <c r="F132" s="198" t="s">
        <v>49</v>
      </c>
      <c r="G132" s="197" t="s">
        <v>657</v>
      </c>
      <c r="H132" s="197"/>
      <c r="I132" s="265">
        <v>75051.600000000006</v>
      </c>
      <c r="J132" s="265">
        <v>8829.6</v>
      </c>
      <c r="K132" s="267">
        <v>0</v>
      </c>
      <c r="L132" s="267">
        <v>0</v>
      </c>
      <c r="M132" s="267">
        <v>0</v>
      </c>
      <c r="N132" s="269">
        <v>885.3</v>
      </c>
      <c r="O132" s="269">
        <v>0</v>
      </c>
      <c r="P132" s="269">
        <v>3705</v>
      </c>
      <c r="Q132" s="269">
        <v>0</v>
      </c>
      <c r="R132" s="269">
        <v>0</v>
      </c>
      <c r="S132" s="270">
        <f t="shared" si="45"/>
        <v>88471.500000000015</v>
      </c>
      <c r="T132" s="272" t="e">
        <f>#REF!+#REF!+#REF!+#REF!+#REF!+#REF!+#REF!+#REF!+#REF!</f>
        <v>#REF!</v>
      </c>
      <c r="U132" s="273" t="e">
        <f t="shared" si="38"/>
        <v>#REF!</v>
      </c>
      <c r="V132" s="274"/>
      <c r="W132" s="123">
        <f t="shared" si="46"/>
        <v>13260</v>
      </c>
      <c r="X132" s="297">
        <f t="shared" si="47"/>
        <v>1560</v>
      </c>
      <c r="Y132" s="123">
        <f t="shared" si="48"/>
        <v>0</v>
      </c>
      <c r="Z132" s="123">
        <f t="shared" si="51"/>
        <v>0</v>
      </c>
      <c r="AA132" s="123">
        <f t="shared" si="49"/>
        <v>0</v>
      </c>
      <c r="AB132" s="123">
        <f t="shared" si="52"/>
        <v>1451.311475409836</v>
      </c>
      <c r="AC132" s="123">
        <f t="shared" si="53"/>
        <v>0</v>
      </c>
      <c r="AD132" s="123">
        <f t="shared" si="54"/>
        <v>46312.5</v>
      </c>
      <c r="AE132" s="123">
        <f t="shared" si="39"/>
        <v>0</v>
      </c>
      <c r="AF132" s="123">
        <f t="shared" si="50"/>
        <v>3705</v>
      </c>
      <c r="AG132" s="298">
        <f t="shared" si="40"/>
        <v>0</v>
      </c>
    </row>
    <row r="133" spans="1:33" x14ac:dyDescent="0.35">
      <c r="A133" s="197">
        <v>2300</v>
      </c>
      <c r="B133" s="198">
        <v>3302300</v>
      </c>
      <c r="C133" s="264" t="s">
        <v>326</v>
      </c>
      <c r="D133" s="198" t="s">
        <v>563</v>
      </c>
      <c r="E133" s="198" t="s">
        <v>450</v>
      </c>
      <c r="F133" s="198" t="s">
        <v>27</v>
      </c>
      <c r="G133" s="197" t="s">
        <v>658</v>
      </c>
      <c r="H133" s="197"/>
      <c r="I133" s="265">
        <v>77259</v>
      </c>
      <c r="J133" s="265">
        <v>6622.2</v>
      </c>
      <c r="K133" s="267">
        <v>0</v>
      </c>
      <c r="L133" s="267">
        <v>0</v>
      </c>
      <c r="M133" s="267">
        <v>0</v>
      </c>
      <c r="N133" s="269">
        <v>2689.0499999999997</v>
      </c>
      <c r="O133" s="269">
        <v>1939.0526315789475</v>
      </c>
      <c r="P133" s="269">
        <v>5070</v>
      </c>
      <c r="Q133" s="269">
        <v>0</v>
      </c>
      <c r="R133" s="269">
        <v>0</v>
      </c>
      <c r="S133" s="270">
        <f t="shared" si="45"/>
        <v>93579.302631578947</v>
      </c>
      <c r="T133" s="272" t="e">
        <f>#REF!+#REF!+#REF!+#REF!+#REF!+#REF!+#REF!+#REF!+#REF!</f>
        <v>#REF!</v>
      </c>
      <c r="U133" s="273" t="e">
        <f t="shared" si="38"/>
        <v>#REF!</v>
      </c>
      <c r="V133" s="274"/>
      <c r="W133" s="123">
        <f t="shared" si="46"/>
        <v>13650</v>
      </c>
      <c r="X133" s="123">
        <f t="shared" si="47"/>
        <v>1170</v>
      </c>
      <c r="Y133" s="123">
        <f t="shared" si="48"/>
        <v>0</v>
      </c>
      <c r="Z133" s="123">
        <f t="shared" si="51"/>
        <v>0</v>
      </c>
      <c r="AA133" s="123">
        <f t="shared" si="49"/>
        <v>0</v>
      </c>
      <c r="AB133" s="123">
        <f t="shared" si="52"/>
        <v>4408.2786885245896</v>
      </c>
      <c r="AC133" s="123">
        <f t="shared" si="53"/>
        <v>6686.3883847549923</v>
      </c>
      <c r="AD133" s="123">
        <f t="shared" si="54"/>
        <v>63375</v>
      </c>
      <c r="AE133" s="123">
        <f t="shared" si="39"/>
        <v>25.985695947185036</v>
      </c>
      <c r="AF133" s="123">
        <f t="shared" si="50"/>
        <v>5070</v>
      </c>
      <c r="AG133" s="298">
        <f t="shared" si="40"/>
        <v>0</v>
      </c>
    </row>
    <row r="134" spans="1:33" x14ac:dyDescent="0.35">
      <c r="A134" s="197">
        <v>2308</v>
      </c>
      <c r="B134" s="198">
        <v>3302308</v>
      </c>
      <c r="C134" s="264" t="s">
        <v>163</v>
      </c>
      <c r="D134" s="198" t="s">
        <v>563</v>
      </c>
      <c r="E134" s="198" t="s">
        <v>450</v>
      </c>
      <c r="F134" s="198" t="s">
        <v>27</v>
      </c>
      <c r="G134" s="197" t="s">
        <v>659</v>
      </c>
      <c r="H134" s="197"/>
      <c r="I134" s="265">
        <v>41940.6</v>
      </c>
      <c r="J134" s="265">
        <v>6622.2</v>
      </c>
      <c r="K134" s="267">
        <v>0</v>
      </c>
      <c r="L134" s="267">
        <v>0</v>
      </c>
      <c r="M134" s="267">
        <v>0</v>
      </c>
      <c r="N134" s="269">
        <v>1831.05</v>
      </c>
      <c r="O134" s="269">
        <v>0</v>
      </c>
      <c r="P134" s="269">
        <v>2145</v>
      </c>
      <c r="Q134" s="269">
        <v>0</v>
      </c>
      <c r="R134" s="269">
        <v>0</v>
      </c>
      <c r="S134" s="270">
        <f t="shared" si="45"/>
        <v>52538.85</v>
      </c>
      <c r="T134" s="272" t="e">
        <f>#REF!+#REF!+#REF!+#REF!+#REF!+#REF!+#REF!+#REF!+#REF!</f>
        <v>#REF!</v>
      </c>
      <c r="U134" s="273" t="e">
        <f t="shared" si="38"/>
        <v>#REF!</v>
      </c>
      <c r="V134" s="274"/>
      <c r="W134" s="123">
        <f t="shared" si="46"/>
        <v>7410</v>
      </c>
      <c r="X134" s="123">
        <f t="shared" si="47"/>
        <v>1170</v>
      </c>
      <c r="Y134" s="123">
        <f t="shared" si="48"/>
        <v>0</v>
      </c>
      <c r="Z134" s="123">
        <f t="shared" si="51"/>
        <v>0</v>
      </c>
      <c r="AA134" s="123">
        <f t="shared" si="49"/>
        <v>0</v>
      </c>
      <c r="AB134" s="123">
        <f t="shared" si="52"/>
        <v>3001.7213114754099</v>
      </c>
      <c r="AC134" s="123">
        <f t="shared" si="53"/>
        <v>0</v>
      </c>
      <c r="AD134" s="123">
        <f t="shared" si="54"/>
        <v>26812.5</v>
      </c>
      <c r="AE134" s="123">
        <f t="shared" si="39"/>
        <v>0</v>
      </c>
      <c r="AF134" s="123">
        <f t="shared" si="50"/>
        <v>2145</v>
      </c>
      <c r="AG134" s="298">
        <f t="shared" si="40"/>
        <v>0</v>
      </c>
    </row>
    <row r="135" spans="1:33" x14ac:dyDescent="0.35">
      <c r="A135" s="197">
        <v>2309</v>
      </c>
      <c r="B135" s="198">
        <v>3302309</v>
      </c>
      <c r="C135" s="264" t="s">
        <v>327</v>
      </c>
      <c r="D135" s="198" t="s">
        <v>563</v>
      </c>
      <c r="E135" s="198" t="s">
        <v>564</v>
      </c>
      <c r="F135" s="198" t="s">
        <v>49</v>
      </c>
      <c r="G135" s="197" t="s">
        <v>660</v>
      </c>
      <c r="H135" s="197"/>
      <c r="I135" s="265">
        <v>46355.4</v>
      </c>
      <c r="J135" s="265">
        <v>7725.9000000000005</v>
      </c>
      <c r="K135" s="267">
        <v>0</v>
      </c>
      <c r="L135" s="267">
        <v>0</v>
      </c>
      <c r="M135" s="267">
        <v>0</v>
      </c>
      <c r="N135" s="269">
        <v>1454.7</v>
      </c>
      <c r="O135" s="269">
        <v>1118.6842105263158</v>
      </c>
      <c r="P135" s="269">
        <v>2925</v>
      </c>
      <c r="Q135" s="269">
        <v>0</v>
      </c>
      <c r="R135" s="269">
        <v>0</v>
      </c>
      <c r="S135" s="270">
        <f t="shared" si="45"/>
        <v>59579.684210526313</v>
      </c>
      <c r="T135" s="272" t="e">
        <f>#REF!+#REF!+#REF!+#REF!+#REF!+#REF!+#REF!+#REF!+#REF!</f>
        <v>#REF!</v>
      </c>
      <c r="U135" s="273" t="e">
        <f t="shared" si="38"/>
        <v>#REF!</v>
      </c>
      <c r="V135" s="274"/>
      <c r="W135" s="123">
        <f t="shared" si="46"/>
        <v>8190</v>
      </c>
      <c r="X135" s="297">
        <f t="shared" si="47"/>
        <v>1365</v>
      </c>
      <c r="Y135" s="123">
        <f t="shared" si="48"/>
        <v>0</v>
      </c>
      <c r="Z135" s="123">
        <f t="shared" si="51"/>
        <v>0</v>
      </c>
      <c r="AA135" s="123">
        <f t="shared" si="49"/>
        <v>0</v>
      </c>
      <c r="AB135" s="123">
        <f t="shared" si="52"/>
        <v>2384.7540983606559</v>
      </c>
      <c r="AC135" s="123">
        <f t="shared" si="53"/>
        <v>3857.5317604355723</v>
      </c>
      <c r="AD135" s="123">
        <f t="shared" si="54"/>
        <v>36562.5</v>
      </c>
      <c r="AE135" s="123">
        <f t="shared" si="39"/>
        <v>14.99174766183752</v>
      </c>
      <c r="AF135" s="123">
        <f t="shared" si="50"/>
        <v>2925</v>
      </c>
      <c r="AG135" s="298">
        <f t="shared" si="40"/>
        <v>0</v>
      </c>
    </row>
    <row r="136" spans="1:33" x14ac:dyDescent="0.35">
      <c r="A136" s="197">
        <v>2317</v>
      </c>
      <c r="B136" s="198">
        <v>3302317</v>
      </c>
      <c r="C136" s="264" t="s">
        <v>328</v>
      </c>
      <c r="D136" s="198" t="s">
        <v>563</v>
      </c>
      <c r="E136" s="198" t="s">
        <v>450</v>
      </c>
      <c r="F136" s="198" t="s">
        <v>27</v>
      </c>
      <c r="G136" s="197" t="s">
        <v>661</v>
      </c>
      <c r="H136" s="197"/>
      <c r="I136" s="265">
        <v>64014.6</v>
      </c>
      <c r="J136" s="265">
        <v>27592.5</v>
      </c>
      <c r="K136" s="267">
        <v>0</v>
      </c>
      <c r="L136" s="267">
        <v>0</v>
      </c>
      <c r="M136" s="267">
        <v>0</v>
      </c>
      <c r="N136" s="269">
        <v>2129.4</v>
      </c>
      <c r="O136" s="269">
        <v>894.94736842105272</v>
      </c>
      <c r="P136" s="269">
        <v>2340</v>
      </c>
      <c r="Q136" s="269">
        <v>0</v>
      </c>
      <c r="R136" s="269">
        <v>0</v>
      </c>
      <c r="S136" s="270">
        <f t="shared" si="45"/>
        <v>96971.447368421053</v>
      </c>
      <c r="T136" s="272" t="e">
        <f>#REF!+#REF!+#REF!+#REF!+#REF!+#REF!+#REF!+#REF!+#REF!</f>
        <v>#REF!</v>
      </c>
      <c r="U136" s="273" t="e">
        <f t="shared" si="38"/>
        <v>#REF!</v>
      </c>
      <c r="V136" s="274"/>
      <c r="W136" s="123">
        <f t="shared" si="46"/>
        <v>11310</v>
      </c>
      <c r="X136" s="123">
        <f t="shared" si="47"/>
        <v>4875</v>
      </c>
      <c r="Y136" s="123">
        <f t="shared" si="48"/>
        <v>0</v>
      </c>
      <c r="Z136" s="123">
        <f t="shared" si="51"/>
        <v>0</v>
      </c>
      <c r="AA136" s="123">
        <f t="shared" si="49"/>
        <v>0</v>
      </c>
      <c r="AB136" s="123">
        <f t="shared" si="52"/>
        <v>3490.8196721311479</v>
      </c>
      <c r="AC136" s="123">
        <f t="shared" si="53"/>
        <v>3086.0254083484579</v>
      </c>
      <c r="AD136" s="123">
        <f t="shared" si="54"/>
        <v>29250</v>
      </c>
      <c r="AE136" s="123">
        <f t="shared" si="39"/>
        <v>11.993398129470018</v>
      </c>
      <c r="AF136" s="123">
        <f t="shared" si="50"/>
        <v>2340</v>
      </c>
      <c r="AG136" s="298">
        <f t="shared" si="40"/>
        <v>0</v>
      </c>
    </row>
    <row r="137" spans="1:33" x14ac:dyDescent="0.35">
      <c r="A137" s="197">
        <v>2402</v>
      </c>
      <c r="B137" s="198">
        <v>3302402</v>
      </c>
      <c r="C137" s="264" t="s">
        <v>42</v>
      </c>
      <c r="D137" s="198" t="s">
        <v>563</v>
      </c>
      <c r="E137" s="198" t="s">
        <v>450</v>
      </c>
      <c r="F137" s="198" t="s">
        <v>27</v>
      </c>
      <c r="G137" s="197" t="s">
        <v>662</v>
      </c>
      <c r="H137" s="197"/>
      <c r="I137" s="265">
        <v>36422.1</v>
      </c>
      <c r="J137" s="265">
        <v>18762.900000000001</v>
      </c>
      <c r="K137" s="267">
        <v>0</v>
      </c>
      <c r="L137" s="267">
        <v>0</v>
      </c>
      <c r="M137" s="267">
        <v>0</v>
      </c>
      <c r="N137" s="269">
        <v>15.6</v>
      </c>
      <c r="O137" s="269">
        <v>0</v>
      </c>
      <c r="P137" s="269">
        <v>1365</v>
      </c>
      <c r="Q137" s="269">
        <v>0</v>
      </c>
      <c r="R137" s="269">
        <v>0</v>
      </c>
      <c r="S137" s="270">
        <f t="shared" si="45"/>
        <v>56565.599999999999</v>
      </c>
      <c r="T137" s="272" t="e">
        <f>#REF!+#REF!+#REF!+#REF!+#REF!+#REF!+#REF!+#REF!+#REF!</f>
        <v>#REF!</v>
      </c>
      <c r="U137" s="273" t="e">
        <f t="shared" si="38"/>
        <v>#REF!</v>
      </c>
      <c r="V137" s="274"/>
      <c r="W137" s="123">
        <f t="shared" si="46"/>
        <v>6435</v>
      </c>
      <c r="X137" s="123">
        <f t="shared" si="47"/>
        <v>3315</v>
      </c>
      <c r="Y137" s="123">
        <f t="shared" si="48"/>
        <v>0</v>
      </c>
      <c r="Z137" s="123">
        <f t="shared" si="51"/>
        <v>0</v>
      </c>
      <c r="AA137" s="123">
        <f t="shared" si="49"/>
        <v>0</v>
      </c>
      <c r="AB137" s="123">
        <f t="shared" si="52"/>
        <v>25.57377049180328</v>
      </c>
      <c r="AC137" s="123">
        <f t="shared" si="53"/>
        <v>0</v>
      </c>
      <c r="AD137" s="123">
        <f t="shared" si="54"/>
        <v>17062.5</v>
      </c>
      <c r="AE137" s="123">
        <f t="shared" si="39"/>
        <v>0</v>
      </c>
      <c r="AF137" s="123">
        <f t="shared" si="50"/>
        <v>1365</v>
      </c>
      <c r="AG137" s="298">
        <f t="shared" si="40"/>
        <v>0</v>
      </c>
    </row>
    <row r="138" spans="1:33" ht="26" x14ac:dyDescent="0.35">
      <c r="A138" s="197">
        <v>2429</v>
      </c>
      <c r="B138" s="198">
        <v>3302429</v>
      </c>
      <c r="C138" s="264" t="s">
        <v>329</v>
      </c>
      <c r="D138" s="198" t="s">
        <v>563</v>
      </c>
      <c r="E138" s="198" t="s">
        <v>564</v>
      </c>
      <c r="F138" s="198" t="s">
        <v>49</v>
      </c>
      <c r="G138" s="197" t="s">
        <v>663</v>
      </c>
      <c r="H138" s="197"/>
      <c r="I138" s="265">
        <v>38629.5</v>
      </c>
      <c r="J138" s="265">
        <v>16555.5</v>
      </c>
      <c r="K138" s="267">
        <v>0</v>
      </c>
      <c r="L138" s="267">
        <v>0</v>
      </c>
      <c r="M138" s="267">
        <v>0</v>
      </c>
      <c r="N138" s="269">
        <v>15.6</v>
      </c>
      <c r="O138" s="269">
        <v>372.89473684210526</v>
      </c>
      <c r="P138" s="269">
        <v>1170</v>
      </c>
      <c r="Q138" s="269">
        <v>0</v>
      </c>
      <c r="R138" s="269">
        <v>0</v>
      </c>
      <c r="S138" s="270">
        <f t="shared" si="45"/>
        <v>56743.494736842105</v>
      </c>
      <c r="T138" s="272" t="e">
        <f>#REF!+#REF!+#REF!+#REF!+#REF!+#REF!+#REF!+#REF!+#REF!</f>
        <v>#REF!</v>
      </c>
      <c r="U138" s="273" t="e">
        <f t="shared" si="38"/>
        <v>#REF!</v>
      </c>
      <c r="V138" s="274"/>
      <c r="W138" s="123">
        <f t="shared" si="46"/>
        <v>6825</v>
      </c>
      <c r="X138" s="297">
        <f t="shared" si="47"/>
        <v>2925</v>
      </c>
      <c r="Y138" s="123">
        <f t="shared" si="48"/>
        <v>0</v>
      </c>
      <c r="Z138" s="123">
        <f t="shared" si="51"/>
        <v>0</v>
      </c>
      <c r="AA138" s="123">
        <f t="shared" si="49"/>
        <v>0</v>
      </c>
      <c r="AB138" s="123">
        <f t="shared" si="52"/>
        <v>25.57377049180328</v>
      </c>
      <c r="AC138" s="123">
        <f t="shared" si="53"/>
        <v>1285.8439201451906</v>
      </c>
      <c r="AD138" s="123">
        <f t="shared" si="54"/>
        <v>14625</v>
      </c>
      <c r="AE138" s="123">
        <f t="shared" si="39"/>
        <v>4.9972492206125061</v>
      </c>
      <c r="AF138" s="123">
        <f t="shared" si="50"/>
        <v>1170</v>
      </c>
      <c r="AG138" s="298">
        <f t="shared" si="40"/>
        <v>0</v>
      </c>
    </row>
    <row r="139" spans="1:33" x14ac:dyDescent="0.35">
      <c r="A139" s="197">
        <v>2434</v>
      </c>
      <c r="B139" s="198">
        <v>3302434</v>
      </c>
      <c r="C139" s="264" t="s">
        <v>330</v>
      </c>
      <c r="D139" s="198" t="s">
        <v>563</v>
      </c>
      <c r="E139" s="198" t="s">
        <v>564</v>
      </c>
      <c r="F139" s="198" t="s">
        <v>49</v>
      </c>
      <c r="G139" s="197" t="s">
        <v>664</v>
      </c>
      <c r="H139" s="197"/>
      <c r="I139" s="265">
        <v>47459.1</v>
      </c>
      <c r="J139" s="265">
        <v>20970.3</v>
      </c>
      <c r="K139" s="267">
        <v>0</v>
      </c>
      <c r="L139" s="267">
        <v>0</v>
      </c>
      <c r="M139" s="267">
        <v>0</v>
      </c>
      <c r="N139" s="269">
        <v>1753.05</v>
      </c>
      <c r="O139" s="269">
        <v>969.52631578947376</v>
      </c>
      <c r="P139" s="269">
        <v>2535</v>
      </c>
      <c r="Q139" s="269">
        <v>0</v>
      </c>
      <c r="R139" s="269">
        <v>0</v>
      </c>
      <c r="S139" s="270">
        <f t="shared" ref="S139:S170" si="55">SUM(I139:R139)</f>
        <v>73686.976315789478</v>
      </c>
      <c r="T139" s="272" t="e">
        <f>#REF!+#REF!+#REF!+#REF!+#REF!+#REF!+#REF!+#REF!+#REF!</f>
        <v>#REF!</v>
      </c>
      <c r="U139" s="273" t="e">
        <f t="shared" si="38"/>
        <v>#REF!</v>
      </c>
      <c r="V139" s="274"/>
      <c r="W139" s="123">
        <f t="shared" ref="W139:W170" si="56">(I139+R139)/$W$8</f>
        <v>8385</v>
      </c>
      <c r="X139" s="297">
        <f t="shared" ref="X139:X170" si="57">J139/$X$8</f>
        <v>3705</v>
      </c>
      <c r="Y139" s="123">
        <f t="shared" ref="Y139:Y170" si="58">(K139+Q139)/$Y$8</f>
        <v>0</v>
      </c>
      <c r="Z139" s="123">
        <f t="shared" si="51"/>
        <v>0</v>
      </c>
      <c r="AA139" s="123">
        <f t="shared" ref="AA139:AA170" si="59">L139/$AA$8</f>
        <v>0</v>
      </c>
      <c r="AB139" s="123">
        <f t="shared" si="52"/>
        <v>2873.8524590163934</v>
      </c>
      <c r="AC139" s="123">
        <f t="shared" si="53"/>
        <v>3343.1941923774962</v>
      </c>
      <c r="AD139" s="123">
        <f t="shared" si="54"/>
        <v>31687.5</v>
      </c>
      <c r="AE139" s="123">
        <f t="shared" si="39"/>
        <v>12.992847973592518</v>
      </c>
      <c r="AF139" s="123">
        <f t="shared" ref="AF139:AF170" si="60">P139/$AF$8</f>
        <v>2535</v>
      </c>
      <c r="AG139" s="298">
        <f t="shared" si="40"/>
        <v>0</v>
      </c>
    </row>
    <row r="140" spans="1:33" s="282" customFormat="1" x14ac:dyDescent="0.35">
      <c r="A140" s="279">
        <v>2435</v>
      </c>
      <c r="B140" s="280">
        <v>3302435</v>
      </c>
      <c r="C140" s="281" t="s">
        <v>331</v>
      </c>
      <c r="D140" s="198" t="s">
        <v>563</v>
      </c>
      <c r="E140" s="198" t="s">
        <v>564</v>
      </c>
      <c r="F140" s="198" t="s">
        <v>49</v>
      </c>
      <c r="G140" s="197" t="s">
        <v>665</v>
      </c>
      <c r="H140" s="197" t="s">
        <v>666</v>
      </c>
      <c r="I140" s="275">
        <v>0</v>
      </c>
      <c r="J140" s="265">
        <v>0</v>
      </c>
      <c r="K140" s="267">
        <v>0</v>
      </c>
      <c r="L140" s="267">
        <v>0</v>
      </c>
      <c r="M140" s="276">
        <v>0</v>
      </c>
      <c r="N140" s="277">
        <v>0</v>
      </c>
      <c r="O140" s="277">
        <v>0</v>
      </c>
      <c r="P140" s="277">
        <v>0</v>
      </c>
      <c r="Q140" s="277">
        <v>0</v>
      </c>
      <c r="R140" s="277">
        <v>0</v>
      </c>
      <c r="S140" s="270">
        <f t="shared" si="55"/>
        <v>0</v>
      </c>
      <c r="T140" s="272" t="e">
        <f>#REF!+#REF!+#REF!+#REF!+#REF!+#REF!+#REF!+#REF!+#REF!</f>
        <v>#REF!</v>
      </c>
      <c r="U140" s="273" t="e">
        <f t="shared" ref="U140:U201" si="61">S140-T140</f>
        <v>#REF!</v>
      </c>
      <c r="V140" s="274"/>
      <c r="W140" s="123">
        <f t="shared" si="56"/>
        <v>0</v>
      </c>
      <c r="X140" s="297">
        <f t="shared" si="57"/>
        <v>0</v>
      </c>
      <c r="Y140" s="123">
        <f t="shared" si="58"/>
        <v>0</v>
      </c>
      <c r="Z140" s="123">
        <f t="shared" si="51"/>
        <v>0</v>
      </c>
      <c r="AA140" s="123">
        <f t="shared" si="59"/>
        <v>0</v>
      </c>
      <c r="AB140" s="123">
        <f t="shared" si="52"/>
        <v>0</v>
      </c>
      <c r="AC140" s="123">
        <f t="shared" si="53"/>
        <v>0</v>
      </c>
      <c r="AD140" s="123">
        <f t="shared" si="54"/>
        <v>0</v>
      </c>
      <c r="AE140" s="123">
        <f t="shared" ref="AE140:AE201" si="62">O140/$W$5/$AE$5</f>
        <v>0</v>
      </c>
      <c r="AF140" s="123">
        <f t="shared" si="60"/>
        <v>0</v>
      </c>
      <c r="AG140" s="298">
        <f t="shared" ref="AG140:AG201" si="63">M140/($AG$8/$AI$4*13)</f>
        <v>0</v>
      </c>
    </row>
    <row r="141" spans="1:33" x14ac:dyDescent="0.35">
      <c r="A141" s="197">
        <v>2441</v>
      </c>
      <c r="B141" s="198">
        <v>3302441</v>
      </c>
      <c r="C141" s="264" t="s">
        <v>105</v>
      </c>
      <c r="D141" s="198" t="s">
        <v>563</v>
      </c>
      <c r="E141" s="198" t="s">
        <v>450</v>
      </c>
      <c r="F141" s="198" t="s">
        <v>27</v>
      </c>
      <c r="G141" s="197" t="s">
        <v>667</v>
      </c>
      <c r="H141" s="197"/>
      <c r="I141" s="265">
        <v>19866.600000000002</v>
      </c>
      <c r="J141" s="265">
        <v>0</v>
      </c>
      <c r="K141" s="267">
        <v>0</v>
      </c>
      <c r="L141" s="267">
        <v>0</v>
      </c>
      <c r="M141" s="267">
        <v>0</v>
      </c>
      <c r="N141" s="269">
        <v>1279.1999999999998</v>
      </c>
      <c r="O141" s="269">
        <v>0</v>
      </c>
      <c r="P141" s="269">
        <v>1365</v>
      </c>
      <c r="Q141" s="269">
        <v>0</v>
      </c>
      <c r="R141" s="269">
        <v>0</v>
      </c>
      <c r="S141" s="270">
        <f t="shared" si="55"/>
        <v>22510.800000000003</v>
      </c>
      <c r="T141" s="272" t="e">
        <f>#REF!+#REF!+#REF!+#REF!+#REF!+#REF!+#REF!+#REF!+#REF!</f>
        <v>#REF!</v>
      </c>
      <c r="U141" s="273" t="e">
        <f t="shared" si="61"/>
        <v>#REF!</v>
      </c>
      <c r="V141" s="274"/>
      <c r="W141" s="123">
        <f t="shared" si="56"/>
        <v>3510.0000000000005</v>
      </c>
      <c r="X141" s="123">
        <f t="shared" si="57"/>
        <v>0</v>
      </c>
      <c r="Y141" s="123">
        <f t="shared" si="58"/>
        <v>0</v>
      </c>
      <c r="Z141" s="123">
        <f t="shared" si="51"/>
        <v>0</v>
      </c>
      <c r="AA141" s="123">
        <f t="shared" si="59"/>
        <v>0</v>
      </c>
      <c r="AB141" s="123">
        <f t="shared" si="52"/>
        <v>2097.0491803278687</v>
      </c>
      <c r="AC141" s="123">
        <f t="shared" si="53"/>
        <v>0</v>
      </c>
      <c r="AD141" s="123">
        <f t="shared" si="54"/>
        <v>17062.5</v>
      </c>
      <c r="AE141" s="123">
        <f t="shared" si="62"/>
        <v>0</v>
      </c>
      <c r="AF141" s="123">
        <f t="shared" si="60"/>
        <v>1365</v>
      </c>
      <c r="AG141" s="298">
        <f t="shared" si="63"/>
        <v>0</v>
      </c>
    </row>
    <row r="142" spans="1:33" ht="26" x14ac:dyDescent="0.35">
      <c r="A142" s="197">
        <v>2443</v>
      </c>
      <c r="B142" s="198">
        <v>3302443</v>
      </c>
      <c r="C142" s="264" t="s">
        <v>332</v>
      </c>
      <c r="D142" s="198" t="s">
        <v>563</v>
      </c>
      <c r="E142" s="198" t="s">
        <v>564</v>
      </c>
      <c r="F142" s="198" t="s">
        <v>49</v>
      </c>
      <c r="G142" s="197" t="s">
        <v>668</v>
      </c>
      <c r="H142" s="197"/>
      <c r="I142" s="265">
        <v>30903.600000000002</v>
      </c>
      <c r="J142" s="265">
        <v>0</v>
      </c>
      <c r="K142" s="267">
        <v>0</v>
      </c>
      <c r="L142" s="267">
        <v>0</v>
      </c>
      <c r="M142" s="267">
        <v>0</v>
      </c>
      <c r="N142" s="269">
        <v>1528.8</v>
      </c>
      <c r="O142" s="269">
        <v>1193.2631578947369</v>
      </c>
      <c r="P142" s="269">
        <v>3315</v>
      </c>
      <c r="Q142" s="269">
        <v>0</v>
      </c>
      <c r="R142" s="269">
        <v>0</v>
      </c>
      <c r="S142" s="270">
        <f t="shared" si="55"/>
        <v>36940.663157894742</v>
      </c>
      <c r="T142" s="272" t="e">
        <f>#REF!+#REF!+#REF!+#REF!+#REF!+#REF!+#REF!+#REF!+#REF!</f>
        <v>#REF!</v>
      </c>
      <c r="U142" s="273" t="e">
        <f t="shared" si="61"/>
        <v>#REF!</v>
      </c>
      <c r="V142" s="274"/>
      <c r="W142" s="123">
        <f t="shared" si="56"/>
        <v>5460</v>
      </c>
      <c r="X142" s="297">
        <f t="shared" si="57"/>
        <v>0</v>
      </c>
      <c r="Y142" s="123">
        <f t="shared" si="58"/>
        <v>0</v>
      </c>
      <c r="Z142" s="123">
        <f t="shared" si="51"/>
        <v>0</v>
      </c>
      <c r="AA142" s="123">
        <f t="shared" si="59"/>
        <v>0</v>
      </c>
      <c r="AB142" s="123">
        <f t="shared" si="52"/>
        <v>2506.2295081967213</v>
      </c>
      <c r="AC142" s="123">
        <f t="shared" si="53"/>
        <v>4114.7005444646102</v>
      </c>
      <c r="AD142" s="123">
        <f t="shared" si="54"/>
        <v>41437.5</v>
      </c>
      <c r="AE142" s="123">
        <f t="shared" si="62"/>
        <v>15.991197505960022</v>
      </c>
      <c r="AF142" s="123">
        <f t="shared" si="60"/>
        <v>3315</v>
      </c>
      <c r="AG142" s="298">
        <f t="shared" si="63"/>
        <v>0</v>
      </c>
    </row>
    <row r="143" spans="1:33" x14ac:dyDescent="0.35">
      <c r="A143" s="197">
        <v>2447</v>
      </c>
      <c r="B143" s="198">
        <v>3302447</v>
      </c>
      <c r="C143" s="264" t="s">
        <v>333</v>
      </c>
      <c r="D143" s="198" t="s">
        <v>563</v>
      </c>
      <c r="E143" s="198" t="s">
        <v>564</v>
      </c>
      <c r="F143" s="198" t="s">
        <v>49</v>
      </c>
      <c r="G143" s="197" t="s">
        <v>669</v>
      </c>
      <c r="H143" s="197"/>
      <c r="I143" s="265">
        <v>49666.5</v>
      </c>
      <c r="J143" s="265">
        <v>0</v>
      </c>
      <c r="K143" s="267">
        <v>0</v>
      </c>
      <c r="L143" s="267">
        <v>0</v>
      </c>
      <c r="M143" s="267">
        <v>0</v>
      </c>
      <c r="N143" s="269">
        <v>2915.25</v>
      </c>
      <c r="O143" s="269">
        <v>2162.7894736842104</v>
      </c>
      <c r="P143" s="269">
        <v>5655</v>
      </c>
      <c r="Q143" s="269">
        <v>0</v>
      </c>
      <c r="R143" s="269">
        <v>0</v>
      </c>
      <c r="S143" s="270">
        <f t="shared" si="55"/>
        <v>60399.539473684214</v>
      </c>
      <c r="T143" s="272" t="e">
        <f>#REF!+#REF!+#REF!+#REF!+#REF!+#REF!+#REF!+#REF!+#REF!</f>
        <v>#REF!</v>
      </c>
      <c r="U143" s="273" t="e">
        <f t="shared" si="61"/>
        <v>#REF!</v>
      </c>
      <c r="V143" s="274"/>
      <c r="W143" s="123">
        <f t="shared" si="56"/>
        <v>8775</v>
      </c>
      <c r="X143" s="297">
        <f t="shared" si="57"/>
        <v>0</v>
      </c>
      <c r="Y143" s="123">
        <f t="shared" si="58"/>
        <v>0</v>
      </c>
      <c r="Z143" s="123">
        <f t="shared" si="51"/>
        <v>0</v>
      </c>
      <c r="AA143" s="123">
        <f t="shared" si="59"/>
        <v>0</v>
      </c>
      <c r="AB143" s="123">
        <f t="shared" si="52"/>
        <v>4779.0983606557375</v>
      </c>
      <c r="AC143" s="123">
        <f t="shared" si="53"/>
        <v>7457.894736842105</v>
      </c>
      <c r="AD143" s="123">
        <f t="shared" si="54"/>
        <v>70687.5</v>
      </c>
      <c r="AE143" s="123">
        <f t="shared" si="62"/>
        <v>28.984045479552535</v>
      </c>
      <c r="AF143" s="123">
        <f t="shared" si="60"/>
        <v>5655</v>
      </c>
      <c r="AG143" s="298">
        <f t="shared" si="63"/>
        <v>0</v>
      </c>
    </row>
    <row r="144" spans="1:33" x14ac:dyDescent="0.35">
      <c r="A144" s="197">
        <v>2449</v>
      </c>
      <c r="B144" s="198">
        <v>3302449</v>
      </c>
      <c r="C144" s="264" t="s">
        <v>334</v>
      </c>
      <c r="D144" s="198" t="s">
        <v>563</v>
      </c>
      <c r="E144" s="198" t="s">
        <v>564</v>
      </c>
      <c r="F144" s="198" t="s">
        <v>49</v>
      </c>
      <c r="G144" s="197" t="s">
        <v>670</v>
      </c>
      <c r="H144" s="197"/>
      <c r="I144" s="265">
        <v>41940.6</v>
      </c>
      <c r="J144" s="265">
        <v>3311.1</v>
      </c>
      <c r="K144" s="267">
        <v>0</v>
      </c>
      <c r="L144" s="267">
        <v>0</v>
      </c>
      <c r="M144" s="267">
        <v>0</v>
      </c>
      <c r="N144" s="269">
        <v>3225.2999999999997</v>
      </c>
      <c r="O144" s="269">
        <v>1715.3157894736842</v>
      </c>
      <c r="P144" s="269">
        <v>4485</v>
      </c>
      <c r="Q144" s="269">
        <v>0</v>
      </c>
      <c r="R144" s="269">
        <v>0</v>
      </c>
      <c r="S144" s="270">
        <f t="shared" si="55"/>
        <v>54677.315789473687</v>
      </c>
      <c r="T144" s="272" t="e">
        <f>#REF!+#REF!+#REF!+#REF!+#REF!+#REF!+#REF!+#REF!+#REF!</f>
        <v>#REF!</v>
      </c>
      <c r="U144" s="273" t="e">
        <f t="shared" si="61"/>
        <v>#REF!</v>
      </c>
      <c r="V144" s="274"/>
      <c r="W144" s="123">
        <f t="shared" si="56"/>
        <v>7410</v>
      </c>
      <c r="X144" s="297">
        <f t="shared" si="57"/>
        <v>585</v>
      </c>
      <c r="Y144" s="123">
        <f t="shared" si="58"/>
        <v>0</v>
      </c>
      <c r="Z144" s="123">
        <f t="shared" si="51"/>
        <v>0</v>
      </c>
      <c r="AA144" s="123">
        <f t="shared" si="59"/>
        <v>0</v>
      </c>
      <c r="AB144" s="123">
        <f t="shared" si="52"/>
        <v>5287.377049180328</v>
      </c>
      <c r="AC144" s="123">
        <f t="shared" si="53"/>
        <v>5914.882032667877</v>
      </c>
      <c r="AD144" s="123">
        <f t="shared" si="54"/>
        <v>56062.5</v>
      </c>
      <c r="AE144" s="123">
        <f t="shared" si="62"/>
        <v>22.98734641481753</v>
      </c>
      <c r="AF144" s="123">
        <f t="shared" si="60"/>
        <v>4485</v>
      </c>
      <c r="AG144" s="298">
        <f t="shared" si="63"/>
        <v>0</v>
      </c>
    </row>
    <row r="145" spans="1:33" ht="26" x14ac:dyDescent="0.35">
      <c r="A145" s="197">
        <v>2450</v>
      </c>
      <c r="B145" s="198">
        <v>3302450</v>
      </c>
      <c r="C145" s="264" t="s">
        <v>335</v>
      </c>
      <c r="D145" s="198" t="s">
        <v>563</v>
      </c>
      <c r="E145" s="198" t="s">
        <v>564</v>
      </c>
      <c r="F145" s="198" t="s">
        <v>49</v>
      </c>
      <c r="G145" s="197" t="s">
        <v>671</v>
      </c>
      <c r="H145" s="197"/>
      <c r="I145" s="265">
        <v>32007.3</v>
      </c>
      <c r="J145" s="265">
        <v>18762.900000000001</v>
      </c>
      <c r="K145" s="267">
        <v>0</v>
      </c>
      <c r="L145" s="267">
        <v>0</v>
      </c>
      <c r="M145" s="267">
        <v>0</v>
      </c>
      <c r="N145" s="269">
        <v>72.149999999999991</v>
      </c>
      <c r="O145" s="269">
        <v>223.73684210526318</v>
      </c>
      <c r="P145" s="269">
        <v>585</v>
      </c>
      <c r="Q145" s="269">
        <v>0</v>
      </c>
      <c r="R145" s="269">
        <v>0</v>
      </c>
      <c r="S145" s="270">
        <f t="shared" si="55"/>
        <v>51651.086842105258</v>
      </c>
      <c r="T145" s="272" t="e">
        <f>#REF!+#REF!+#REF!+#REF!+#REF!+#REF!+#REF!+#REF!+#REF!</f>
        <v>#REF!</v>
      </c>
      <c r="U145" s="273" t="e">
        <f t="shared" si="61"/>
        <v>#REF!</v>
      </c>
      <c r="V145" s="274"/>
      <c r="W145" s="123">
        <f t="shared" si="56"/>
        <v>5655</v>
      </c>
      <c r="X145" s="297">
        <f t="shared" si="57"/>
        <v>3315</v>
      </c>
      <c r="Y145" s="123">
        <f t="shared" si="58"/>
        <v>0</v>
      </c>
      <c r="Z145" s="123">
        <f t="shared" si="51"/>
        <v>0</v>
      </c>
      <c r="AA145" s="123">
        <f t="shared" si="59"/>
        <v>0</v>
      </c>
      <c r="AB145" s="123">
        <f t="shared" si="52"/>
        <v>118.27868852459015</v>
      </c>
      <c r="AC145" s="123">
        <f t="shared" si="53"/>
        <v>771.50635208711446</v>
      </c>
      <c r="AD145" s="123">
        <f t="shared" si="54"/>
        <v>7312.5</v>
      </c>
      <c r="AE145" s="123">
        <f t="shared" si="62"/>
        <v>2.9983495323675045</v>
      </c>
      <c r="AF145" s="123">
        <f t="shared" si="60"/>
        <v>585</v>
      </c>
      <c r="AG145" s="298">
        <f t="shared" si="63"/>
        <v>0</v>
      </c>
    </row>
    <row r="146" spans="1:33" x14ac:dyDescent="0.35">
      <c r="A146" s="197">
        <v>2453</v>
      </c>
      <c r="B146" s="198">
        <v>3302453</v>
      </c>
      <c r="C146" s="264" t="s">
        <v>336</v>
      </c>
      <c r="D146" s="198" t="s">
        <v>563</v>
      </c>
      <c r="E146" s="198" t="s">
        <v>564</v>
      </c>
      <c r="F146" s="198" t="s">
        <v>49</v>
      </c>
      <c r="G146" s="197" t="s">
        <v>672</v>
      </c>
      <c r="H146" s="197"/>
      <c r="I146" s="265">
        <v>28696.2</v>
      </c>
      <c r="J146" s="265">
        <v>0</v>
      </c>
      <c r="K146" s="267">
        <v>0</v>
      </c>
      <c r="L146" s="267">
        <v>0</v>
      </c>
      <c r="M146" s="267">
        <v>0</v>
      </c>
      <c r="N146" s="269">
        <v>951.6</v>
      </c>
      <c r="O146" s="269">
        <v>149.15789473684211</v>
      </c>
      <c r="P146" s="269">
        <v>390</v>
      </c>
      <c r="Q146" s="269">
        <v>0</v>
      </c>
      <c r="R146" s="269">
        <v>0</v>
      </c>
      <c r="S146" s="270">
        <f t="shared" si="55"/>
        <v>30186.957894736843</v>
      </c>
      <c r="T146" s="272" t="e">
        <f>#REF!+#REF!+#REF!+#REF!+#REF!+#REF!+#REF!+#REF!+#REF!</f>
        <v>#REF!</v>
      </c>
      <c r="U146" s="273" t="e">
        <f t="shared" si="61"/>
        <v>#REF!</v>
      </c>
      <c r="V146" s="274"/>
      <c r="W146" s="123">
        <f t="shared" si="56"/>
        <v>5070</v>
      </c>
      <c r="X146" s="297">
        <f t="shared" si="57"/>
        <v>0</v>
      </c>
      <c r="Y146" s="123">
        <f t="shared" si="58"/>
        <v>0</v>
      </c>
      <c r="Z146" s="123">
        <f t="shared" si="51"/>
        <v>0</v>
      </c>
      <c r="AA146" s="123">
        <f t="shared" si="59"/>
        <v>0</v>
      </c>
      <c r="AB146" s="123">
        <f t="shared" si="52"/>
        <v>1560</v>
      </c>
      <c r="AC146" s="123">
        <f t="shared" si="53"/>
        <v>514.33756805807627</v>
      </c>
      <c r="AD146" s="123">
        <f t="shared" si="54"/>
        <v>4875</v>
      </c>
      <c r="AE146" s="123">
        <f t="shared" si="62"/>
        <v>1.9988996882450027</v>
      </c>
      <c r="AF146" s="123">
        <f t="shared" si="60"/>
        <v>390</v>
      </c>
      <c r="AG146" s="298">
        <f t="shared" si="63"/>
        <v>0</v>
      </c>
    </row>
    <row r="147" spans="1:33" x14ac:dyDescent="0.35">
      <c r="A147" s="197">
        <v>2454</v>
      </c>
      <c r="B147" s="198">
        <v>3302454</v>
      </c>
      <c r="C147" s="264" t="s">
        <v>337</v>
      </c>
      <c r="D147" s="198" t="s">
        <v>563</v>
      </c>
      <c r="E147" s="198" t="s">
        <v>450</v>
      </c>
      <c r="F147" s="198" t="s">
        <v>27</v>
      </c>
      <c r="G147" s="197" t="s">
        <v>673</v>
      </c>
      <c r="H147" s="197"/>
      <c r="I147" s="265">
        <v>57392.4</v>
      </c>
      <c r="J147" s="265">
        <v>8829.6</v>
      </c>
      <c r="K147" s="267">
        <v>0</v>
      </c>
      <c r="L147" s="267">
        <v>0</v>
      </c>
      <c r="M147" s="267">
        <v>0</v>
      </c>
      <c r="N147" s="269">
        <v>3408.6000000000004</v>
      </c>
      <c r="O147" s="269">
        <v>1193.2631578947369</v>
      </c>
      <c r="P147" s="269">
        <v>3120</v>
      </c>
      <c r="Q147" s="269">
        <v>0</v>
      </c>
      <c r="R147" s="269">
        <v>0</v>
      </c>
      <c r="S147" s="270">
        <f t="shared" si="55"/>
        <v>73943.863157894739</v>
      </c>
      <c r="T147" s="272" t="e">
        <f>#REF!+#REF!+#REF!+#REF!+#REF!+#REF!+#REF!+#REF!+#REF!</f>
        <v>#REF!</v>
      </c>
      <c r="U147" s="273" t="e">
        <f t="shared" si="61"/>
        <v>#REF!</v>
      </c>
      <c r="V147" s="274"/>
      <c r="W147" s="123">
        <f t="shared" si="56"/>
        <v>10140</v>
      </c>
      <c r="X147" s="123">
        <f t="shared" si="57"/>
        <v>1560</v>
      </c>
      <c r="Y147" s="123">
        <f t="shared" si="58"/>
        <v>0</v>
      </c>
      <c r="Z147" s="123">
        <f t="shared" si="51"/>
        <v>0</v>
      </c>
      <c r="AA147" s="123">
        <f t="shared" si="59"/>
        <v>0</v>
      </c>
      <c r="AB147" s="123">
        <f t="shared" si="52"/>
        <v>5587.868852459017</v>
      </c>
      <c r="AC147" s="123">
        <f t="shared" si="53"/>
        <v>4114.7005444646102</v>
      </c>
      <c r="AD147" s="123">
        <f t="shared" si="54"/>
        <v>39000</v>
      </c>
      <c r="AE147" s="123">
        <f t="shared" si="62"/>
        <v>15.991197505960022</v>
      </c>
      <c r="AF147" s="123">
        <f t="shared" si="60"/>
        <v>3120</v>
      </c>
      <c r="AG147" s="298">
        <f t="shared" si="63"/>
        <v>0</v>
      </c>
    </row>
    <row r="148" spans="1:33" x14ac:dyDescent="0.35">
      <c r="A148" s="197">
        <v>2455</v>
      </c>
      <c r="B148" s="198">
        <v>3302455</v>
      </c>
      <c r="C148" s="264" t="s">
        <v>338</v>
      </c>
      <c r="D148" s="198" t="s">
        <v>563</v>
      </c>
      <c r="E148" s="198" t="s">
        <v>564</v>
      </c>
      <c r="F148" s="198" t="s">
        <v>49</v>
      </c>
      <c r="G148" s="197" t="s">
        <v>674</v>
      </c>
      <c r="H148" s="197"/>
      <c r="I148" s="265">
        <v>40836.9</v>
      </c>
      <c r="J148" s="265">
        <v>12140.7</v>
      </c>
      <c r="K148" s="267">
        <v>0</v>
      </c>
      <c r="L148" s="267">
        <v>0</v>
      </c>
      <c r="M148" s="267">
        <v>0</v>
      </c>
      <c r="N148" s="269">
        <v>1084.2</v>
      </c>
      <c r="O148" s="269">
        <v>745.78947368421052</v>
      </c>
      <c r="P148" s="269">
        <v>1950</v>
      </c>
      <c r="Q148" s="269">
        <v>0</v>
      </c>
      <c r="R148" s="269">
        <v>0</v>
      </c>
      <c r="S148" s="270">
        <f t="shared" si="55"/>
        <v>56757.589473684217</v>
      </c>
      <c r="T148" s="272" t="e">
        <f>#REF!+#REF!+#REF!+#REF!+#REF!+#REF!+#REF!+#REF!+#REF!</f>
        <v>#REF!</v>
      </c>
      <c r="U148" s="273" t="e">
        <f t="shared" si="61"/>
        <v>#REF!</v>
      </c>
      <c r="V148" s="274"/>
      <c r="W148" s="123">
        <f t="shared" si="56"/>
        <v>7215</v>
      </c>
      <c r="X148" s="297">
        <f t="shared" si="57"/>
        <v>2145</v>
      </c>
      <c r="Y148" s="123">
        <f t="shared" si="58"/>
        <v>0</v>
      </c>
      <c r="Z148" s="123">
        <f t="shared" si="51"/>
        <v>0</v>
      </c>
      <c r="AA148" s="123">
        <f t="shared" si="59"/>
        <v>0</v>
      </c>
      <c r="AB148" s="123">
        <f t="shared" si="52"/>
        <v>1777.377049180328</v>
      </c>
      <c r="AC148" s="123">
        <f t="shared" si="53"/>
        <v>2571.6878402903812</v>
      </c>
      <c r="AD148" s="123">
        <f t="shared" si="54"/>
        <v>24375</v>
      </c>
      <c r="AE148" s="123">
        <f t="shared" si="62"/>
        <v>9.9944984412250122</v>
      </c>
      <c r="AF148" s="123">
        <f t="shared" si="60"/>
        <v>1950</v>
      </c>
      <c r="AG148" s="298">
        <f t="shared" si="63"/>
        <v>0</v>
      </c>
    </row>
    <row r="149" spans="1:33" x14ac:dyDescent="0.35">
      <c r="A149" s="197">
        <v>2457</v>
      </c>
      <c r="B149" s="198">
        <v>3302457</v>
      </c>
      <c r="C149" s="264" t="s">
        <v>339</v>
      </c>
      <c r="D149" s="198" t="s">
        <v>563</v>
      </c>
      <c r="E149" s="198" t="s">
        <v>450</v>
      </c>
      <c r="F149" s="198" t="s">
        <v>27</v>
      </c>
      <c r="G149" s="197" t="s">
        <v>675</v>
      </c>
      <c r="H149" s="197"/>
      <c r="I149" s="265">
        <v>26488.799999999999</v>
      </c>
      <c r="J149" s="265">
        <v>0</v>
      </c>
      <c r="K149" s="267">
        <v>0</v>
      </c>
      <c r="L149" s="267">
        <v>0</v>
      </c>
      <c r="M149" s="267">
        <v>0</v>
      </c>
      <c r="N149" s="269">
        <v>1517.1</v>
      </c>
      <c r="O149" s="269">
        <v>0</v>
      </c>
      <c r="P149" s="269">
        <v>2730</v>
      </c>
      <c r="Q149" s="269">
        <v>0</v>
      </c>
      <c r="R149" s="269">
        <v>0</v>
      </c>
      <c r="S149" s="270">
        <f t="shared" si="55"/>
        <v>30735.899999999998</v>
      </c>
      <c r="T149" s="272" t="e">
        <f>#REF!+#REF!+#REF!+#REF!+#REF!+#REF!+#REF!+#REF!+#REF!</f>
        <v>#REF!</v>
      </c>
      <c r="U149" s="273" t="e">
        <f t="shared" si="61"/>
        <v>#REF!</v>
      </c>
      <c r="V149" s="274"/>
      <c r="W149" s="123">
        <f t="shared" si="56"/>
        <v>4680</v>
      </c>
      <c r="X149" s="123">
        <f t="shared" si="57"/>
        <v>0</v>
      </c>
      <c r="Y149" s="123">
        <f t="shared" si="58"/>
        <v>0</v>
      </c>
      <c r="Z149" s="123">
        <f t="shared" si="51"/>
        <v>0</v>
      </c>
      <c r="AA149" s="123">
        <f t="shared" si="59"/>
        <v>0</v>
      </c>
      <c r="AB149" s="123">
        <f t="shared" si="52"/>
        <v>2487.0491803278687</v>
      </c>
      <c r="AC149" s="123">
        <f t="shared" si="53"/>
        <v>0</v>
      </c>
      <c r="AD149" s="123">
        <f t="shared" si="54"/>
        <v>34125</v>
      </c>
      <c r="AE149" s="123">
        <f t="shared" si="62"/>
        <v>0</v>
      </c>
      <c r="AF149" s="123">
        <f t="shared" si="60"/>
        <v>2730</v>
      </c>
      <c r="AG149" s="298">
        <f t="shared" si="63"/>
        <v>0</v>
      </c>
    </row>
    <row r="150" spans="1:33" x14ac:dyDescent="0.35">
      <c r="A150" s="197">
        <v>2458</v>
      </c>
      <c r="B150" s="198">
        <v>3302458</v>
      </c>
      <c r="C150" s="264" t="s">
        <v>340</v>
      </c>
      <c r="D150" s="198" t="s">
        <v>563</v>
      </c>
      <c r="E150" s="198" t="s">
        <v>564</v>
      </c>
      <c r="F150" s="198" t="s">
        <v>49</v>
      </c>
      <c r="G150" s="197" t="s">
        <v>676</v>
      </c>
      <c r="H150" s="197"/>
      <c r="I150" s="265">
        <v>55185</v>
      </c>
      <c r="J150" s="265">
        <v>0</v>
      </c>
      <c r="K150" s="267">
        <v>0</v>
      </c>
      <c r="L150" s="267">
        <v>0</v>
      </c>
      <c r="M150" s="267">
        <v>0</v>
      </c>
      <c r="N150" s="269">
        <v>856.05</v>
      </c>
      <c r="O150" s="269">
        <v>74.578947368421055</v>
      </c>
      <c r="P150" s="269">
        <v>1950</v>
      </c>
      <c r="Q150" s="269">
        <v>0</v>
      </c>
      <c r="R150" s="269">
        <v>0</v>
      </c>
      <c r="S150" s="270">
        <f t="shared" si="55"/>
        <v>58065.628947368423</v>
      </c>
      <c r="T150" s="272" t="e">
        <f>#REF!+#REF!+#REF!+#REF!+#REF!+#REF!+#REF!+#REF!+#REF!</f>
        <v>#REF!</v>
      </c>
      <c r="U150" s="273" t="e">
        <f t="shared" si="61"/>
        <v>#REF!</v>
      </c>
      <c r="V150" s="274"/>
      <c r="W150" s="123">
        <f t="shared" si="56"/>
        <v>9750</v>
      </c>
      <c r="X150" s="297">
        <f t="shared" si="57"/>
        <v>0</v>
      </c>
      <c r="Y150" s="123">
        <f t="shared" si="58"/>
        <v>0</v>
      </c>
      <c r="Z150" s="123">
        <f t="shared" si="51"/>
        <v>0</v>
      </c>
      <c r="AA150" s="123">
        <f t="shared" si="59"/>
        <v>0</v>
      </c>
      <c r="AB150" s="123">
        <f t="shared" si="52"/>
        <v>1403.360655737705</v>
      </c>
      <c r="AC150" s="123">
        <f t="shared" si="53"/>
        <v>257.16878402903814</v>
      </c>
      <c r="AD150" s="123">
        <f t="shared" si="54"/>
        <v>24375</v>
      </c>
      <c r="AE150" s="123">
        <f t="shared" si="62"/>
        <v>0.99944984412250137</v>
      </c>
      <c r="AF150" s="123">
        <f t="shared" si="60"/>
        <v>1950</v>
      </c>
      <c r="AG150" s="298">
        <f t="shared" si="63"/>
        <v>0</v>
      </c>
    </row>
    <row r="151" spans="1:33" x14ac:dyDescent="0.35">
      <c r="A151" s="197">
        <v>2460</v>
      </c>
      <c r="B151" s="198">
        <v>3302460</v>
      </c>
      <c r="C151" s="264" t="s">
        <v>341</v>
      </c>
      <c r="D151" s="198" t="s">
        <v>563</v>
      </c>
      <c r="E151" s="198" t="s">
        <v>564</v>
      </c>
      <c r="F151" s="198" t="s">
        <v>49</v>
      </c>
      <c r="G151" s="197" t="s">
        <v>677</v>
      </c>
      <c r="H151" s="197"/>
      <c r="I151" s="265">
        <v>30903.600000000002</v>
      </c>
      <c r="J151" s="265">
        <v>4414.8</v>
      </c>
      <c r="K151" s="267">
        <v>0</v>
      </c>
      <c r="L151" s="267">
        <v>0</v>
      </c>
      <c r="M151" s="267">
        <v>0</v>
      </c>
      <c r="N151" s="269">
        <v>253.5</v>
      </c>
      <c r="O151" s="269">
        <v>745.78947368421052</v>
      </c>
      <c r="P151" s="269">
        <v>1950</v>
      </c>
      <c r="Q151" s="269">
        <v>0</v>
      </c>
      <c r="R151" s="269">
        <v>0</v>
      </c>
      <c r="S151" s="270">
        <f t="shared" si="55"/>
        <v>38267.689473684215</v>
      </c>
      <c r="T151" s="272" t="e">
        <f>#REF!+#REF!+#REF!+#REF!+#REF!+#REF!+#REF!+#REF!+#REF!</f>
        <v>#REF!</v>
      </c>
      <c r="U151" s="273" t="e">
        <f t="shared" si="61"/>
        <v>#REF!</v>
      </c>
      <c r="V151" s="274"/>
      <c r="W151" s="123">
        <f t="shared" si="56"/>
        <v>5460</v>
      </c>
      <c r="X151" s="297">
        <f t="shared" si="57"/>
        <v>780</v>
      </c>
      <c r="Y151" s="123">
        <f t="shared" si="58"/>
        <v>0</v>
      </c>
      <c r="Z151" s="123">
        <f t="shared" si="51"/>
        <v>0</v>
      </c>
      <c r="AA151" s="123">
        <f t="shared" si="59"/>
        <v>0</v>
      </c>
      <c r="AB151" s="123">
        <f t="shared" si="52"/>
        <v>415.57377049180332</v>
      </c>
      <c r="AC151" s="123">
        <f t="shared" si="53"/>
        <v>2571.6878402903812</v>
      </c>
      <c r="AD151" s="123">
        <f t="shared" si="54"/>
        <v>24375</v>
      </c>
      <c r="AE151" s="123">
        <f t="shared" si="62"/>
        <v>9.9944984412250122</v>
      </c>
      <c r="AF151" s="123">
        <f t="shared" si="60"/>
        <v>1950</v>
      </c>
      <c r="AG151" s="298">
        <f t="shared" si="63"/>
        <v>0</v>
      </c>
    </row>
    <row r="152" spans="1:33" x14ac:dyDescent="0.35">
      <c r="A152" s="197">
        <v>2463</v>
      </c>
      <c r="B152" s="198">
        <v>3302463</v>
      </c>
      <c r="C152" s="264" t="s">
        <v>342</v>
      </c>
      <c r="D152" s="198" t="s">
        <v>563</v>
      </c>
      <c r="E152" s="198" t="s">
        <v>564</v>
      </c>
      <c r="F152" s="198" t="s">
        <v>49</v>
      </c>
      <c r="G152" s="197" t="s">
        <v>678</v>
      </c>
      <c r="H152" s="197"/>
      <c r="I152" s="265">
        <v>27592.5</v>
      </c>
      <c r="J152" s="265">
        <v>15451.800000000001</v>
      </c>
      <c r="K152" s="267">
        <v>0</v>
      </c>
      <c r="L152" s="267">
        <v>0</v>
      </c>
      <c r="M152" s="267">
        <v>0</v>
      </c>
      <c r="N152" s="269">
        <v>15.6</v>
      </c>
      <c r="O152" s="269">
        <v>0</v>
      </c>
      <c r="P152" s="269">
        <v>0</v>
      </c>
      <c r="Q152" s="269">
        <v>0</v>
      </c>
      <c r="R152" s="269">
        <v>0</v>
      </c>
      <c r="S152" s="270">
        <f t="shared" si="55"/>
        <v>43059.9</v>
      </c>
      <c r="T152" s="272" t="e">
        <f>#REF!+#REF!+#REF!+#REF!+#REF!+#REF!+#REF!+#REF!+#REF!</f>
        <v>#REF!</v>
      </c>
      <c r="U152" s="273" t="e">
        <f t="shared" si="61"/>
        <v>#REF!</v>
      </c>
      <c r="V152" s="274"/>
      <c r="W152" s="123">
        <f t="shared" si="56"/>
        <v>4875</v>
      </c>
      <c r="X152" s="297">
        <f t="shared" si="57"/>
        <v>2730</v>
      </c>
      <c r="Y152" s="123">
        <f t="shared" si="58"/>
        <v>0</v>
      </c>
      <c r="Z152" s="123">
        <f t="shared" si="51"/>
        <v>0</v>
      </c>
      <c r="AA152" s="123">
        <f t="shared" si="59"/>
        <v>0</v>
      </c>
      <c r="AB152" s="123">
        <f t="shared" si="52"/>
        <v>25.57377049180328</v>
      </c>
      <c r="AC152" s="123">
        <f t="shared" si="53"/>
        <v>0</v>
      </c>
      <c r="AD152" s="123">
        <f t="shared" si="54"/>
        <v>0</v>
      </c>
      <c r="AE152" s="123">
        <f t="shared" si="62"/>
        <v>0</v>
      </c>
      <c r="AF152" s="123">
        <f t="shared" si="60"/>
        <v>0</v>
      </c>
      <c r="AG152" s="298">
        <f t="shared" si="63"/>
        <v>0</v>
      </c>
    </row>
    <row r="153" spans="1:33" x14ac:dyDescent="0.35">
      <c r="A153" s="197">
        <v>2465</v>
      </c>
      <c r="B153" s="198">
        <v>3302465</v>
      </c>
      <c r="C153" s="264" t="s">
        <v>51</v>
      </c>
      <c r="D153" s="198" t="s">
        <v>563</v>
      </c>
      <c r="E153" s="198" t="s">
        <v>450</v>
      </c>
      <c r="F153" s="198" t="s">
        <v>27</v>
      </c>
      <c r="G153" s="197" t="s">
        <v>679</v>
      </c>
      <c r="H153" s="197"/>
      <c r="I153" s="265">
        <v>33111</v>
      </c>
      <c r="J153" s="265">
        <v>0</v>
      </c>
      <c r="K153" s="267">
        <v>0</v>
      </c>
      <c r="L153" s="267">
        <v>0</v>
      </c>
      <c r="M153" s="267">
        <v>0</v>
      </c>
      <c r="N153" s="269">
        <v>56.55</v>
      </c>
      <c r="O153" s="269">
        <v>0</v>
      </c>
      <c r="P153" s="269">
        <v>1560</v>
      </c>
      <c r="Q153" s="269">
        <v>0</v>
      </c>
      <c r="R153" s="269">
        <v>0</v>
      </c>
      <c r="S153" s="270">
        <f t="shared" si="55"/>
        <v>34727.550000000003</v>
      </c>
      <c r="T153" s="272" t="e">
        <f>#REF!+#REF!+#REF!+#REF!+#REF!+#REF!+#REF!+#REF!+#REF!</f>
        <v>#REF!</v>
      </c>
      <c r="U153" s="273" t="e">
        <f t="shared" si="61"/>
        <v>#REF!</v>
      </c>
      <c r="V153" s="274"/>
      <c r="W153" s="123">
        <f t="shared" si="56"/>
        <v>5850</v>
      </c>
      <c r="X153" s="123">
        <f t="shared" si="57"/>
        <v>0</v>
      </c>
      <c r="Y153" s="123">
        <f t="shared" si="58"/>
        <v>0</v>
      </c>
      <c r="Z153" s="123">
        <f t="shared" si="51"/>
        <v>0</v>
      </c>
      <c r="AA153" s="123">
        <f t="shared" si="59"/>
        <v>0</v>
      </c>
      <c r="AB153" s="123">
        <f t="shared" si="52"/>
        <v>92.704918032786878</v>
      </c>
      <c r="AC153" s="123">
        <f t="shared" si="53"/>
        <v>0</v>
      </c>
      <c r="AD153" s="123">
        <f t="shared" si="54"/>
        <v>19500</v>
      </c>
      <c r="AE153" s="123">
        <f t="shared" si="62"/>
        <v>0</v>
      </c>
      <c r="AF153" s="123">
        <f t="shared" si="60"/>
        <v>1560</v>
      </c>
      <c r="AG153" s="298">
        <f t="shared" si="63"/>
        <v>0</v>
      </c>
    </row>
    <row r="154" spans="1:33" x14ac:dyDescent="0.35">
      <c r="A154" s="197">
        <v>2466</v>
      </c>
      <c r="B154" s="198">
        <v>3302466</v>
      </c>
      <c r="C154" s="264" t="s">
        <v>343</v>
      </c>
      <c r="D154" s="198" t="s">
        <v>563</v>
      </c>
      <c r="E154" s="198" t="s">
        <v>450</v>
      </c>
      <c r="F154" s="198" t="s">
        <v>27</v>
      </c>
      <c r="G154" s="197" t="s">
        <v>680</v>
      </c>
      <c r="H154" s="197"/>
      <c r="I154" s="265">
        <v>49666.5</v>
      </c>
      <c r="J154" s="265">
        <v>6622.2</v>
      </c>
      <c r="K154" s="267">
        <v>0</v>
      </c>
      <c r="L154" s="267">
        <v>0</v>
      </c>
      <c r="M154" s="267">
        <v>0</v>
      </c>
      <c r="N154" s="269">
        <v>1101.75</v>
      </c>
      <c r="O154" s="269">
        <v>0</v>
      </c>
      <c r="P154" s="269">
        <v>2925</v>
      </c>
      <c r="Q154" s="269">
        <v>0</v>
      </c>
      <c r="R154" s="269">
        <v>0</v>
      </c>
      <c r="S154" s="270">
        <f t="shared" si="55"/>
        <v>60315.45</v>
      </c>
      <c r="T154" s="272" t="e">
        <f>#REF!+#REF!+#REF!+#REF!+#REF!+#REF!+#REF!+#REF!+#REF!</f>
        <v>#REF!</v>
      </c>
      <c r="U154" s="273" t="e">
        <f t="shared" si="61"/>
        <v>#REF!</v>
      </c>
      <c r="V154" s="274"/>
      <c r="W154" s="123">
        <f t="shared" si="56"/>
        <v>8775</v>
      </c>
      <c r="X154" s="123">
        <f t="shared" si="57"/>
        <v>1170</v>
      </c>
      <c r="Y154" s="123">
        <f t="shared" si="58"/>
        <v>0</v>
      </c>
      <c r="Z154" s="123">
        <f t="shared" si="51"/>
        <v>0</v>
      </c>
      <c r="AA154" s="123">
        <f t="shared" si="59"/>
        <v>0</v>
      </c>
      <c r="AB154" s="123">
        <f t="shared" si="52"/>
        <v>1806.1475409836066</v>
      </c>
      <c r="AC154" s="123">
        <f t="shared" si="53"/>
        <v>0</v>
      </c>
      <c r="AD154" s="123">
        <f t="shared" si="54"/>
        <v>36562.5</v>
      </c>
      <c r="AE154" s="123">
        <f t="shared" si="62"/>
        <v>0</v>
      </c>
      <c r="AF154" s="123">
        <f t="shared" si="60"/>
        <v>2925</v>
      </c>
      <c r="AG154" s="298">
        <f t="shared" si="63"/>
        <v>0</v>
      </c>
    </row>
    <row r="155" spans="1:33" x14ac:dyDescent="0.35">
      <c r="A155" s="197">
        <v>2471</v>
      </c>
      <c r="B155" s="198">
        <v>3302471</v>
      </c>
      <c r="C155" s="264" t="s">
        <v>344</v>
      </c>
      <c r="D155" s="198" t="s">
        <v>563</v>
      </c>
      <c r="E155" s="198" t="s">
        <v>564</v>
      </c>
      <c r="F155" s="198" t="s">
        <v>49</v>
      </c>
      <c r="G155" s="197" t="s">
        <v>681</v>
      </c>
      <c r="H155" s="197"/>
      <c r="I155" s="265">
        <v>37525.800000000003</v>
      </c>
      <c r="J155" s="265">
        <v>0</v>
      </c>
      <c r="K155" s="267">
        <v>0</v>
      </c>
      <c r="L155" s="267">
        <v>0</v>
      </c>
      <c r="M155" s="267">
        <v>0</v>
      </c>
      <c r="N155" s="269">
        <v>1277.2499999999998</v>
      </c>
      <c r="O155" s="269">
        <v>0</v>
      </c>
      <c r="P155" s="269">
        <v>1755</v>
      </c>
      <c r="Q155" s="269">
        <v>0</v>
      </c>
      <c r="R155" s="269">
        <v>0</v>
      </c>
      <c r="S155" s="270">
        <f t="shared" si="55"/>
        <v>40558.050000000003</v>
      </c>
      <c r="T155" s="272" t="e">
        <f>#REF!+#REF!+#REF!+#REF!+#REF!+#REF!+#REF!+#REF!+#REF!</f>
        <v>#REF!</v>
      </c>
      <c r="U155" s="273" t="e">
        <f t="shared" si="61"/>
        <v>#REF!</v>
      </c>
      <c r="V155" s="274"/>
      <c r="W155" s="123">
        <f t="shared" si="56"/>
        <v>6630</v>
      </c>
      <c r="X155" s="297">
        <f t="shared" si="57"/>
        <v>0</v>
      </c>
      <c r="Y155" s="123">
        <f t="shared" si="58"/>
        <v>0</v>
      </c>
      <c r="Z155" s="123">
        <f t="shared" si="51"/>
        <v>0</v>
      </c>
      <c r="AA155" s="123">
        <f t="shared" si="59"/>
        <v>0</v>
      </c>
      <c r="AB155" s="123">
        <f t="shared" si="52"/>
        <v>2093.8524590163929</v>
      </c>
      <c r="AC155" s="123">
        <f t="shared" si="53"/>
        <v>0</v>
      </c>
      <c r="AD155" s="123">
        <f t="shared" si="54"/>
        <v>21937.5</v>
      </c>
      <c r="AE155" s="123">
        <f t="shared" si="62"/>
        <v>0</v>
      </c>
      <c r="AF155" s="123">
        <f t="shared" si="60"/>
        <v>1755</v>
      </c>
      <c r="AG155" s="298">
        <f t="shared" si="63"/>
        <v>0</v>
      </c>
    </row>
    <row r="156" spans="1:33" ht="26" x14ac:dyDescent="0.35">
      <c r="A156" s="197">
        <v>2478</v>
      </c>
      <c r="B156" s="198">
        <v>3302478</v>
      </c>
      <c r="C156" s="264" t="s">
        <v>171</v>
      </c>
      <c r="D156" s="198" t="s">
        <v>563</v>
      </c>
      <c r="E156" s="198" t="s">
        <v>450</v>
      </c>
      <c r="F156" s="198" t="s">
        <v>27</v>
      </c>
      <c r="G156" s="197" t="s">
        <v>682</v>
      </c>
      <c r="H156" s="197"/>
      <c r="I156" s="265">
        <v>28696.2</v>
      </c>
      <c r="J156" s="265">
        <v>19866.600000000002</v>
      </c>
      <c r="K156" s="267">
        <v>0</v>
      </c>
      <c r="L156" s="267">
        <v>0</v>
      </c>
      <c r="M156" s="267">
        <v>0</v>
      </c>
      <c r="N156" s="269">
        <v>31.2</v>
      </c>
      <c r="O156" s="269">
        <v>149.15789473684211</v>
      </c>
      <c r="P156" s="269">
        <v>390</v>
      </c>
      <c r="Q156" s="269">
        <v>0</v>
      </c>
      <c r="R156" s="269">
        <v>0</v>
      </c>
      <c r="S156" s="270">
        <f t="shared" si="55"/>
        <v>49133.15789473684</v>
      </c>
      <c r="T156" s="272" t="e">
        <f>#REF!+#REF!+#REF!+#REF!+#REF!+#REF!+#REF!+#REF!+#REF!</f>
        <v>#REF!</v>
      </c>
      <c r="U156" s="273" t="e">
        <f t="shared" si="61"/>
        <v>#REF!</v>
      </c>
      <c r="V156" s="274"/>
      <c r="W156" s="123">
        <f t="shared" si="56"/>
        <v>5070</v>
      </c>
      <c r="X156" s="123">
        <f t="shared" si="57"/>
        <v>3510.0000000000005</v>
      </c>
      <c r="Y156" s="123">
        <f t="shared" si="58"/>
        <v>0</v>
      </c>
      <c r="Z156" s="123">
        <f t="shared" si="51"/>
        <v>0</v>
      </c>
      <c r="AA156" s="123">
        <f t="shared" si="59"/>
        <v>0</v>
      </c>
      <c r="AB156" s="123">
        <f t="shared" si="52"/>
        <v>51.147540983606561</v>
      </c>
      <c r="AC156" s="123">
        <f t="shared" si="53"/>
        <v>514.33756805807627</v>
      </c>
      <c r="AD156" s="123">
        <f t="shared" si="54"/>
        <v>4875</v>
      </c>
      <c r="AE156" s="123">
        <f t="shared" si="62"/>
        <v>1.9988996882450027</v>
      </c>
      <c r="AF156" s="123">
        <f t="shared" si="60"/>
        <v>390</v>
      </c>
      <c r="AG156" s="298">
        <f t="shared" si="63"/>
        <v>0</v>
      </c>
    </row>
    <row r="157" spans="1:33" x14ac:dyDescent="0.35">
      <c r="A157" s="197">
        <v>2479</v>
      </c>
      <c r="B157" s="198">
        <v>3302479</v>
      </c>
      <c r="C157" s="264" t="s">
        <v>34</v>
      </c>
      <c r="D157" s="198" t="s">
        <v>563</v>
      </c>
      <c r="E157" s="198" t="s">
        <v>450</v>
      </c>
      <c r="F157" s="198" t="s">
        <v>27</v>
      </c>
      <c r="G157" s="197" t="s">
        <v>683</v>
      </c>
      <c r="H157" s="197"/>
      <c r="I157" s="265">
        <v>84984.900000000009</v>
      </c>
      <c r="J157" s="265">
        <v>12140.7</v>
      </c>
      <c r="K157" s="267">
        <v>0</v>
      </c>
      <c r="L157" s="267">
        <v>0</v>
      </c>
      <c r="M157" s="267">
        <v>0</v>
      </c>
      <c r="N157" s="269">
        <v>4898.3999999999996</v>
      </c>
      <c r="O157" s="269">
        <v>1267.8421052631579</v>
      </c>
      <c r="P157" s="269">
        <v>3315</v>
      </c>
      <c r="Q157" s="269">
        <v>0</v>
      </c>
      <c r="R157" s="269">
        <v>0</v>
      </c>
      <c r="S157" s="270">
        <f t="shared" si="55"/>
        <v>106606.84210526316</v>
      </c>
      <c r="T157" s="272" t="e">
        <f>#REF!+#REF!+#REF!+#REF!+#REF!+#REF!+#REF!+#REF!+#REF!</f>
        <v>#REF!</v>
      </c>
      <c r="U157" s="273" t="e">
        <f t="shared" si="61"/>
        <v>#REF!</v>
      </c>
      <c r="V157" s="274"/>
      <c r="W157" s="123">
        <f t="shared" si="56"/>
        <v>15015.000000000002</v>
      </c>
      <c r="X157" s="123">
        <f t="shared" si="57"/>
        <v>2145</v>
      </c>
      <c r="Y157" s="123">
        <f t="shared" si="58"/>
        <v>0</v>
      </c>
      <c r="Z157" s="123">
        <f t="shared" si="51"/>
        <v>0</v>
      </c>
      <c r="AA157" s="123">
        <f t="shared" si="59"/>
        <v>0</v>
      </c>
      <c r="AB157" s="123">
        <f t="shared" si="52"/>
        <v>8030.1639344262294</v>
      </c>
      <c r="AC157" s="123">
        <f t="shared" si="53"/>
        <v>4371.869328493648</v>
      </c>
      <c r="AD157" s="123">
        <f t="shared" si="54"/>
        <v>41437.5</v>
      </c>
      <c r="AE157" s="123">
        <f t="shared" si="62"/>
        <v>16.990647350082522</v>
      </c>
      <c r="AF157" s="123">
        <f t="shared" si="60"/>
        <v>3315</v>
      </c>
      <c r="AG157" s="298">
        <f t="shared" si="63"/>
        <v>0</v>
      </c>
    </row>
    <row r="158" spans="1:33" x14ac:dyDescent="0.35">
      <c r="A158" s="197">
        <v>2480</v>
      </c>
      <c r="B158" s="198">
        <v>3302480</v>
      </c>
      <c r="C158" s="264" t="s">
        <v>345</v>
      </c>
      <c r="D158" s="198" t="s">
        <v>563</v>
      </c>
      <c r="E158" s="198" t="s">
        <v>564</v>
      </c>
      <c r="F158" s="198" t="s">
        <v>49</v>
      </c>
      <c r="G158" s="197" t="s">
        <v>684</v>
      </c>
      <c r="H158" s="197"/>
      <c r="I158" s="265">
        <v>30903.600000000002</v>
      </c>
      <c r="J158" s="265">
        <v>2207.4</v>
      </c>
      <c r="K158" s="267">
        <v>0</v>
      </c>
      <c r="L158" s="267">
        <v>0</v>
      </c>
      <c r="M158" s="267">
        <v>0</v>
      </c>
      <c r="N158" s="269">
        <v>2911.35</v>
      </c>
      <c r="O158" s="269">
        <v>74.578947368421055</v>
      </c>
      <c r="P158" s="269">
        <v>2145</v>
      </c>
      <c r="Q158" s="269">
        <v>0</v>
      </c>
      <c r="R158" s="269">
        <v>0</v>
      </c>
      <c r="S158" s="270">
        <f t="shared" si="55"/>
        <v>38241.928947368418</v>
      </c>
      <c r="T158" s="272" t="e">
        <f>#REF!+#REF!+#REF!+#REF!+#REF!+#REF!+#REF!+#REF!+#REF!</f>
        <v>#REF!</v>
      </c>
      <c r="U158" s="273" t="e">
        <f t="shared" si="61"/>
        <v>#REF!</v>
      </c>
      <c r="V158" s="274"/>
      <c r="W158" s="123">
        <f t="shared" si="56"/>
        <v>5460</v>
      </c>
      <c r="X158" s="297">
        <f t="shared" si="57"/>
        <v>390</v>
      </c>
      <c r="Y158" s="123">
        <f t="shared" si="58"/>
        <v>0</v>
      </c>
      <c r="Z158" s="123">
        <f t="shared" si="51"/>
        <v>0</v>
      </c>
      <c r="AA158" s="123">
        <f t="shared" si="59"/>
        <v>0</v>
      </c>
      <c r="AB158" s="123">
        <f t="shared" si="52"/>
        <v>4772.7049180327867</v>
      </c>
      <c r="AC158" s="123">
        <f t="shared" si="53"/>
        <v>257.16878402903814</v>
      </c>
      <c r="AD158" s="123">
        <f t="shared" si="54"/>
        <v>26812.5</v>
      </c>
      <c r="AE158" s="123">
        <f t="shared" si="62"/>
        <v>0.99944984412250137</v>
      </c>
      <c r="AF158" s="123">
        <f t="shared" si="60"/>
        <v>2145</v>
      </c>
      <c r="AG158" s="298">
        <f t="shared" si="63"/>
        <v>0</v>
      </c>
    </row>
    <row r="159" spans="1:33" x14ac:dyDescent="0.35">
      <c r="A159" s="197">
        <v>2481</v>
      </c>
      <c r="B159" s="198">
        <v>3302481</v>
      </c>
      <c r="C159" s="264" t="s">
        <v>346</v>
      </c>
      <c r="D159" s="198" t="s">
        <v>563</v>
      </c>
      <c r="E159" s="198" t="s">
        <v>564</v>
      </c>
      <c r="F159" s="198" t="s">
        <v>49</v>
      </c>
      <c r="G159" s="197" t="s">
        <v>685</v>
      </c>
      <c r="H159" s="197"/>
      <c r="I159" s="265">
        <v>50770.200000000004</v>
      </c>
      <c r="J159" s="265">
        <v>3311.1</v>
      </c>
      <c r="K159" s="267">
        <v>0</v>
      </c>
      <c r="L159" s="267">
        <v>0</v>
      </c>
      <c r="M159" s="267">
        <v>0</v>
      </c>
      <c r="N159" s="269">
        <v>690.3</v>
      </c>
      <c r="O159" s="269">
        <v>1342.421052631579</v>
      </c>
      <c r="P159" s="269">
        <v>3510</v>
      </c>
      <c r="Q159" s="269">
        <v>0</v>
      </c>
      <c r="R159" s="269">
        <v>0</v>
      </c>
      <c r="S159" s="270">
        <f t="shared" si="55"/>
        <v>59624.021052631586</v>
      </c>
      <c r="T159" s="272" t="e">
        <f>#REF!+#REF!+#REF!+#REF!+#REF!+#REF!+#REF!+#REF!+#REF!</f>
        <v>#REF!</v>
      </c>
      <c r="U159" s="273" t="e">
        <f t="shared" si="61"/>
        <v>#REF!</v>
      </c>
      <c r="V159" s="274"/>
      <c r="W159" s="123">
        <f t="shared" si="56"/>
        <v>8970</v>
      </c>
      <c r="X159" s="297">
        <f t="shared" si="57"/>
        <v>585</v>
      </c>
      <c r="Y159" s="123">
        <f t="shared" si="58"/>
        <v>0</v>
      </c>
      <c r="Z159" s="123">
        <f t="shared" si="51"/>
        <v>0</v>
      </c>
      <c r="AA159" s="123">
        <f t="shared" si="59"/>
        <v>0</v>
      </c>
      <c r="AB159" s="123">
        <f t="shared" si="52"/>
        <v>1131.639344262295</v>
      </c>
      <c r="AC159" s="123">
        <f t="shared" si="53"/>
        <v>4629.0381125226868</v>
      </c>
      <c r="AD159" s="123">
        <f t="shared" si="54"/>
        <v>43875</v>
      </c>
      <c r="AE159" s="123">
        <f t="shared" si="62"/>
        <v>17.990097194205024</v>
      </c>
      <c r="AF159" s="123">
        <f t="shared" si="60"/>
        <v>3510</v>
      </c>
      <c r="AG159" s="298">
        <f t="shared" si="63"/>
        <v>0</v>
      </c>
    </row>
    <row r="160" spans="1:33" s="282" customFormat="1" x14ac:dyDescent="0.35">
      <c r="A160" s="279">
        <v>2482</v>
      </c>
      <c r="B160" s="280">
        <v>3302482</v>
      </c>
      <c r="C160" s="281" t="s">
        <v>347</v>
      </c>
      <c r="D160" s="198" t="s">
        <v>563</v>
      </c>
      <c r="E160" s="198" t="s">
        <v>564</v>
      </c>
      <c r="F160" s="198" t="s">
        <v>49</v>
      </c>
      <c r="G160" s="197" t="s">
        <v>686</v>
      </c>
      <c r="H160" s="197"/>
      <c r="I160" s="275">
        <v>0</v>
      </c>
      <c r="J160" s="265">
        <v>0</v>
      </c>
      <c r="K160" s="267">
        <v>0</v>
      </c>
      <c r="L160" s="267">
        <v>0</v>
      </c>
      <c r="M160" s="276">
        <v>0</v>
      </c>
      <c r="N160" s="277">
        <v>0</v>
      </c>
      <c r="O160" s="277">
        <v>0</v>
      </c>
      <c r="P160" s="277">
        <v>0</v>
      </c>
      <c r="Q160" s="277" t="s">
        <v>731</v>
      </c>
      <c r="R160" s="277">
        <v>0</v>
      </c>
      <c r="S160" s="270">
        <f t="shared" si="55"/>
        <v>0</v>
      </c>
      <c r="T160" s="272" t="e">
        <f>#REF!+#REF!+#REF!+#REF!+#REF!+#REF!+#REF!+#REF!+#REF!</f>
        <v>#REF!</v>
      </c>
      <c r="U160" s="278" t="e">
        <f t="shared" si="61"/>
        <v>#REF!</v>
      </c>
      <c r="V160" s="274"/>
      <c r="W160" s="123">
        <f t="shared" si="56"/>
        <v>0</v>
      </c>
      <c r="X160" s="297">
        <f t="shared" si="57"/>
        <v>0</v>
      </c>
      <c r="Y160" s="123">
        <f t="shared" si="58"/>
        <v>0</v>
      </c>
      <c r="Z160" s="123">
        <f t="shared" si="51"/>
        <v>0</v>
      </c>
      <c r="AA160" s="123">
        <f t="shared" si="59"/>
        <v>0</v>
      </c>
      <c r="AB160" s="123">
        <f t="shared" si="52"/>
        <v>0</v>
      </c>
      <c r="AC160" s="123">
        <f t="shared" si="53"/>
        <v>0</v>
      </c>
      <c r="AD160" s="123">
        <f t="shared" si="54"/>
        <v>0</v>
      </c>
      <c r="AE160" s="123">
        <f t="shared" si="62"/>
        <v>0</v>
      </c>
      <c r="AF160" s="123">
        <f t="shared" si="60"/>
        <v>0</v>
      </c>
      <c r="AG160" s="298">
        <f t="shared" si="63"/>
        <v>0</v>
      </c>
    </row>
    <row r="161" spans="1:33" x14ac:dyDescent="0.35">
      <c r="A161" s="197">
        <v>2486</v>
      </c>
      <c r="B161" s="198">
        <v>3302486</v>
      </c>
      <c r="C161" s="264" t="s">
        <v>75</v>
      </c>
      <c r="D161" s="198" t="s">
        <v>563</v>
      </c>
      <c r="E161" s="198" t="s">
        <v>450</v>
      </c>
      <c r="F161" s="198" t="s">
        <v>27</v>
      </c>
      <c r="G161" s="197" t="s">
        <v>687</v>
      </c>
      <c r="H161" s="197"/>
      <c r="I161" s="265">
        <v>19866.600000000002</v>
      </c>
      <c r="J161" s="265">
        <v>0</v>
      </c>
      <c r="K161" s="267">
        <v>0</v>
      </c>
      <c r="L161" s="267">
        <v>0</v>
      </c>
      <c r="M161" s="267">
        <v>0</v>
      </c>
      <c r="N161" s="269">
        <v>2016.3</v>
      </c>
      <c r="O161" s="269">
        <v>671.21052631578948</v>
      </c>
      <c r="P161" s="269">
        <v>1755</v>
      </c>
      <c r="Q161" s="269">
        <v>0</v>
      </c>
      <c r="R161" s="269">
        <v>0</v>
      </c>
      <c r="S161" s="270">
        <f t="shared" si="55"/>
        <v>24309.110526315792</v>
      </c>
      <c r="T161" s="272" t="e">
        <f>#REF!+#REF!+#REF!+#REF!+#REF!+#REF!+#REF!+#REF!+#REF!</f>
        <v>#REF!</v>
      </c>
      <c r="U161" s="273" t="e">
        <f t="shared" si="61"/>
        <v>#REF!</v>
      </c>
      <c r="V161" s="274"/>
      <c r="W161" s="123">
        <f t="shared" si="56"/>
        <v>3510.0000000000005</v>
      </c>
      <c r="X161" s="123">
        <f t="shared" si="57"/>
        <v>0</v>
      </c>
      <c r="Y161" s="123">
        <f t="shared" si="58"/>
        <v>0</v>
      </c>
      <c r="Z161" s="123">
        <f t="shared" ref="Z161:Z192" si="64">L161/$Z$8</f>
        <v>0</v>
      </c>
      <c r="AA161" s="123">
        <f t="shared" si="59"/>
        <v>0</v>
      </c>
      <c r="AB161" s="123">
        <f t="shared" ref="AB161:AB192" si="65">N161/$AB$8</f>
        <v>3305.4098360655739</v>
      </c>
      <c r="AC161" s="123">
        <f t="shared" ref="AC161:AC192" si="66">O161/$AC$8</f>
        <v>2314.5190562613434</v>
      </c>
      <c r="AD161" s="123">
        <f t="shared" ref="AD161:AD192" si="67">P161/$AD$8</f>
        <v>21937.5</v>
      </c>
      <c r="AE161" s="123">
        <f t="shared" si="62"/>
        <v>8.995048597102512</v>
      </c>
      <c r="AF161" s="123">
        <f t="shared" si="60"/>
        <v>1755</v>
      </c>
      <c r="AG161" s="298">
        <f t="shared" si="63"/>
        <v>0</v>
      </c>
    </row>
    <row r="162" spans="1:33" ht="26" x14ac:dyDescent="0.35">
      <c r="A162" s="197">
        <v>3002</v>
      </c>
      <c r="B162" s="198">
        <v>3303002</v>
      </c>
      <c r="C162" s="264" t="s">
        <v>348</v>
      </c>
      <c r="D162" s="198" t="s">
        <v>563</v>
      </c>
      <c r="E162" s="198" t="s">
        <v>450</v>
      </c>
      <c r="F162" s="198" t="s">
        <v>27</v>
      </c>
      <c r="G162" s="197" t="s">
        <v>688</v>
      </c>
      <c r="H162" s="197"/>
      <c r="I162" s="265">
        <v>17659.2</v>
      </c>
      <c r="J162" s="265">
        <v>0</v>
      </c>
      <c r="K162" s="267">
        <v>0</v>
      </c>
      <c r="L162" s="267">
        <v>0</v>
      </c>
      <c r="M162" s="267">
        <v>0</v>
      </c>
      <c r="N162" s="269">
        <v>1515.1499999999999</v>
      </c>
      <c r="O162" s="269">
        <v>671.21052631578948</v>
      </c>
      <c r="P162" s="269">
        <v>1755</v>
      </c>
      <c r="Q162" s="269">
        <v>0</v>
      </c>
      <c r="R162" s="269">
        <v>0</v>
      </c>
      <c r="S162" s="270">
        <f t="shared" si="55"/>
        <v>21600.560526315792</v>
      </c>
      <c r="T162" s="272" t="e">
        <f>#REF!+#REF!+#REF!+#REF!+#REF!+#REF!+#REF!+#REF!+#REF!</f>
        <v>#REF!</v>
      </c>
      <c r="U162" s="273" t="e">
        <f t="shared" si="61"/>
        <v>#REF!</v>
      </c>
      <c r="V162" s="274"/>
      <c r="W162" s="123">
        <f t="shared" si="56"/>
        <v>3120</v>
      </c>
      <c r="X162" s="123">
        <f t="shared" si="57"/>
        <v>0</v>
      </c>
      <c r="Y162" s="123">
        <f t="shared" si="58"/>
        <v>0</v>
      </c>
      <c r="Z162" s="123">
        <f t="shared" si="64"/>
        <v>0</v>
      </c>
      <c r="AA162" s="123">
        <f t="shared" si="59"/>
        <v>0</v>
      </c>
      <c r="AB162" s="123">
        <f t="shared" si="65"/>
        <v>2483.8524590163934</v>
      </c>
      <c r="AC162" s="123">
        <f t="shared" si="66"/>
        <v>2314.5190562613434</v>
      </c>
      <c r="AD162" s="123">
        <f t="shared" si="67"/>
        <v>21937.5</v>
      </c>
      <c r="AE162" s="123">
        <f t="shared" si="62"/>
        <v>8.995048597102512</v>
      </c>
      <c r="AF162" s="123">
        <f t="shared" si="60"/>
        <v>1755</v>
      </c>
      <c r="AG162" s="298">
        <f t="shared" si="63"/>
        <v>0</v>
      </c>
    </row>
    <row r="163" spans="1:33" ht="26" x14ac:dyDescent="0.35">
      <c r="A163" s="197">
        <v>3015</v>
      </c>
      <c r="B163" s="198">
        <v>3303015</v>
      </c>
      <c r="C163" s="264" t="s">
        <v>349</v>
      </c>
      <c r="D163" s="198" t="s">
        <v>563</v>
      </c>
      <c r="E163" s="198" t="s">
        <v>564</v>
      </c>
      <c r="F163" s="198" t="s">
        <v>49</v>
      </c>
      <c r="G163" s="197" t="s">
        <v>689</v>
      </c>
      <c r="H163" s="197"/>
      <c r="I163" s="265">
        <v>27592.5</v>
      </c>
      <c r="J163" s="265">
        <v>0</v>
      </c>
      <c r="K163" s="267">
        <v>0</v>
      </c>
      <c r="L163" s="267">
        <v>0</v>
      </c>
      <c r="M163" s="267">
        <v>0</v>
      </c>
      <c r="N163" s="269">
        <v>674.69999999999993</v>
      </c>
      <c r="O163" s="269">
        <v>0</v>
      </c>
      <c r="P163" s="269">
        <v>0</v>
      </c>
      <c r="Q163" s="269">
        <v>0</v>
      </c>
      <c r="R163" s="269">
        <v>0</v>
      </c>
      <c r="S163" s="270">
        <f t="shared" si="55"/>
        <v>28267.200000000001</v>
      </c>
      <c r="T163" s="272" t="e">
        <f>#REF!+#REF!+#REF!+#REF!+#REF!+#REF!+#REF!+#REF!+#REF!</f>
        <v>#REF!</v>
      </c>
      <c r="U163" s="273" t="e">
        <f t="shared" si="61"/>
        <v>#REF!</v>
      </c>
      <c r="V163" s="274"/>
      <c r="W163" s="123">
        <f t="shared" si="56"/>
        <v>4875</v>
      </c>
      <c r="X163" s="297">
        <f t="shared" si="57"/>
        <v>0</v>
      </c>
      <c r="Y163" s="123">
        <f t="shared" si="58"/>
        <v>0</v>
      </c>
      <c r="Z163" s="123">
        <f t="shared" si="64"/>
        <v>0</v>
      </c>
      <c r="AA163" s="123">
        <f t="shared" si="59"/>
        <v>0</v>
      </c>
      <c r="AB163" s="123">
        <f t="shared" si="65"/>
        <v>1106.0655737704917</v>
      </c>
      <c r="AC163" s="123">
        <f t="shared" si="66"/>
        <v>0</v>
      </c>
      <c r="AD163" s="123">
        <f t="shared" si="67"/>
        <v>0</v>
      </c>
      <c r="AE163" s="123">
        <f t="shared" si="62"/>
        <v>0</v>
      </c>
      <c r="AF163" s="123">
        <f t="shared" si="60"/>
        <v>0</v>
      </c>
      <c r="AG163" s="298">
        <f t="shared" si="63"/>
        <v>0</v>
      </c>
    </row>
    <row r="164" spans="1:33" x14ac:dyDescent="0.35">
      <c r="A164" s="197">
        <v>3302</v>
      </c>
      <c r="B164" s="198">
        <v>3303302</v>
      </c>
      <c r="C164" s="264" t="s">
        <v>350</v>
      </c>
      <c r="D164" s="198" t="s">
        <v>563</v>
      </c>
      <c r="E164" s="198" t="s">
        <v>564</v>
      </c>
      <c r="F164" s="198" t="s">
        <v>49</v>
      </c>
      <c r="G164" s="197" t="s">
        <v>690</v>
      </c>
      <c r="H164" s="197"/>
      <c r="I164" s="265">
        <v>39733.200000000004</v>
      </c>
      <c r="J164" s="265">
        <v>15451.800000000001</v>
      </c>
      <c r="K164" s="267">
        <v>0</v>
      </c>
      <c r="L164" s="267">
        <v>0</v>
      </c>
      <c r="M164" s="267">
        <v>0</v>
      </c>
      <c r="N164" s="269">
        <v>820.94999999999993</v>
      </c>
      <c r="O164" s="269">
        <v>596.63157894736844</v>
      </c>
      <c r="P164" s="269">
        <v>1560</v>
      </c>
      <c r="Q164" s="269">
        <v>0</v>
      </c>
      <c r="R164" s="269">
        <v>0</v>
      </c>
      <c r="S164" s="270">
        <f t="shared" si="55"/>
        <v>58162.581578947371</v>
      </c>
      <c r="T164" s="272" t="e">
        <f>#REF!+#REF!+#REF!+#REF!+#REF!+#REF!+#REF!+#REF!+#REF!</f>
        <v>#REF!</v>
      </c>
      <c r="U164" s="273" t="e">
        <f t="shared" si="61"/>
        <v>#REF!</v>
      </c>
      <c r="V164" s="274"/>
      <c r="W164" s="123">
        <f t="shared" si="56"/>
        <v>7020.0000000000009</v>
      </c>
      <c r="X164" s="297">
        <f t="shared" si="57"/>
        <v>2730</v>
      </c>
      <c r="Y164" s="123">
        <f t="shared" si="58"/>
        <v>0</v>
      </c>
      <c r="Z164" s="123">
        <f t="shared" si="64"/>
        <v>0</v>
      </c>
      <c r="AA164" s="123">
        <f t="shared" si="59"/>
        <v>0</v>
      </c>
      <c r="AB164" s="123">
        <f t="shared" si="65"/>
        <v>1345.8196721311474</v>
      </c>
      <c r="AC164" s="123">
        <f t="shared" si="66"/>
        <v>2057.3502722323051</v>
      </c>
      <c r="AD164" s="123">
        <f t="shared" si="67"/>
        <v>19500</v>
      </c>
      <c r="AE164" s="123">
        <f t="shared" si="62"/>
        <v>7.995598752980011</v>
      </c>
      <c r="AF164" s="123">
        <f t="shared" si="60"/>
        <v>1560</v>
      </c>
      <c r="AG164" s="298">
        <f t="shared" si="63"/>
        <v>0</v>
      </c>
    </row>
    <row r="165" spans="1:33" ht="11.15" customHeight="1" x14ac:dyDescent="0.35">
      <c r="A165" s="197">
        <v>3306</v>
      </c>
      <c r="B165" s="198">
        <v>3303306</v>
      </c>
      <c r="C165" s="264" t="s">
        <v>351</v>
      </c>
      <c r="D165" s="198" t="s">
        <v>563</v>
      </c>
      <c r="E165" s="198" t="s">
        <v>564</v>
      </c>
      <c r="F165" s="198" t="s">
        <v>49</v>
      </c>
      <c r="G165" s="197" t="s">
        <v>691</v>
      </c>
      <c r="H165" s="197"/>
      <c r="I165" s="265">
        <v>41940.6</v>
      </c>
      <c r="J165" s="265">
        <v>0</v>
      </c>
      <c r="K165" s="267">
        <v>0</v>
      </c>
      <c r="L165" s="267">
        <v>0</v>
      </c>
      <c r="M165" s="267">
        <v>0</v>
      </c>
      <c r="N165" s="269">
        <v>549.9</v>
      </c>
      <c r="O165" s="269">
        <v>0</v>
      </c>
      <c r="P165" s="269">
        <v>1365</v>
      </c>
      <c r="Q165" s="269">
        <v>0</v>
      </c>
      <c r="R165" s="269">
        <v>0</v>
      </c>
      <c r="S165" s="270">
        <f t="shared" si="55"/>
        <v>43855.5</v>
      </c>
      <c r="T165" s="272" t="e">
        <f>#REF!+#REF!+#REF!+#REF!+#REF!+#REF!+#REF!+#REF!+#REF!</f>
        <v>#REF!</v>
      </c>
      <c r="U165" s="273" t="e">
        <f t="shared" si="61"/>
        <v>#REF!</v>
      </c>
      <c r="V165" s="274"/>
      <c r="W165" s="123">
        <f t="shared" si="56"/>
        <v>7410</v>
      </c>
      <c r="X165" s="297">
        <f t="shared" si="57"/>
        <v>0</v>
      </c>
      <c r="Y165" s="123">
        <f t="shared" si="58"/>
        <v>0</v>
      </c>
      <c r="Z165" s="123">
        <f t="shared" si="64"/>
        <v>0</v>
      </c>
      <c r="AA165" s="123">
        <f t="shared" si="59"/>
        <v>0</v>
      </c>
      <c r="AB165" s="123">
        <f t="shared" si="65"/>
        <v>901.47540983606552</v>
      </c>
      <c r="AC165" s="123">
        <f t="shared" si="66"/>
        <v>0</v>
      </c>
      <c r="AD165" s="123">
        <f t="shared" si="67"/>
        <v>17062.5</v>
      </c>
      <c r="AE165" s="123">
        <f t="shared" si="62"/>
        <v>0</v>
      </c>
      <c r="AF165" s="123">
        <f t="shared" si="60"/>
        <v>1365</v>
      </c>
      <c r="AG165" s="298">
        <f t="shared" si="63"/>
        <v>0</v>
      </c>
    </row>
    <row r="166" spans="1:33" x14ac:dyDescent="0.35">
      <c r="A166" s="197">
        <v>3310</v>
      </c>
      <c r="B166" s="198">
        <v>3303310</v>
      </c>
      <c r="C166" s="264" t="s">
        <v>217</v>
      </c>
      <c r="D166" s="198" t="s">
        <v>563</v>
      </c>
      <c r="E166" s="198" t="s">
        <v>450</v>
      </c>
      <c r="F166" s="198" t="s">
        <v>245</v>
      </c>
      <c r="G166" s="197" t="s">
        <v>692</v>
      </c>
      <c r="H166" s="197"/>
      <c r="I166" s="265">
        <v>27592.5</v>
      </c>
      <c r="J166" s="265">
        <v>1103.7</v>
      </c>
      <c r="K166" s="267">
        <v>0</v>
      </c>
      <c r="L166" s="267">
        <v>0</v>
      </c>
      <c r="M166" s="267">
        <v>0</v>
      </c>
      <c r="N166" s="269">
        <v>2269.7999999999997</v>
      </c>
      <c r="O166" s="269">
        <v>969.52631578947376</v>
      </c>
      <c r="P166" s="269">
        <v>2535</v>
      </c>
      <c r="Q166" s="269">
        <v>0</v>
      </c>
      <c r="R166" s="269">
        <v>0</v>
      </c>
      <c r="S166" s="270">
        <f t="shared" si="55"/>
        <v>34470.526315789473</v>
      </c>
      <c r="T166" s="272" t="e">
        <f>#REF!+#REF!+#REF!+#REF!+#REF!+#REF!+#REF!+#REF!+#REF!</f>
        <v>#REF!</v>
      </c>
      <c r="U166" s="273" t="e">
        <f t="shared" si="61"/>
        <v>#REF!</v>
      </c>
      <c r="V166" s="274"/>
      <c r="W166" s="123">
        <f t="shared" si="56"/>
        <v>4875</v>
      </c>
      <c r="X166" s="123">
        <f t="shared" si="57"/>
        <v>195</v>
      </c>
      <c r="Y166" s="123">
        <f t="shared" si="58"/>
        <v>0</v>
      </c>
      <c r="Z166" s="123">
        <f t="shared" si="64"/>
        <v>0</v>
      </c>
      <c r="AA166" s="123">
        <f t="shared" si="59"/>
        <v>0</v>
      </c>
      <c r="AB166" s="123">
        <f t="shared" si="65"/>
        <v>3720.9836065573768</v>
      </c>
      <c r="AC166" s="123">
        <f t="shared" si="66"/>
        <v>3343.1941923774962</v>
      </c>
      <c r="AD166" s="123">
        <f t="shared" si="67"/>
        <v>31687.5</v>
      </c>
      <c r="AE166" s="123">
        <f t="shared" si="62"/>
        <v>12.992847973592518</v>
      </c>
      <c r="AF166" s="123">
        <f t="shared" si="60"/>
        <v>2535</v>
      </c>
      <c r="AG166" s="298">
        <f t="shared" si="63"/>
        <v>0</v>
      </c>
    </row>
    <row r="167" spans="1:33" ht="26" x14ac:dyDescent="0.35">
      <c r="A167" s="197">
        <v>3311</v>
      </c>
      <c r="B167" s="198">
        <v>3303311</v>
      </c>
      <c r="C167" s="264" t="s">
        <v>352</v>
      </c>
      <c r="D167" s="198" t="s">
        <v>563</v>
      </c>
      <c r="E167" s="198" t="s">
        <v>564</v>
      </c>
      <c r="F167" s="198" t="s">
        <v>49</v>
      </c>
      <c r="G167" s="197" t="s">
        <v>693</v>
      </c>
      <c r="H167" s="197"/>
      <c r="I167" s="265">
        <v>51432.42</v>
      </c>
      <c r="J167" s="265">
        <v>3311.1</v>
      </c>
      <c r="K167" s="267">
        <v>0</v>
      </c>
      <c r="L167" s="267">
        <v>0</v>
      </c>
      <c r="M167" s="267">
        <v>0</v>
      </c>
      <c r="N167" s="269">
        <v>4295.8500000000004</v>
      </c>
      <c r="O167" s="269">
        <v>1342.421052631579</v>
      </c>
      <c r="P167" s="269">
        <v>3510</v>
      </c>
      <c r="Q167" s="269">
        <v>0</v>
      </c>
      <c r="R167" s="269">
        <v>0</v>
      </c>
      <c r="S167" s="270">
        <f t="shared" si="55"/>
        <v>63891.791052631575</v>
      </c>
      <c r="T167" s="272" t="e">
        <f>#REF!+#REF!+#REF!+#REF!+#REF!+#REF!+#REF!+#REF!+#REF!</f>
        <v>#REF!</v>
      </c>
      <c r="U167" s="273" t="e">
        <f t="shared" si="61"/>
        <v>#REF!</v>
      </c>
      <c r="V167" s="274"/>
      <c r="W167" s="123">
        <f t="shared" si="56"/>
        <v>9087</v>
      </c>
      <c r="X167" s="297">
        <f t="shared" si="57"/>
        <v>585</v>
      </c>
      <c r="Y167" s="123">
        <f t="shared" si="58"/>
        <v>0</v>
      </c>
      <c r="Z167" s="123">
        <f t="shared" si="64"/>
        <v>0</v>
      </c>
      <c r="AA167" s="123">
        <f t="shared" si="59"/>
        <v>0</v>
      </c>
      <c r="AB167" s="123">
        <f t="shared" si="65"/>
        <v>7042.3770491803289</v>
      </c>
      <c r="AC167" s="123">
        <f t="shared" si="66"/>
        <v>4629.0381125226868</v>
      </c>
      <c r="AD167" s="123">
        <f t="shared" si="67"/>
        <v>43875</v>
      </c>
      <c r="AE167" s="123">
        <f t="shared" si="62"/>
        <v>17.990097194205024</v>
      </c>
      <c r="AF167" s="123">
        <f t="shared" si="60"/>
        <v>3510</v>
      </c>
      <c r="AG167" s="298">
        <f t="shared" si="63"/>
        <v>0</v>
      </c>
    </row>
    <row r="168" spans="1:33" x14ac:dyDescent="0.35">
      <c r="A168" s="197">
        <v>3314</v>
      </c>
      <c r="B168" s="198">
        <v>3303314</v>
      </c>
      <c r="C168" s="264" t="s">
        <v>353</v>
      </c>
      <c r="D168" s="198" t="s">
        <v>563</v>
      </c>
      <c r="E168" s="198" t="s">
        <v>564</v>
      </c>
      <c r="F168" s="198" t="s">
        <v>49</v>
      </c>
      <c r="G168" s="197" t="s">
        <v>694</v>
      </c>
      <c r="H168" s="197"/>
      <c r="I168" s="265">
        <v>28696.2</v>
      </c>
      <c r="J168" s="265">
        <v>3311.1</v>
      </c>
      <c r="K168" s="267">
        <v>0</v>
      </c>
      <c r="L168" s="267">
        <v>0</v>
      </c>
      <c r="M168" s="267">
        <v>0</v>
      </c>
      <c r="N168" s="269">
        <v>1649.7</v>
      </c>
      <c r="O168" s="269">
        <v>596.63157894736844</v>
      </c>
      <c r="P168" s="269">
        <v>1560</v>
      </c>
      <c r="Q168" s="269">
        <v>0</v>
      </c>
      <c r="R168" s="269">
        <v>0</v>
      </c>
      <c r="S168" s="270">
        <f t="shared" si="55"/>
        <v>35813.631578947367</v>
      </c>
      <c r="T168" s="272" t="e">
        <f>#REF!+#REF!+#REF!+#REF!+#REF!+#REF!+#REF!+#REF!+#REF!</f>
        <v>#REF!</v>
      </c>
      <c r="U168" s="273" t="e">
        <f t="shared" si="61"/>
        <v>#REF!</v>
      </c>
      <c r="V168" s="274"/>
      <c r="W168" s="123">
        <f t="shared" si="56"/>
        <v>5070</v>
      </c>
      <c r="X168" s="297">
        <f t="shared" si="57"/>
        <v>585</v>
      </c>
      <c r="Y168" s="123">
        <f t="shared" si="58"/>
        <v>0</v>
      </c>
      <c r="Z168" s="123">
        <f t="shared" si="64"/>
        <v>0</v>
      </c>
      <c r="AA168" s="123">
        <f t="shared" si="59"/>
        <v>0</v>
      </c>
      <c r="AB168" s="123">
        <f t="shared" si="65"/>
        <v>2704.4262295081967</v>
      </c>
      <c r="AC168" s="123">
        <f t="shared" si="66"/>
        <v>2057.3502722323051</v>
      </c>
      <c r="AD168" s="123">
        <f t="shared" si="67"/>
        <v>19500</v>
      </c>
      <c r="AE168" s="123">
        <f t="shared" si="62"/>
        <v>7.995598752980011</v>
      </c>
      <c r="AF168" s="123">
        <f t="shared" si="60"/>
        <v>1560</v>
      </c>
      <c r="AG168" s="298">
        <f t="shared" si="63"/>
        <v>0</v>
      </c>
    </row>
    <row r="169" spans="1:33" x14ac:dyDescent="0.35">
      <c r="A169" s="197">
        <v>3317</v>
      </c>
      <c r="B169" s="198">
        <v>3303317</v>
      </c>
      <c r="C169" s="264" t="s">
        <v>95</v>
      </c>
      <c r="D169" s="198" t="s">
        <v>563</v>
      </c>
      <c r="E169" s="198" t="s">
        <v>450</v>
      </c>
      <c r="F169" s="198" t="s">
        <v>27</v>
      </c>
      <c r="G169" s="197" t="s">
        <v>695</v>
      </c>
      <c r="H169" s="197"/>
      <c r="I169" s="265">
        <v>28696.2</v>
      </c>
      <c r="J169" s="265">
        <v>2207.4</v>
      </c>
      <c r="K169" s="267">
        <v>0</v>
      </c>
      <c r="L169" s="267">
        <v>0</v>
      </c>
      <c r="M169" s="267">
        <v>0</v>
      </c>
      <c r="N169" s="269">
        <v>393.9</v>
      </c>
      <c r="O169" s="269">
        <v>1044.1052631578948</v>
      </c>
      <c r="P169" s="269">
        <v>2730</v>
      </c>
      <c r="Q169" s="269">
        <v>0</v>
      </c>
      <c r="R169" s="269">
        <v>0</v>
      </c>
      <c r="S169" s="270">
        <f t="shared" si="55"/>
        <v>35071.605263157893</v>
      </c>
      <c r="T169" s="272" t="e">
        <f>#REF!+#REF!+#REF!+#REF!+#REF!+#REF!+#REF!+#REF!+#REF!</f>
        <v>#REF!</v>
      </c>
      <c r="U169" s="273" t="e">
        <f t="shared" si="61"/>
        <v>#REF!</v>
      </c>
      <c r="V169" s="274"/>
      <c r="W169" s="123">
        <f t="shared" si="56"/>
        <v>5070</v>
      </c>
      <c r="X169" s="123">
        <f t="shared" si="57"/>
        <v>390</v>
      </c>
      <c r="Y169" s="123">
        <f t="shared" si="58"/>
        <v>0</v>
      </c>
      <c r="Z169" s="123">
        <f t="shared" si="64"/>
        <v>0</v>
      </c>
      <c r="AA169" s="123">
        <f t="shared" si="59"/>
        <v>0</v>
      </c>
      <c r="AB169" s="123">
        <f t="shared" si="65"/>
        <v>645.73770491803282</v>
      </c>
      <c r="AC169" s="123">
        <f t="shared" si="66"/>
        <v>3600.362976406534</v>
      </c>
      <c r="AD169" s="123">
        <f t="shared" si="67"/>
        <v>34125</v>
      </c>
      <c r="AE169" s="123">
        <f t="shared" si="62"/>
        <v>13.99229781771502</v>
      </c>
      <c r="AF169" s="123">
        <f t="shared" si="60"/>
        <v>2730</v>
      </c>
      <c r="AG169" s="298">
        <f t="shared" si="63"/>
        <v>0</v>
      </c>
    </row>
    <row r="170" spans="1:33" ht="26" x14ac:dyDescent="0.35">
      <c r="A170" s="197">
        <v>3319</v>
      </c>
      <c r="B170" s="198">
        <v>3303319</v>
      </c>
      <c r="C170" s="264" t="s">
        <v>61</v>
      </c>
      <c r="D170" s="198" t="s">
        <v>563</v>
      </c>
      <c r="E170" s="198" t="s">
        <v>450</v>
      </c>
      <c r="F170" s="198" t="s">
        <v>27</v>
      </c>
      <c r="G170" s="197" t="s">
        <v>696</v>
      </c>
      <c r="H170" s="197"/>
      <c r="I170" s="265">
        <v>38629.5</v>
      </c>
      <c r="J170" s="265">
        <v>11037</v>
      </c>
      <c r="K170" s="267">
        <v>0</v>
      </c>
      <c r="L170" s="267">
        <v>0</v>
      </c>
      <c r="M170" s="267">
        <v>0</v>
      </c>
      <c r="N170" s="269">
        <v>2068.9499999999998</v>
      </c>
      <c r="O170" s="269">
        <v>1491.578947368421</v>
      </c>
      <c r="P170" s="269">
        <v>3900</v>
      </c>
      <c r="Q170" s="269">
        <v>0</v>
      </c>
      <c r="R170" s="269">
        <v>0</v>
      </c>
      <c r="S170" s="270">
        <f t="shared" si="55"/>
        <v>57127.028947368417</v>
      </c>
      <c r="T170" s="272" t="e">
        <f>#REF!+#REF!+#REF!+#REF!+#REF!+#REF!+#REF!+#REF!+#REF!</f>
        <v>#REF!</v>
      </c>
      <c r="U170" s="273" t="e">
        <f t="shared" si="61"/>
        <v>#REF!</v>
      </c>
      <c r="V170" s="274"/>
      <c r="W170" s="123">
        <f t="shared" si="56"/>
        <v>6825</v>
      </c>
      <c r="X170" s="123">
        <f t="shared" si="57"/>
        <v>1950</v>
      </c>
      <c r="Y170" s="123">
        <f t="shared" si="58"/>
        <v>0</v>
      </c>
      <c r="Z170" s="123">
        <f t="shared" si="64"/>
        <v>0</v>
      </c>
      <c r="AA170" s="123">
        <f t="shared" si="59"/>
        <v>0</v>
      </c>
      <c r="AB170" s="123">
        <f t="shared" si="65"/>
        <v>3391.7213114754095</v>
      </c>
      <c r="AC170" s="123">
        <f t="shared" si="66"/>
        <v>5143.3756805807625</v>
      </c>
      <c r="AD170" s="123">
        <f t="shared" si="67"/>
        <v>48750</v>
      </c>
      <c r="AE170" s="123">
        <f t="shared" si="62"/>
        <v>19.988996882450024</v>
      </c>
      <c r="AF170" s="123">
        <f t="shared" si="60"/>
        <v>3900</v>
      </c>
      <c r="AG170" s="298">
        <f t="shared" si="63"/>
        <v>0</v>
      </c>
    </row>
    <row r="171" spans="1:33" x14ac:dyDescent="0.35">
      <c r="A171" s="197">
        <v>3322</v>
      </c>
      <c r="B171" s="198">
        <v>3303322</v>
      </c>
      <c r="C171" s="264" t="s">
        <v>111</v>
      </c>
      <c r="D171" s="198" t="s">
        <v>563</v>
      </c>
      <c r="E171" s="198" t="s">
        <v>564</v>
      </c>
      <c r="F171" s="198" t="s">
        <v>49</v>
      </c>
      <c r="G171" s="197" t="s">
        <v>697</v>
      </c>
      <c r="H171" s="197"/>
      <c r="I171" s="265">
        <v>29799.9</v>
      </c>
      <c r="J171" s="265">
        <v>12140.7</v>
      </c>
      <c r="K171" s="267">
        <v>0</v>
      </c>
      <c r="L171" s="267">
        <v>0</v>
      </c>
      <c r="M171" s="267">
        <v>0</v>
      </c>
      <c r="N171" s="269">
        <v>723.45</v>
      </c>
      <c r="O171" s="269">
        <v>0</v>
      </c>
      <c r="P171" s="269">
        <v>1365</v>
      </c>
      <c r="Q171" s="269">
        <v>0</v>
      </c>
      <c r="R171" s="269">
        <v>0</v>
      </c>
      <c r="S171" s="270">
        <f t="shared" ref="S171:S202" si="68">SUM(I171:R171)</f>
        <v>44029.05</v>
      </c>
      <c r="T171" s="272" t="e">
        <f>#REF!+#REF!+#REF!+#REF!+#REF!+#REF!+#REF!+#REF!+#REF!</f>
        <v>#REF!</v>
      </c>
      <c r="U171" s="273" t="e">
        <f t="shared" si="61"/>
        <v>#REF!</v>
      </c>
      <c r="V171" s="274"/>
      <c r="W171" s="123">
        <f t="shared" ref="W171:W201" si="69">(I171+R171)/$W$8</f>
        <v>5265</v>
      </c>
      <c r="X171" s="297">
        <f t="shared" ref="X171:X201" si="70">J171/$X$8</f>
        <v>2145</v>
      </c>
      <c r="Y171" s="123">
        <f t="shared" ref="Y171:Y201" si="71">(K171+Q171)/$Y$8</f>
        <v>0</v>
      </c>
      <c r="Z171" s="123">
        <f t="shared" si="64"/>
        <v>0</v>
      </c>
      <c r="AA171" s="123">
        <f t="shared" ref="AA171:AA201" si="72">L171/$AA$8</f>
        <v>0</v>
      </c>
      <c r="AB171" s="123">
        <f t="shared" si="65"/>
        <v>1185.9836065573772</v>
      </c>
      <c r="AC171" s="123">
        <f t="shared" si="66"/>
        <v>0</v>
      </c>
      <c r="AD171" s="123">
        <f t="shared" si="67"/>
        <v>17062.5</v>
      </c>
      <c r="AE171" s="123">
        <f t="shared" si="62"/>
        <v>0</v>
      </c>
      <c r="AF171" s="123">
        <f t="shared" ref="AF171:AF201" si="73">P171/$AF$8</f>
        <v>1365</v>
      </c>
      <c r="AG171" s="298">
        <f t="shared" si="63"/>
        <v>0</v>
      </c>
    </row>
    <row r="172" spans="1:33" ht="26" x14ac:dyDescent="0.35">
      <c r="A172" s="197">
        <v>3323</v>
      </c>
      <c r="B172" s="198">
        <v>3303323</v>
      </c>
      <c r="C172" s="264" t="s">
        <v>354</v>
      </c>
      <c r="D172" s="198" t="s">
        <v>563</v>
      </c>
      <c r="E172" s="198" t="s">
        <v>450</v>
      </c>
      <c r="F172" s="198" t="s">
        <v>27</v>
      </c>
      <c r="G172" s="197" t="s">
        <v>698</v>
      </c>
      <c r="H172" s="197"/>
      <c r="I172" s="265">
        <v>17659.2</v>
      </c>
      <c r="J172" s="265">
        <v>0</v>
      </c>
      <c r="K172" s="267">
        <v>0</v>
      </c>
      <c r="L172" s="267">
        <v>0</v>
      </c>
      <c r="M172" s="267">
        <v>0</v>
      </c>
      <c r="N172" s="269">
        <v>760.49999999999989</v>
      </c>
      <c r="O172" s="269">
        <v>0</v>
      </c>
      <c r="P172" s="269">
        <v>1365</v>
      </c>
      <c r="Q172" s="269">
        <v>0</v>
      </c>
      <c r="R172" s="269">
        <v>0</v>
      </c>
      <c r="S172" s="270">
        <f t="shared" si="68"/>
        <v>19784.7</v>
      </c>
      <c r="T172" s="272" t="e">
        <f>#REF!+#REF!+#REF!+#REF!+#REF!+#REF!+#REF!+#REF!+#REF!</f>
        <v>#REF!</v>
      </c>
      <c r="U172" s="273" t="e">
        <f t="shared" si="61"/>
        <v>#REF!</v>
      </c>
      <c r="V172" s="274"/>
      <c r="W172" s="123">
        <f t="shared" si="69"/>
        <v>3120</v>
      </c>
      <c r="X172" s="123">
        <f t="shared" si="70"/>
        <v>0</v>
      </c>
      <c r="Y172" s="123">
        <f t="shared" si="71"/>
        <v>0</v>
      </c>
      <c r="Z172" s="123">
        <f t="shared" si="64"/>
        <v>0</v>
      </c>
      <c r="AA172" s="123">
        <f t="shared" si="72"/>
        <v>0</v>
      </c>
      <c r="AB172" s="123">
        <f t="shared" si="65"/>
        <v>1246.7213114754097</v>
      </c>
      <c r="AC172" s="123">
        <f t="shared" si="66"/>
        <v>0</v>
      </c>
      <c r="AD172" s="123">
        <f t="shared" si="67"/>
        <v>17062.5</v>
      </c>
      <c r="AE172" s="123">
        <f t="shared" si="62"/>
        <v>0</v>
      </c>
      <c r="AF172" s="123">
        <f t="shared" si="73"/>
        <v>1365</v>
      </c>
      <c r="AG172" s="298">
        <f t="shared" si="63"/>
        <v>0</v>
      </c>
    </row>
    <row r="173" spans="1:33" x14ac:dyDescent="0.35">
      <c r="A173" s="197">
        <v>3325</v>
      </c>
      <c r="B173" s="198">
        <v>3303325</v>
      </c>
      <c r="C173" s="264" t="s">
        <v>355</v>
      </c>
      <c r="D173" s="198" t="s">
        <v>563</v>
      </c>
      <c r="E173" s="198" t="s">
        <v>564</v>
      </c>
      <c r="F173" s="198" t="s">
        <v>49</v>
      </c>
      <c r="G173" s="197" t="s">
        <v>699</v>
      </c>
      <c r="H173" s="197"/>
      <c r="I173" s="265">
        <v>25385.100000000002</v>
      </c>
      <c r="J173" s="265">
        <v>1103.7</v>
      </c>
      <c r="K173" s="267">
        <v>0</v>
      </c>
      <c r="L173" s="267">
        <v>0</v>
      </c>
      <c r="M173" s="267">
        <v>0</v>
      </c>
      <c r="N173" s="269">
        <v>315.89999999999998</v>
      </c>
      <c r="O173" s="269">
        <v>372.89473684210526</v>
      </c>
      <c r="P173" s="269">
        <v>975</v>
      </c>
      <c r="Q173" s="269">
        <v>0</v>
      </c>
      <c r="R173" s="269">
        <v>0</v>
      </c>
      <c r="S173" s="270">
        <f t="shared" si="68"/>
        <v>28152.594736842111</v>
      </c>
      <c r="T173" s="272" t="e">
        <f>#REF!+#REF!+#REF!+#REF!+#REF!+#REF!+#REF!+#REF!+#REF!</f>
        <v>#REF!</v>
      </c>
      <c r="U173" s="273" t="e">
        <f t="shared" si="61"/>
        <v>#REF!</v>
      </c>
      <c r="V173" s="274"/>
      <c r="W173" s="123">
        <f t="shared" si="69"/>
        <v>4485</v>
      </c>
      <c r="X173" s="297">
        <f t="shared" si="70"/>
        <v>195</v>
      </c>
      <c r="Y173" s="123">
        <f t="shared" si="71"/>
        <v>0</v>
      </c>
      <c r="Z173" s="123">
        <f t="shared" si="64"/>
        <v>0</v>
      </c>
      <c r="AA173" s="123">
        <f t="shared" si="72"/>
        <v>0</v>
      </c>
      <c r="AB173" s="123">
        <f t="shared" si="65"/>
        <v>517.86885245901635</v>
      </c>
      <c r="AC173" s="123">
        <f t="shared" si="66"/>
        <v>1285.8439201451906</v>
      </c>
      <c r="AD173" s="123">
        <f t="shared" si="67"/>
        <v>12187.5</v>
      </c>
      <c r="AE173" s="123">
        <f t="shared" si="62"/>
        <v>4.9972492206125061</v>
      </c>
      <c r="AF173" s="123">
        <f t="shared" si="73"/>
        <v>975</v>
      </c>
      <c r="AG173" s="298">
        <f t="shared" si="63"/>
        <v>0</v>
      </c>
    </row>
    <row r="174" spans="1:33" ht="26" x14ac:dyDescent="0.35">
      <c r="A174" s="197">
        <v>3328</v>
      </c>
      <c r="B174" s="198">
        <v>3303328</v>
      </c>
      <c r="C174" s="264" t="s">
        <v>356</v>
      </c>
      <c r="D174" s="198" t="s">
        <v>563</v>
      </c>
      <c r="E174" s="198" t="s">
        <v>450</v>
      </c>
      <c r="F174" s="198" t="s">
        <v>27</v>
      </c>
      <c r="G174" s="197" t="s">
        <v>700</v>
      </c>
      <c r="H174" s="197"/>
      <c r="I174" s="265">
        <v>13244.4</v>
      </c>
      <c r="J174" s="265">
        <v>0</v>
      </c>
      <c r="K174" s="267">
        <v>0</v>
      </c>
      <c r="L174" s="267">
        <v>0</v>
      </c>
      <c r="M174" s="267">
        <v>0</v>
      </c>
      <c r="N174" s="269">
        <v>294.45</v>
      </c>
      <c r="O174" s="269">
        <v>0</v>
      </c>
      <c r="P174" s="269">
        <v>0</v>
      </c>
      <c r="Q174" s="269">
        <v>0</v>
      </c>
      <c r="R174" s="269">
        <v>0</v>
      </c>
      <c r="S174" s="270">
        <f t="shared" si="68"/>
        <v>13538.85</v>
      </c>
      <c r="T174" s="272" t="e">
        <f>#REF!+#REF!+#REF!+#REF!+#REF!+#REF!+#REF!+#REF!+#REF!</f>
        <v>#REF!</v>
      </c>
      <c r="U174" s="273" t="e">
        <f t="shared" si="61"/>
        <v>#REF!</v>
      </c>
      <c r="V174" s="274"/>
      <c r="W174" s="123">
        <f t="shared" si="69"/>
        <v>2340</v>
      </c>
      <c r="X174" s="123">
        <f t="shared" si="70"/>
        <v>0</v>
      </c>
      <c r="Y174" s="123">
        <f t="shared" si="71"/>
        <v>0</v>
      </c>
      <c r="Z174" s="123">
        <f t="shared" si="64"/>
        <v>0</v>
      </c>
      <c r="AA174" s="123">
        <f t="shared" si="72"/>
        <v>0</v>
      </c>
      <c r="AB174" s="123">
        <f t="shared" si="65"/>
        <v>482.70491803278685</v>
      </c>
      <c r="AC174" s="123">
        <f t="shared" si="66"/>
        <v>0</v>
      </c>
      <c r="AD174" s="123">
        <f t="shared" si="67"/>
        <v>0</v>
      </c>
      <c r="AE174" s="123">
        <f t="shared" si="62"/>
        <v>0</v>
      </c>
      <c r="AF174" s="123">
        <f t="shared" si="73"/>
        <v>0</v>
      </c>
      <c r="AG174" s="298">
        <f t="shared" si="63"/>
        <v>0</v>
      </c>
    </row>
    <row r="175" spans="1:33" ht="26" x14ac:dyDescent="0.35">
      <c r="A175" s="197">
        <v>3329</v>
      </c>
      <c r="B175" s="198">
        <v>3303329</v>
      </c>
      <c r="C175" s="264" t="s">
        <v>209</v>
      </c>
      <c r="D175" s="198" t="s">
        <v>563</v>
      </c>
      <c r="E175" s="198" t="s">
        <v>450</v>
      </c>
      <c r="F175" s="198" t="s">
        <v>245</v>
      </c>
      <c r="G175" s="197" t="s">
        <v>701</v>
      </c>
      <c r="H175" s="197"/>
      <c r="I175" s="265">
        <v>29799.9</v>
      </c>
      <c r="J175" s="265">
        <v>3311.1</v>
      </c>
      <c r="K175" s="267">
        <v>0</v>
      </c>
      <c r="L175" s="267">
        <v>0</v>
      </c>
      <c r="M175" s="267">
        <v>0</v>
      </c>
      <c r="N175" s="269">
        <v>585</v>
      </c>
      <c r="O175" s="269">
        <v>596.63157894736844</v>
      </c>
      <c r="P175" s="269">
        <v>1560</v>
      </c>
      <c r="Q175" s="269">
        <v>0</v>
      </c>
      <c r="R175" s="269">
        <v>0</v>
      </c>
      <c r="S175" s="270">
        <f t="shared" si="68"/>
        <v>35852.631578947367</v>
      </c>
      <c r="T175" s="272" t="e">
        <f>#REF!+#REF!+#REF!+#REF!+#REF!+#REF!+#REF!+#REF!+#REF!</f>
        <v>#REF!</v>
      </c>
      <c r="U175" s="273" t="e">
        <f t="shared" si="61"/>
        <v>#REF!</v>
      </c>
      <c r="V175" s="274"/>
      <c r="W175" s="123">
        <f t="shared" si="69"/>
        <v>5265</v>
      </c>
      <c r="X175" s="123">
        <f t="shared" si="70"/>
        <v>585</v>
      </c>
      <c r="Y175" s="123">
        <f t="shared" si="71"/>
        <v>0</v>
      </c>
      <c r="Z175" s="123">
        <f t="shared" si="64"/>
        <v>0</v>
      </c>
      <c r="AA175" s="123">
        <f t="shared" si="72"/>
        <v>0</v>
      </c>
      <c r="AB175" s="123">
        <f t="shared" si="65"/>
        <v>959.01639344262298</v>
      </c>
      <c r="AC175" s="123">
        <f t="shared" si="66"/>
        <v>2057.3502722323051</v>
      </c>
      <c r="AD175" s="123">
        <f t="shared" si="67"/>
        <v>19500</v>
      </c>
      <c r="AE175" s="123">
        <f t="shared" si="62"/>
        <v>7.995598752980011</v>
      </c>
      <c r="AF175" s="123">
        <f t="shared" si="73"/>
        <v>1560</v>
      </c>
      <c r="AG175" s="298">
        <f t="shared" si="63"/>
        <v>0</v>
      </c>
    </row>
    <row r="176" spans="1:33" x14ac:dyDescent="0.35">
      <c r="A176" s="197">
        <v>3330</v>
      </c>
      <c r="B176" s="198">
        <v>3303330</v>
      </c>
      <c r="C176" s="264" t="s">
        <v>357</v>
      </c>
      <c r="D176" s="198" t="s">
        <v>563</v>
      </c>
      <c r="E176" s="198" t="s">
        <v>564</v>
      </c>
      <c r="F176" s="198" t="s">
        <v>49</v>
      </c>
      <c r="G176" s="197" t="s">
        <v>702</v>
      </c>
      <c r="H176" s="197"/>
      <c r="I176" s="265">
        <v>39733.200000000004</v>
      </c>
      <c r="J176" s="265">
        <v>12140.7</v>
      </c>
      <c r="K176" s="267">
        <v>0</v>
      </c>
      <c r="L176" s="267">
        <v>0</v>
      </c>
      <c r="M176" s="267">
        <v>0</v>
      </c>
      <c r="N176" s="269">
        <v>1632.1499999999999</v>
      </c>
      <c r="O176" s="269">
        <v>0</v>
      </c>
      <c r="P176" s="269">
        <v>0</v>
      </c>
      <c r="Q176" s="269">
        <v>0</v>
      </c>
      <c r="R176" s="269">
        <v>0</v>
      </c>
      <c r="S176" s="270">
        <f t="shared" si="68"/>
        <v>53506.05000000001</v>
      </c>
      <c r="T176" s="272" t="e">
        <f>#REF!+#REF!+#REF!+#REF!+#REF!+#REF!+#REF!+#REF!+#REF!</f>
        <v>#REF!</v>
      </c>
      <c r="U176" s="273" t="e">
        <f t="shared" si="61"/>
        <v>#REF!</v>
      </c>
      <c r="V176" s="274"/>
      <c r="W176" s="123">
        <f t="shared" si="69"/>
        <v>7020.0000000000009</v>
      </c>
      <c r="X176" s="297">
        <f t="shared" si="70"/>
        <v>2145</v>
      </c>
      <c r="Y176" s="123">
        <f t="shared" si="71"/>
        <v>0</v>
      </c>
      <c r="Z176" s="123">
        <f t="shared" si="64"/>
        <v>0</v>
      </c>
      <c r="AA176" s="123">
        <f t="shared" si="72"/>
        <v>0</v>
      </c>
      <c r="AB176" s="123">
        <f t="shared" si="65"/>
        <v>2675.655737704918</v>
      </c>
      <c r="AC176" s="123">
        <f t="shared" si="66"/>
        <v>0</v>
      </c>
      <c r="AD176" s="123">
        <f t="shared" si="67"/>
        <v>0</v>
      </c>
      <c r="AE176" s="123">
        <f t="shared" si="62"/>
        <v>0</v>
      </c>
      <c r="AF176" s="123">
        <f t="shared" si="73"/>
        <v>0</v>
      </c>
      <c r="AG176" s="298">
        <f t="shared" si="63"/>
        <v>0</v>
      </c>
    </row>
    <row r="177" spans="1:33" ht="26" x14ac:dyDescent="0.35">
      <c r="A177" s="197">
        <v>3331</v>
      </c>
      <c r="B177" s="198">
        <v>3303331</v>
      </c>
      <c r="C177" s="264" t="s">
        <v>358</v>
      </c>
      <c r="D177" s="198" t="s">
        <v>563</v>
      </c>
      <c r="E177" s="198" t="s">
        <v>450</v>
      </c>
      <c r="F177" s="198" t="s">
        <v>27</v>
      </c>
      <c r="G177" s="197" t="s">
        <v>703</v>
      </c>
      <c r="H177" s="197"/>
      <c r="I177" s="265">
        <v>46355.4</v>
      </c>
      <c r="J177" s="265">
        <v>7725.9000000000005</v>
      </c>
      <c r="K177" s="267">
        <v>0</v>
      </c>
      <c r="L177" s="267">
        <v>0</v>
      </c>
      <c r="M177" s="267">
        <v>0</v>
      </c>
      <c r="N177" s="269">
        <v>1856.3999999999999</v>
      </c>
      <c r="O177" s="269">
        <v>894.94736842105272</v>
      </c>
      <c r="P177" s="269">
        <v>2340</v>
      </c>
      <c r="Q177" s="269">
        <v>0</v>
      </c>
      <c r="R177" s="269">
        <v>0</v>
      </c>
      <c r="S177" s="270">
        <f t="shared" si="68"/>
        <v>59172.647368421058</v>
      </c>
      <c r="T177" s="272" t="e">
        <f>#REF!+#REF!+#REF!+#REF!+#REF!+#REF!+#REF!+#REF!+#REF!</f>
        <v>#REF!</v>
      </c>
      <c r="U177" s="273" t="e">
        <f t="shared" si="61"/>
        <v>#REF!</v>
      </c>
      <c r="V177" s="274"/>
      <c r="W177" s="123">
        <f t="shared" si="69"/>
        <v>8190</v>
      </c>
      <c r="X177" s="123">
        <f t="shared" si="70"/>
        <v>1365</v>
      </c>
      <c r="Y177" s="123">
        <f t="shared" si="71"/>
        <v>0</v>
      </c>
      <c r="Z177" s="123">
        <f t="shared" si="64"/>
        <v>0</v>
      </c>
      <c r="AA177" s="123">
        <f t="shared" si="72"/>
        <v>0</v>
      </c>
      <c r="AB177" s="123">
        <f t="shared" si="65"/>
        <v>3043.2786885245901</v>
      </c>
      <c r="AC177" s="123">
        <f t="shared" si="66"/>
        <v>3086.0254083484579</v>
      </c>
      <c r="AD177" s="123">
        <f t="shared" si="67"/>
        <v>29250</v>
      </c>
      <c r="AE177" s="123">
        <f t="shared" si="62"/>
        <v>11.993398129470018</v>
      </c>
      <c r="AF177" s="123">
        <f t="shared" si="73"/>
        <v>2340</v>
      </c>
      <c r="AG177" s="298">
        <f t="shared" si="63"/>
        <v>0</v>
      </c>
    </row>
    <row r="178" spans="1:33" ht="26" x14ac:dyDescent="0.35">
      <c r="A178" s="197">
        <v>3346</v>
      </c>
      <c r="B178" s="198">
        <v>3303346</v>
      </c>
      <c r="C178" s="264" t="s">
        <v>213</v>
      </c>
      <c r="D178" s="198" t="s">
        <v>563</v>
      </c>
      <c r="E178" s="198" t="s">
        <v>450</v>
      </c>
      <c r="F178" s="198" t="s">
        <v>27</v>
      </c>
      <c r="G178" s="197" t="s">
        <v>704</v>
      </c>
      <c r="H178" s="197"/>
      <c r="I178" s="265">
        <v>27592.5</v>
      </c>
      <c r="J178" s="265">
        <v>4414.8</v>
      </c>
      <c r="K178" s="267">
        <v>0</v>
      </c>
      <c r="L178" s="267">
        <v>0</v>
      </c>
      <c r="M178" s="267">
        <v>0</v>
      </c>
      <c r="N178" s="269">
        <v>1571.6999999999998</v>
      </c>
      <c r="O178" s="269">
        <v>0</v>
      </c>
      <c r="P178" s="269">
        <v>585</v>
      </c>
      <c r="Q178" s="269">
        <v>0</v>
      </c>
      <c r="R178" s="269">
        <v>0</v>
      </c>
      <c r="S178" s="270">
        <f t="shared" si="68"/>
        <v>34164</v>
      </c>
      <c r="T178" s="272" t="e">
        <f>#REF!+#REF!+#REF!+#REF!+#REF!+#REF!+#REF!+#REF!+#REF!</f>
        <v>#REF!</v>
      </c>
      <c r="U178" s="273" t="e">
        <f t="shared" si="61"/>
        <v>#REF!</v>
      </c>
      <c r="V178" s="274"/>
      <c r="W178" s="123">
        <f t="shared" si="69"/>
        <v>4875</v>
      </c>
      <c r="X178" s="123">
        <f t="shared" si="70"/>
        <v>780</v>
      </c>
      <c r="Y178" s="123">
        <f t="shared" si="71"/>
        <v>0</v>
      </c>
      <c r="Z178" s="123">
        <f t="shared" si="64"/>
        <v>0</v>
      </c>
      <c r="AA178" s="123">
        <f t="shared" si="72"/>
        <v>0</v>
      </c>
      <c r="AB178" s="123">
        <f t="shared" si="65"/>
        <v>2576.5573770491801</v>
      </c>
      <c r="AC178" s="123">
        <f t="shared" si="66"/>
        <v>0</v>
      </c>
      <c r="AD178" s="123">
        <f t="shared" si="67"/>
        <v>7312.5</v>
      </c>
      <c r="AE178" s="123">
        <f t="shared" si="62"/>
        <v>0</v>
      </c>
      <c r="AF178" s="123">
        <f t="shared" si="73"/>
        <v>585</v>
      </c>
      <c r="AG178" s="298">
        <f t="shared" si="63"/>
        <v>0</v>
      </c>
    </row>
    <row r="179" spans="1:33" ht="26" x14ac:dyDescent="0.35">
      <c r="A179" s="197">
        <v>3351</v>
      </c>
      <c r="B179" s="198">
        <v>3303351</v>
      </c>
      <c r="C179" s="264" t="s">
        <v>359</v>
      </c>
      <c r="D179" s="198" t="s">
        <v>563</v>
      </c>
      <c r="E179" s="198" t="s">
        <v>450</v>
      </c>
      <c r="F179" s="198" t="s">
        <v>27</v>
      </c>
      <c r="G179" s="197" t="s">
        <v>705</v>
      </c>
      <c r="H179" s="197"/>
      <c r="I179" s="265">
        <v>26488.799999999999</v>
      </c>
      <c r="J179" s="265">
        <v>1471.6000000000001</v>
      </c>
      <c r="K179" s="267">
        <v>0</v>
      </c>
      <c r="L179" s="267">
        <v>0</v>
      </c>
      <c r="M179" s="267">
        <v>0</v>
      </c>
      <c r="N179" s="269">
        <v>1056.8999999999999</v>
      </c>
      <c r="O179" s="269">
        <v>894.94736842105272</v>
      </c>
      <c r="P179" s="269">
        <v>2535</v>
      </c>
      <c r="Q179" s="269">
        <v>0</v>
      </c>
      <c r="R179" s="269">
        <v>0</v>
      </c>
      <c r="S179" s="270">
        <f t="shared" si="68"/>
        <v>32447.247368421053</v>
      </c>
      <c r="T179" s="272" t="e">
        <f>#REF!+#REF!+#REF!+#REF!+#REF!+#REF!+#REF!+#REF!+#REF!</f>
        <v>#REF!</v>
      </c>
      <c r="U179" s="273" t="e">
        <f t="shared" si="61"/>
        <v>#REF!</v>
      </c>
      <c r="V179" s="274"/>
      <c r="W179" s="123">
        <f t="shared" si="69"/>
        <v>4680</v>
      </c>
      <c r="X179" s="123">
        <f t="shared" si="70"/>
        <v>260</v>
      </c>
      <c r="Y179" s="123">
        <f t="shared" si="71"/>
        <v>0</v>
      </c>
      <c r="Z179" s="123">
        <f t="shared" si="64"/>
        <v>0</v>
      </c>
      <c r="AA179" s="123">
        <f t="shared" si="72"/>
        <v>0</v>
      </c>
      <c r="AB179" s="123">
        <f t="shared" si="65"/>
        <v>1732.622950819672</v>
      </c>
      <c r="AC179" s="123">
        <f t="shared" si="66"/>
        <v>3086.0254083484579</v>
      </c>
      <c r="AD179" s="123">
        <f t="shared" si="67"/>
        <v>31687.5</v>
      </c>
      <c r="AE179" s="123">
        <f t="shared" si="62"/>
        <v>11.993398129470018</v>
      </c>
      <c r="AF179" s="123">
        <f t="shared" si="73"/>
        <v>2535</v>
      </c>
      <c r="AG179" s="298">
        <f t="shared" si="63"/>
        <v>0</v>
      </c>
    </row>
    <row r="180" spans="1:33" ht="23.15" customHeight="1" x14ac:dyDescent="0.35">
      <c r="A180" s="197">
        <v>3352</v>
      </c>
      <c r="B180" s="198">
        <v>3303352</v>
      </c>
      <c r="C180" s="264" t="s">
        <v>360</v>
      </c>
      <c r="D180" s="198" t="s">
        <v>563</v>
      </c>
      <c r="E180" s="198" t="s">
        <v>450</v>
      </c>
      <c r="F180" s="198" t="s">
        <v>27</v>
      </c>
      <c r="G180" s="197" t="s">
        <v>706</v>
      </c>
      <c r="H180" s="197"/>
      <c r="I180" s="265">
        <v>7725.9000000000005</v>
      </c>
      <c r="J180" s="265">
        <v>0</v>
      </c>
      <c r="K180" s="267">
        <v>0</v>
      </c>
      <c r="L180" s="267">
        <v>0</v>
      </c>
      <c r="M180" s="267">
        <v>0</v>
      </c>
      <c r="N180" s="269">
        <v>0</v>
      </c>
      <c r="O180" s="269">
        <v>0</v>
      </c>
      <c r="P180" s="269">
        <v>0</v>
      </c>
      <c r="Q180" s="269">
        <v>0</v>
      </c>
      <c r="R180" s="269">
        <v>0</v>
      </c>
      <c r="S180" s="270">
        <f t="shared" si="68"/>
        <v>7725.9000000000005</v>
      </c>
      <c r="T180" s="272" t="e">
        <f>#REF!+#REF!+#REF!+#REF!+#REF!+#REF!+#REF!+#REF!+#REF!</f>
        <v>#REF!</v>
      </c>
      <c r="U180" s="273" t="e">
        <f t="shared" si="61"/>
        <v>#REF!</v>
      </c>
      <c r="V180" s="274"/>
      <c r="W180" s="123">
        <f t="shared" si="69"/>
        <v>1365</v>
      </c>
      <c r="X180" s="123">
        <f t="shared" si="70"/>
        <v>0</v>
      </c>
      <c r="Y180" s="123">
        <f t="shared" si="71"/>
        <v>0</v>
      </c>
      <c r="Z180" s="123">
        <f t="shared" si="64"/>
        <v>0</v>
      </c>
      <c r="AA180" s="123">
        <f t="shared" si="72"/>
        <v>0</v>
      </c>
      <c r="AB180" s="123">
        <f t="shared" si="65"/>
        <v>0</v>
      </c>
      <c r="AC180" s="123">
        <f t="shared" si="66"/>
        <v>0</v>
      </c>
      <c r="AD180" s="123">
        <f t="shared" si="67"/>
        <v>0</v>
      </c>
      <c r="AE180" s="123">
        <f t="shared" si="62"/>
        <v>0</v>
      </c>
      <c r="AF180" s="123">
        <f t="shared" si="73"/>
        <v>0</v>
      </c>
      <c r="AG180" s="298">
        <f t="shared" si="63"/>
        <v>0</v>
      </c>
    </row>
    <row r="181" spans="1:33" s="284" customFormat="1" x14ac:dyDescent="0.35">
      <c r="A181" s="123">
        <v>3359</v>
      </c>
      <c r="B181" s="198">
        <v>3303359</v>
      </c>
      <c r="C181" s="264" t="s">
        <v>403</v>
      </c>
      <c r="D181" s="198" t="s">
        <v>563</v>
      </c>
      <c r="E181" s="198" t="s">
        <v>564</v>
      </c>
      <c r="F181" s="198" t="s">
        <v>49</v>
      </c>
      <c r="G181" s="197"/>
      <c r="H181" s="197"/>
      <c r="I181" s="265">
        <v>19866.600000000002</v>
      </c>
      <c r="J181" s="265">
        <v>0</v>
      </c>
      <c r="K181" s="267">
        <v>0</v>
      </c>
      <c r="L181" s="267">
        <v>0</v>
      </c>
      <c r="M181" s="267">
        <v>0</v>
      </c>
      <c r="N181" s="269">
        <v>1425.4499999999998</v>
      </c>
      <c r="O181" s="269">
        <v>0</v>
      </c>
      <c r="P181" s="269">
        <v>0</v>
      </c>
      <c r="Q181" s="269">
        <v>0</v>
      </c>
      <c r="R181" s="269">
        <v>0</v>
      </c>
      <c r="S181" s="270">
        <f t="shared" si="68"/>
        <v>21292.050000000003</v>
      </c>
      <c r="T181" s="272" t="e">
        <f>#REF!+#REF!+#REF!+#REF!+#REF!+#REF!+#REF!+#REF!+#REF!</f>
        <v>#REF!</v>
      </c>
      <c r="U181" s="273" t="e">
        <f t="shared" si="61"/>
        <v>#REF!</v>
      </c>
      <c r="V181" s="274"/>
      <c r="W181" s="123">
        <f t="shared" si="69"/>
        <v>3510.0000000000005</v>
      </c>
      <c r="X181" s="297">
        <f t="shared" si="70"/>
        <v>0</v>
      </c>
      <c r="Y181" s="123">
        <f t="shared" si="71"/>
        <v>0</v>
      </c>
      <c r="Z181" s="123">
        <f t="shared" si="64"/>
        <v>0</v>
      </c>
      <c r="AA181" s="123">
        <f t="shared" si="72"/>
        <v>0</v>
      </c>
      <c r="AB181" s="123">
        <f t="shared" si="65"/>
        <v>2336.8032786885242</v>
      </c>
      <c r="AC181" s="123">
        <f t="shared" si="66"/>
        <v>0</v>
      </c>
      <c r="AD181" s="123">
        <f t="shared" si="67"/>
        <v>0</v>
      </c>
      <c r="AE181" s="123">
        <f t="shared" si="62"/>
        <v>0</v>
      </c>
      <c r="AF181" s="123">
        <f t="shared" si="73"/>
        <v>0</v>
      </c>
      <c r="AG181" s="298">
        <f t="shared" si="63"/>
        <v>0</v>
      </c>
    </row>
    <row r="182" spans="1:33" ht="26" x14ac:dyDescent="0.35">
      <c r="A182" s="197">
        <v>3361</v>
      </c>
      <c r="B182" s="198">
        <v>3303361</v>
      </c>
      <c r="C182" s="264" t="s">
        <v>361</v>
      </c>
      <c r="D182" s="198" t="s">
        <v>563</v>
      </c>
      <c r="E182" s="198" t="s">
        <v>450</v>
      </c>
      <c r="F182" s="198" t="s">
        <v>27</v>
      </c>
      <c r="G182" s="197" t="s">
        <v>707</v>
      </c>
      <c r="H182" s="197"/>
      <c r="I182" s="265">
        <v>22074</v>
      </c>
      <c r="J182" s="265">
        <v>5518.5</v>
      </c>
      <c r="K182" s="267">
        <v>0</v>
      </c>
      <c r="L182" s="267">
        <v>0</v>
      </c>
      <c r="M182" s="267">
        <v>0</v>
      </c>
      <c r="N182" s="269">
        <v>908.7</v>
      </c>
      <c r="O182" s="269">
        <v>745.78947368421052</v>
      </c>
      <c r="P182" s="269">
        <v>1950</v>
      </c>
      <c r="Q182" s="269">
        <v>0</v>
      </c>
      <c r="R182" s="269">
        <v>0</v>
      </c>
      <c r="S182" s="270">
        <f t="shared" si="68"/>
        <v>31196.989473684211</v>
      </c>
      <c r="T182" s="272" t="e">
        <f>#REF!+#REF!+#REF!+#REF!+#REF!+#REF!+#REF!+#REF!+#REF!</f>
        <v>#REF!</v>
      </c>
      <c r="U182" s="273" t="e">
        <f t="shared" si="61"/>
        <v>#REF!</v>
      </c>
      <c r="V182" s="274"/>
      <c r="W182" s="123">
        <f t="shared" si="69"/>
        <v>3900</v>
      </c>
      <c r="X182" s="123">
        <f t="shared" si="70"/>
        <v>975</v>
      </c>
      <c r="Y182" s="123">
        <f t="shared" si="71"/>
        <v>0</v>
      </c>
      <c r="Z182" s="123">
        <f t="shared" si="64"/>
        <v>0</v>
      </c>
      <c r="AA182" s="123">
        <f t="shared" si="72"/>
        <v>0</v>
      </c>
      <c r="AB182" s="123">
        <f t="shared" si="65"/>
        <v>1489.672131147541</v>
      </c>
      <c r="AC182" s="123">
        <f t="shared" si="66"/>
        <v>2571.6878402903812</v>
      </c>
      <c r="AD182" s="123">
        <f t="shared" si="67"/>
        <v>24375</v>
      </c>
      <c r="AE182" s="123">
        <f t="shared" si="62"/>
        <v>9.9944984412250122</v>
      </c>
      <c r="AF182" s="123">
        <f t="shared" si="73"/>
        <v>1950</v>
      </c>
      <c r="AG182" s="298">
        <f t="shared" si="63"/>
        <v>0</v>
      </c>
    </row>
    <row r="183" spans="1:33" ht="26" x14ac:dyDescent="0.35">
      <c r="A183" s="197">
        <v>3363</v>
      </c>
      <c r="B183" s="198">
        <v>3303363</v>
      </c>
      <c r="C183" s="264" t="s">
        <v>362</v>
      </c>
      <c r="D183" s="198" t="s">
        <v>563</v>
      </c>
      <c r="E183" s="198" t="s">
        <v>450</v>
      </c>
      <c r="F183" s="198" t="s">
        <v>27</v>
      </c>
      <c r="G183" s="197" t="s">
        <v>708</v>
      </c>
      <c r="H183" s="197"/>
      <c r="I183" s="265">
        <v>26488.799999999999</v>
      </c>
      <c r="J183" s="265">
        <v>0</v>
      </c>
      <c r="K183" s="267">
        <v>0</v>
      </c>
      <c r="L183" s="267">
        <v>0</v>
      </c>
      <c r="M183" s="267">
        <v>0</v>
      </c>
      <c r="N183" s="269">
        <v>403.65</v>
      </c>
      <c r="O183" s="269">
        <v>447.47368421052636</v>
      </c>
      <c r="P183" s="269">
        <v>1170</v>
      </c>
      <c r="Q183" s="269">
        <v>0</v>
      </c>
      <c r="R183" s="269">
        <v>0</v>
      </c>
      <c r="S183" s="270">
        <f t="shared" si="68"/>
        <v>28509.923684210527</v>
      </c>
      <c r="T183" s="272" t="e">
        <f>#REF!+#REF!+#REF!+#REF!+#REF!+#REF!+#REF!+#REF!+#REF!</f>
        <v>#REF!</v>
      </c>
      <c r="U183" s="273" t="e">
        <f t="shared" si="61"/>
        <v>#REF!</v>
      </c>
      <c r="V183" s="274"/>
      <c r="W183" s="123">
        <f t="shared" si="69"/>
        <v>4680</v>
      </c>
      <c r="X183" s="123">
        <f t="shared" si="70"/>
        <v>0</v>
      </c>
      <c r="Y183" s="123">
        <f t="shared" si="71"/>
        <v>0</v>
      </c>
      <c r="Z183" s="123">
        <f t="shared" si="64"/>
        <v>0</v>
      </c>
      <c r="AA183" s="123">
        <f t="shared" si="72"/>
        <v>0</v>
      </c>
      <c r="AB183" s="123">
        <f t="shared" si="65"/>
        <v>661.72131147540983</v>
      </c>
      <c r="AC183" s="123">
        <f t="shared" si="66"/>
        <v>1543.0127041742289</v>
      </c>
      <c r="AD183" s="123">
        <f t="shared" si="67"/>
        <v>14625</v>
      </c>
      <c r="AE183" s="123">
        <f t="shared" si="62"/>
        <v>5.9966990647350089</v>
      </c>
      <c r="AF183" s="123">
        <f t="shared" si="73"/>
        <v>1170</v>
      </c>
      <c r="AG183" s="298">
        <f t="shared" si="63"/>
        <v>0</v>
      </c>
    </row>
    <row r="184" spans="1:33" x14ac:dyDescent="0.35">
      <c r="A184" s="197">
        <v>3366</v>
      </c>
      <c r="B184" s="198">
        <v>3303366</v>
      </c>
      <c r="C184" s="264" t="s">
        <v>363</v>
      </c>
      <c r="D184" s="198" t="s">
        <v>563</v>
      </c>
      <c r="E184" s="198" t="s">
        <v>564</v>
      </c>
      <c r="F184" s="198" t="s">
        <v>49</v>
      </c>
      <c r="G184" s="197" t="s">
        <v>709</v>
      </c>
      <c r="H184" s="197"/>
      <c r="I184" s="265">
        <v>11037</v>
      </c>
      <c r="J184" s="265">
        <v>0</v>
      </c>
      <c r="K184" s="267">
        <v>0</v>
      </c>
      <c r="L184" s="267">
        <v>0</v>
      </c>
      <c r="M184" s="267">
        <v>0</v>
      </c>
      <c r="N184" s="269">
        <v>604.5</v>
      </c>
      <c r="O184" s="269">
        <v>447.47368421052636</v>
      </c>
      <c r="P184" s="269">
        <v>1170</v>
      </c>
      <c r="Q184" s="269">
        <v>0</v>
      </c>
      <c r="R184" s="269">
        <v>0</v>
      </c>
      <c r="S184" s="270">
        <f t="shared" si="68"/>
        <v>13258.973684210527</v>
      </c>
      <c r="T184" s="272" t="e">
        <f>#REF!+#REF!+#REF!+#REF!+#REF!+#REF!+#REF!+#REF!+#REF!</f>
        <v>#REF!</v>
      </c>
      <c r="U184" s="273" t="e">
        <f t="shared" si="61"/>
        <v>#REF!</v>
      </c>
      <c r="V184" s="274"/>
      <c r="W184" s="123">
        <f t="shared" si="69"/>
        <v>1950</v>
      </c>
      <c r="X184" s="297">
        <f t="shared" si="70"/>
        <v>0</v>
      </c>
      <c r="Y184" s="123">
        <f t="shared" si="71"/>
        <v>0</v>
      </c>
      <c r="Z184" s="123">
        <f t="shared" si="64"/>
        <v>0</v>
      </c>
      <c r="AA184" s="123">
        <f t="shared" si="72"/>
        <v>0</v>
      </c>
      <c r="AB184" s="123">
        <f t="shared" si="65"/>
        <v>990.98360655737702</v>
      </c>
      <c r="AC184" s="123">
        <f t="shared" si="66"/>
        <v>1543.0127041742289</v>
      </c>
      <c r="AD184" s="123">
        <f t="shared" si="67"/>
        <v>14625</v>
      </c>
      <c r="AE184" s="123">
        <f t="shared" si="62"/>
        <v>5.9966990647350089</v>
      </c>
      <c r="AF184" s="123">
        <f t="shared" si="73"/>
        <v>1170</v>
      </c>
      <c r="AG184" s="298">
        <f t="shared" si="63"/>
        <v>0</v>
      </c>
    </row>
    <row r="185" spans="1:33" x14ac:dyDescent="0.35">
      <c r="A185" s="197">
        <v>3367</v>
      </c>
      <c r="B185" s="198">
        <v>3303367</v>
      </c>
      <c r="C185" s="264" t="s">
        <v>364</v>
      </c>
      <c r="D185" s="198" t="s">
        <v>563</v>
      </c>
      <c r="E185" s="198" t="s">
        <v>450</v>
      </c>
      <c r="F185" s="198" t="s">
        <v>27</v>
      </c>
      <c r="G185" s="197" t="s">
        <v>710</v>
      </c>
      <c r="H185" s="197"/>
      <c r="I185" s="265">
        <v>28696.2</v>
      </c>
      <c r="J185" s="265">
        <v>9933.3000000000011</v>
      </c>
      <c r="K185" s="267">
        <v>0</v>
      </c>
      <c r="L185" s="267">
        <v>0</v>
      </c>
      <c r="M185" s="267">
        <v>0</v>
      </c>
      <c r="N185" s="269">
        <v>1556.0999999999997</v>
      </c>
      <c r="O185" s="269">
        <v>522.0526315789474</v>
      </c>
      <c r="P185" s="269">
        <v>1365</v>
      </c>
      <c r="Q185" s="269">
        <v>0</v>
      </c>
      <c r="R185" s="269">
        <v>0</v>
      </c>
      <c r="S185" s="270">
        <f t="shared" si="68"/>
        <v>42072.652631578945</v>
      </c>
      <c r="T185" s="272" t="e">
        <f>#REF!+#REF!+#REF!+#REF!+#REF!+#REF!+#REF!+#REF!+#REF!</f>
        <v>#REF!</v>
      </c>
      <c r="U185" s="273" t="e">
        <f t="shared" si="61"/>
        <v>#REF!</v>
      </c>
      <c r="V185" s="274"/>
      <c r="W185" s="123">
        <f t="shared" si="69"/>
        <v>5070</v>
      </c>
      <c r="X185" s="123">
        <f t="shared" si="70"/>
        <v>1755.0000000000002</v>
      </c>
      <c r="Y185" s="123">
        <f t="shared" si="71"/>
        <v>0</v>
      </c>
      <c r="Z185" s="123">
        <f t="shared" si="64"/>
        <v>0</v>
      </c>
      <c r="AA185" s="123">
        <f t="shared" si="72"/>
        <v>0</v>
      </c>
      <c r="AB185" s="123">
        <f t="shared" si="65"/>
        <v>2550.9836065573768</v>
      </c>
      <c r="AC185" s="123">
        <f t="shared" si="66"/>
        <v>1800.181488203267</v>
      </c>
      <c r="AD185" s="123">
        <f t="shared" si="67"/>
        <v>17062.5</v>
      </c>
      <c r="AE185" s="123">
        <f t="shared" si="62"/>
        <v>6.99614890885751</v>
      </c>
      <c r="AF185" s="123">
        <f t="shared" si="73"/>
        <v>1365</v>
      </c>
      <c r="AG185" s="298">
        <f t="shared" si="63"/>
        <v>0</v>
      </c>
    </row>
    <row r="186" spans="1:33" ht="26" x14ac:dyDescent="0.35">
      <c r="A186" s="197">
        <v>3372</v>
      </c>
      <c r="B186" s="198">
        <v>3303372</v>
      </c>
      <c r="C186" s="264" t="s">
        <v>365</v>
      </c>
      <c r="D186" s="198" t="s">
        <v>563</v>
      </c>
      <c r="E186" s="198" t="s">
        <v>450</v>
      </c>
      <c r="F186" s="198" t="s">
        <v>27</v>
      </c>
      <c r="G186" s="197" t="s">
        <v>711</v>
      </c>
      <c r="H186" s="197"/>
      <c r="I186" s="265">
        <v>58496.1</v>
      </c>
      <c r="J186" s="265">
        <v>4414.8</v>
      </c>
      <c r="K186" s="267">
        <v>0</v>
      </c>
      <c r="L186" s="267">
        <v>0</v>
      </c>
      <c r="M186" s="267">
        <v>0</v>
      </c>
      <c r="N186" s="269">
        <v>1643.8500000000001</v>
      </c>
      <c r="O186" s="269">
        <v>1417</v>
      </c>
      <c r="P186" s="269">
        <v>3705</v>
      </c>
      <c r="Q186" s="269">
        <v>0</v>
      </c>
      <c r="R186" s="269">
        <v>0</v>
      </c>
      <c r="S186" s="270">
        <f t="shared" si="68"/>
        <v>69676.75</v>
      </c>
      <c r="T186" s="272" t="e">
        <f>#REF!+#REF!+#REF!+#REF!+#REF!+#REF!+#REF!+#REF!+#REF!</f>
        <v>#REF!</v>
      </c>
      <c r="U186" s="273" t="e">
        <f t="shared" si="61"/>
        <v>#REF!</v>
      </c>
      <c r="V186" s="274"/>
      <c r="W186" s="123">
        <f t="shared" si="69"/>
        <v>10335</v>
      </c>
      <c r="X186" s="123">
        <f t="shared" si="70"/>
        <v>780</v>
      </c>
      <c r="Y186" s="123">
        <f t="shared" si="71"/>
        <v>0</v>
      </c>
      <c r="Z186" s="123">
        <f t="shared" si="64"/>
        <v>0</v>
      </c>
      <c r="AA186" s="123">
        <f t="shared" si="72"/>
        <v>0</v>
      </c>
      <c r="AB186" s="123">
        <f t="shared" si="65"/>
        <v>2694.8360655737706</v>
      </c>
      <c r="AC186" s="123">
        <f t="shared" si="66"/>
        <v>4886.2068965517246</v>
      </c>
      <c r="AD186" s="123">
        <f t="shared" si="67"/>
        <v>46312.5</v>
      </c>
      <c r="AE186" s="123">
        <f t="shared" si="62"/>
        <v>18.989547038327526</v>
      </c>
      <c r="AF186" s="123">
        <f t="shared" si="73"/>
        <v>3705</v>
      </c>
      <c r="AG186" s="298">
        <f t="shared" si="63"/>
        <v>0</v>
      </c>
    </row>
    <row r="187" spans="1:33" x14ac:dyDescent="0.35">
      <c r="A187" s="197">
        <v>3377</v>
      </c>
      <c r="B187" s="198">
        <v>3303377</v>
      </c>
      <c r="C187" s="264" t="s">
        <v>366</v>
      </c>
      <c r="D187" s="198" t="s">
        <v>563</v>
      </c>
      <c r="E187" s="198" t="s">
        <v>450</v>
      </c>
      <c r="F187" s="198" t="s">
        <v>27</v>
      </c>
      <c r="G187" s="197" t="s">
        <v>712</v>
      </c>
      <c r="H187" s="197"/>
      <c r="I187" s="265">
        <v>20970.3</v>
      </c>
      <c r="J187" s="265">
        <v>0</v>
      </c>
      <c r="K187" s="267">
        <v>0</v>
      </c>
      <c r="L187" s="267">
        <v>0</v>
      </c>
      <c r="M187" s="267">
        <v>0</v>
      </c>
      <c r="N187" s="269">
        <v>1834.9499999999998</v>
      </c>
      <c r="O187" s="269">
        <v>0</v>
      </c>
      <c r="P187" s="269">
        <v>2535</v>
      </c>
      <c r="Q187" s="269">
        <v>0</v>
      </c>
      <c r="R187" s="269">
        <v>0</v>
      </c>
      <c r="S187" s="270">
        <f t="shared" si="68"/>
        <v>25340.25</v>
      </c>
      <c r="T187" s="272" t="e">
        <f>#REF!+#REF!+#REF!+#REF!+#REF!+#REF!+#REF!+#REF!+#REF!</f>
        <v>#REF!</v>
      </c>
      <c r="U187" s="273" t="e">
        <f t="shared" si="61"/>
        <v>#REF!</v>
      </c>
      <c r="V187" s="274"/>
      <c r="W187" s="123">
        <f t="shared" si="69"/>
        <v>3705</v>
      </c>
      <c r="X187" s="123">
        <f t="shared" si="70"/>
        <v>0</v>
      </c>
      <c r="Y187" s="123">
        <f t="shared" si="71"/>
        <v>0</v>
      </c>
      <c r="Z187" s="123">
        <f t="shared" si="64"/>
        <v>0</v>
      </c>
      <c r="AA187" s="123">
        <f t="shared" si="72"/>
        <v>0</v>
      </c>
      <c r="AB187" s="123">
        <f t="shared" si="65"/>
        <v>3008.1147540983602</v>
      </c>
      <c r="AC187" s="123">
        <f t="shared" si="66"/>
        <v>0</v>
      </c>
      <c r="AD187" s="123">
        <f t="shared" si="67"/>
        <v>31687.5</v>
      </c>
      <c r="AE187" s="123">
        <f t="shared" si="62"/>
        <v>0</v>
      </c>
      <c r="AF187" s="123">
        <f t="shared" si="73"/>
        <v>2535</v>
      </c>
      <c r="AG187" s="298">
        <f t="shared" si="63"/>
        <v>0</v>
      </c>
    </row>
    <row r="188" spans="1:33" ht="26" x14ac:dyDescent="0.35">
      <c r="A188" s="197">
        <v>3386</v>
      </c>
      <c r="B188" s="198">
        <v>3303386</v>
      </c>
      <c r="C188" s="264" t="s">
        <v>143</v>
      </c>
      <c r="D188" s="198" t="s">
        <v>563</v>
      </c>
      <c r="E188" s="198" t="s">
        <v>450</v>
      </c>
      <c r="F188" s="198" t="s">
        <v>27</v>
      </c>
      <c r="G188" s="197" t="s">
        <v>713</v>
      </c>
      <c r="H188" s="197"/>
      <c r="I188" s="265">
        <v>35318.400000000001</v>
      </c>
      <c r="J188" s="265">
        <v>9933.3000000000011</v>
      </c>
      <c r="K188" s="267">
        <v>0</v>
      </c>
      <c r="L188" s="267">
        <v>0</v>
      </c>
      <c r="M188" s="267">
        <v>0</v>
      </c>
      <c r="N188" s="269">
        <v>1318.2</v>
      </c>
      <c r="O188" s="269">
        <v>969.52631578947376</v>
      </c>
      <c r="P188" s="269">
        <v>3120</v>
      </c>
      <c r="Q188" s="269">
        <v>0</v>
      </c>
      <c r="R188" s="269">
        <v>0</v>
      </c>
      <c r="S188" s="270">
        <f t="shared" si="68"/>
        <v>50659.426315789475</v>
      </c>
      <c r="T188" s="272" t="e">
        <f>#REF!+#REF!+#REF!+#REF!+#REF!+#REF!+#REF!+#REF!+#REF!</f>
        <v>#REF!</v>
      </c>
      <c r="U188" s="273" t="e">
        <f t="shared" si="61"/>
        <v>#REF!</v>
      </c>
      <c r="V188" s="274"/>
      <c r="W188" s="123">
        <f t="shared" si="69"/>
        <v>6240</v>
      </c>
      <c r="X188" s="123">
        <f t="shared" si="70"/>
        <v>1755.0000000000002</v>
      </c>
      <c r="Y188" s="123">
        <f t="shared" si="71"/>
        <v>0</v>
      </c>
      <c r="Z188" s="123">
        <f t="shared" si="64"/>
        <v>0</v>
      </c>
      <c r="AA188" s="123">
        <f t="shared" si="72"/>
        <v>0</v>
      </c>
      <c r="AB188" s="123">
        <f t="shared" si="65"/>
        <v>2160.9836065573772</v>
      </c>
      <c r="AC188" s="123">
        <f t="shared" si="66"/>
        <v>3343.1941923774962</v>
      </c>
      <c r="AD188" s="123">
        <f t="shared" si="67"/>
        <v>39000</v>
      </c>
      <c r="AE188" s="123">
        <f t="shared" si="62"/>
        <v>12.992847973592518</v>
      </c>
      <c r="AF188" s="123">
        <f t="shared" si="73"/>
        <v>3120</v>
      </c>
      <c r="AG188" s="298">
        <f t="shared" si="63"/>
        <v>0</v>
      </c>
    </row>
    <row r="189" spans="1:33" x14ac:dyDescent="0.35">
      <c r="A189" s="197">
        <v>3406</v>
      </c>
      <c r="B189" s="198">
        <v>3303406</v>
      </c>
      <c r="C189" s="264" t="s">
        <v>367</v>
      </c>
      <c r="D189" s="198" t="s">
        <v>563</v>
      </c>
      <c r="E189" s="198" t="s">
        <v>450</v>
      </c>
      <c r="F189" s="198" t="s">
        <v>245</v>
      </c>
      <c r="G189" s="197" t="s">
        <v>714</v>
      </c>
      <c r="H189" s="197"/>
      <c r="I189" s="265">
        <v>24281.4</v>
      </c>
      <c r="J189" s="265">
        <v>0</v>
      </c>
      <c r="K189" s="267">
        <v>0</v>
      </c>
      <c r="L189" s="267">
        <v>0</v>
      </c>
      <c r="M189" s="267">
        <v>0</v>
      </c>
      <c r="N189" s="269">
        <v>932.1</v>
      </c>
      <c r="O189" s="269">
        <v>894.94736842105272</v>
      </c>
      <c r="P189" s="269">
        <v>2340</v>
      </c>
      <c r="Q189" s="269">
        <v>0</v>
      </c>
      <c r="R189" s="269">
        <v>0</v>
      </c>
      <c r="S189" s="270">
        <f t="shared" si="68"/>
        <v>28448.447368421053</v>
      </c>
      <c r="T189" s="272" t="e">
        <f>#REF!+#REF!+#REF!+#REF!+#REF!+#REF!+#REF!+#REF!+#REF!</f>
        <v>#REF!</v>
      </c>
      <c r="U189" s="273" t="e">
        <f t="shared" si="61"/>
        <v>#REF!</v>
      </c>
      <c r="V189" s="274"/>
      <c r="W189" s="123">
        <f t="shared" si="69"/>
        <v>4290</v>
      </c>
      <c r="X189" s="123">
        <f t="shared" si="70"/>
        <v>0</v>
      </c>
      <c r="Y189" s="123">
        <f t="shared" si="71"/>
        <v>0</v>
      </c>
      <c r="Z189" s="123">
        <f t="shared" si="64"/>
        <v>0</v>
      </c>
      <c r="AA189" s="123">
        <f t="shared" si="72"/>
        <v>0</v>
      </c>
      <c r="AB189" s="123">
        <f t="shared" si="65"/>
        <v>1528.032786885246</v>
      </c>
      <c r="AC189" s="123">
        <f t="shared" si="66"/>
        <v>3086.0254083484579</v>
      </c>
      <c r="AD189" s="123">
        <f t="shared" si="67"/>
        <v>29250</v>
      </c>
      <c r="AE189" s="123">
        <f t="shared" si="62"/>
        <v>11.993398129470018</v>
      </c>
      <c r="AF189" s="123">
        <f t="shared" si="73"/>
        <v>2340</v>
      </c>
      <c r="AG189" s="298">
        <f t="shared" si="63"/>
        <v>0</v>
      </c>
    </row>
    <row r="190" spans="1:33" x14ac:dyDescent="0.35">
      <c r="A190" s="197">
        <v>3411</v>
      </c>
      <c r="B190" s="198">
        <v>3303411</v>
      </c>
      <c r="C190" s="264" t="s">
        <v>368</v>
      </c>
      <c r="D190" s="198" t="s">
        <v>563</v>
      </c>
      <c r="E190" s="198" t="s">
        <v>450</v>
      </c>
      <c r="F190" s="198" t="s">
        <v>27</v>
      </c>
      <c r="G190" s="197" t="s">
        <v>715</v>
      </c>
      <c r="H190" s="197"/>
      <c r="I190" s="265">
        <v>44148</v>
      </c>
      <c r="J190" s="265">
        <v>9933.3000000000011</v>
      </c>
      <c r="K190" s="267">
        <v>0</v>
      </c>
      <c r="L190" s="267">
        <v>0</v>
      </c>
      <c r="M190" s="267">
        <v>0</v>
      </c>
      <c r="N190" s="269">
        <v>4270.5</v>
      </c>
      <c r="O190" s="269">
        <v>2311.9473684210525</v>
      </c>
      <c r="P190" s="269">
        <v>6240</v>
      </c>
      <c r="Q190" s="269">
        <v>0</v>
      </c>
      <c r="R190" s="269">
        <v>0</v>
      </c>
      <c r="S190" s="270">
        <f t="shared" si="68"/>
        <v>66903.747368421056</v>
      </c>
      <c r="T190" s="272" t="e">
        <f>#REF!+#REF!+#REF!+#REF!+#REF!+#REF!+#REF!+#REF!+#REF!</f>
        <v>#REF!</v>
      </c>
      <c r="U190" s="273" t="e">
        <f t="shared" si="61"/>
        <v>#REF!</v>
      </c>
      <c r="V190" s="274"/>
      <c r="W190" s="123">
        <f t="shared" si="69"/>
        <v>7800</v>
      </c>
      <c r="X190" s="123">
        <f t="shared" si="70"/>
        <v>1755.0000000000002</v>
      </c>
      <c r="Y190" s="123">
        <f t="shared" si="71"/>
        <v>0</v>
      </c>
      <c r="Z190" s="123">
        <f t="shared" si="64"/>
        <v>0</v>
      </c>
      <c r="AA190" s="123">
        <f t="shared" si="72"/>
        <v>0</v>
      </c>
      <c r="AB190" s="123">
        <f t="shared" si="65"/>
        <v>7000.8196721311479</v>
      </c>
      <c r="AC190" s="123">
        <f t="shared" si="66"/>
        <v>7972.2323049001816</v>
      </c>
      <c r="AD190" s="123">
        <f t="shared" si="67"/>
        <v>78000</v>
      </c>
      <c r="AE190" s="123">
        <f t="shared" si="62"/>
        <v>30.982945167797542</v>
      </c>
      <c r="AF190" s="123">
        <f t="shared" si="73"/>
        <v>6240</v>
      </c>
      <c r="AG190" s="298">
        <f t="shared" si="63"/>
        <v>0</v>
      </c>
    </row>
    <row r="191" spans="1:33" x14ac:dyDescent="0.35">
      <c r="A191" s="197">
        <v>3412</v>
      </c>
      <c r="B191" s="198">
        <v>3303412</v>
      </c>
      <c r="C191" s="264" t="s">
        <v>369</v>
      </c>
      <c r="D191" s="198" t="s">
        <v>563</v>
      </c>
      <c r="E191" s="198" t="s">
        <v>564</v>
      </c>
      <c r="F191" s="198" t="s">
        <v>49</v>
      </c>
      <c r="G191" s="197" t="s">
        <v>716</v>
      </c>
      <c r="H191" s="197"/>
      <c r="I191" s="265">
        <v>80570.100000000006</v>
      </c>
      <c r="J191" s="265">
        <v>13244.4</v>
      </c>
      <c r="K191" s="267">
        <v>0</v>
      </c>
      <c r="L191" s="267">
        <v>0</v>
      </c>
      <c r="M191" s="267">
        <v>0</v>
      </c>
      <c r="N191" s="269">
        <v>4937.3999999999996</v>
      </c>
      <c r="O191" s="269">
        <v>2461.105263157895</v>
      </c>
      <c r="P191" s="269">
        <v>6435</v>
      </c>
      <c r="Q191" s="269">
        <v>0</v>
      </c>
      <c r="R191" s="269">
        <v>0</v>
      </c>
      <c r="S191" s="270">
        <f t="shared" si="68"/>
        <v>107648.00526315789</v>
      </c>
      <c r="T191" s="272" t="e">
        <f>#REF!+#REF!+#REF!+#REF!+#REF!+#REF!+#REF!+#REF!+#REF!</f>
        <v>#REF!</v>
      </c>
      <c r="U191" s="273" t="e">
        <f t="shared" si="61"/>
        <v>#REF!</v>
      </c>
      <c r="V191" s="274"/>
      <c r="W191" s="123">
        <f t="shared" si="69"/>
        <v>14235</v>
      </c>
      <c r="X191" s="297">
        <f t="shared" si="70"/>
        <v>2340</v>
      </c>
      <c r="Y191" s="123">
        <f t="shared" si="71"/>
        <v>0</v>
      </c>
      <c r="Z191" s="123">
        <f t="shared" si="64"/>
        <v>0</v>
      </c>
      <c r="AA191" s="123">
        <f t="shared" si="72"/>
        <v>0</v>
      </c>
      <c r="AB191" s="123">
        <f t="shared" si="65"/>
        <v>8094.0983606557375</v>
      </c>
      <c r="AC191" s="123">
        <f t="shared" si="66"/>
        <v>8486.56987295826</v>
      </c>
      <c r="AD191" s="123">
        <f t="shared" si="67"/>
        <v>80437.5</v>
      </c>
      <c r="AE191" s="123">
        <f t="shared" si="62"/>
        <v>32.981844856042542</v>
      </c>
      <c r="AF191" s="123">
        <f t="shared" si="73"/>
        <v>6435</v>
      </c>
      <c r="AG191" s="298">
        <f t="shared" si="63"/>
        <v>0</v>
      </c>
    </row>
    <row r="192" spans="1:33" x14ac:dyDescent="0.35">
      <c r="A192" s="197">
        <v>3428</v>
      </c>
      <c r="B192" s="198">
        <v>3303428</v>
      </c>
      <c r="C192" s="264" t="s">
        <v>370</v>
      </c>
      <c r="D192" s="198" t="s">
        <v>563</v>
      </c>
      <c r="E192" s="198" t="s">
        <v>450</v>
      </c>
      <c r="F192" s="198" t="s">
        <v>27</v>
      </c>
      <c r="G192" s="197" t="s">
        <v>717</v>
      </c>
      <c r="H192" s="197"/>
      <c r="I192" s="265">
        <v>28696.2</v>
      </c>
      <c r="J192" s="265">
        <v>16555.5</v>
      </c>
      <c r="K192" s="267">
        <v>0</v>
      </c>
      <c r="L192" s="267">
        <v>0</v>
      </c>
      <c r="M192" s="267">
        <v>0</v>
      </c>
      <c r="N192" s="269">
        <v>247.65</v>
      </c>
      <c r="O192" s="269">
        <v>372.89473684210526</v>
      </c>
      <c r="P192" s="269">
        <v>975</v>
      </c>
      <c r="Q192" s="269">
        <v>0</v>
      </c>
      <c r="R192" s="269">
        <v>0</v>
      </c>
      <c r="S192" s="270">
        <f t="shared" si="68"/>
        <v>46847.244736842105</v>
      </c>
      <c r="T192" s="272" t="e">
        <f>#REF!+#REF!+#REF!+#REF!+#REF!+#REF!+#REF!+#REF!+#REF!</f>
        <v>#REF!</v>
      </c>
      <c r="U192" s="273" t="e">
        <f t="shared" si="61"/>
        <v>#REF!</v>
      </c>
      <c r="V192" s="274"/>
      <c r="W192" s="123">
        <f t="shared" si="69"/>
        <v>5070</v>
      </c>
      <c r="X192" s="123">
        <f t="shared" si="70"/>
        <v>2925</v>
      </c>
      <c r="Y192" s="123">
        <f t="shared" si="71"/>
        <v>0</v>
      </c>
      <c r="Z192" s="123">
        <f t="shared" si="64"/>
        <v>0</v>
      </c>
      <c r="AA192" s="123">
        <f t="shared" si="72"/>
        <v>0</v>
      </c>
      <c r="AB192" s="123">
        <f t="shared" si="65"/>
        <v>405.98360655737707</v>
      </c>
      <c r="AC192" s="123">
        <f t="shared" si="66"/>
        <v>1285.8439201451906</v>
      </c>
      <c r="AD192" s="123">
        <f t="shared" si="67"/>
        <v>12187.5</v>
      </c>
      <c r="AE192" s="123">
        <f t="shared" si="62"/>
        <v>4.9972492206125061</v>
      </c>
      <c r="AF192" s="123">
        <f t="shared" si="73"/>
        <v>975</v>
      </c>
      <c r="AG192" s="298">
        <f t="shared" si="63"/>
        <v>0</v>
      </c>
    </row>
    <row r="193" spans="1:33" x14ac:dyDescent="0.35">
      <c r="A193" s="197">
        <v>3431</v>
      </c>
      <c r="B193" s="198">
        <v>3303431</v>
      </c>
      <c r="C193" s="264" t="s">
        <v>199</v>
      </c>
      <c r="D193" s="198" t="s">
        <v>563</v>
      </c>
      <c r="E193" s="198" t="s">
        <v>450</v>
      </c>
      <c r="F193" s="198" t="s">
        <v>27</v>
      </c>
      <c r="G193" s="197" t="s">
        <v>718</v>
      </c>
      <c r="H193" s="197"/>
      <c r="I193" s="265">
        <v>49666.5</v>
      </c>
      <c r="J193" s="265">
        <v>30903.600000000002</v>
      </c>
      <c r="K193" s="267">
        <v>0</v>
      </c>
      <c r="L193" s="267">
        <v>0</v>
      </c>
      <c r="M193" s="267">
        <v>320.89</v>
      </c>
      <c r="N193" s="269">
        <v>698.09999999999991</v>
      </c>
      <c r="O193" s="269">
        <v>298.31578947368422</v>
      </c>
      <c r="P193" s="269">
        <v>780</v>
      </c>
      <c r="Q193" s="269">
        <v>0</v>
      </c>
      <c r="R193" s="269">
        <v>0</v>
      </c>
      <c r="S193" s="270">
        <f t="shared" si="68"/>
        <v>82667.405789473691</v>
      </c>
      <c r="T193" s="272" t="e">
        <f>#REF!+#REF!+#REF!+#REF!+#REF!+#REF!+#REF!+#REF!+#REF!</f>
        <v>#REF!</v>
      </c>
      <c r="U193" s="273" t="e">
        <f t="shared" si="61"/>
        <v>#REF!</v>
      </c>
      <c r="V193" s="274"/>
      <c r="W193" s="123">
        <f t="shared" si="69"/>
        <v>8775</v>
      </c>
      <c r="X193" s="123">
        <f t="shared" si="70"/>
        <v>5460</v>
      </c>
      <c r="Y193" s="123">
        <f t="shared" si="71"/>
        <v>0</v>
      </c>
      <c r="Z193" s="123">
        <f t="shared" ref="Z193:Z201" si="74">L193/$Z$8</f>
        <v>0</v>
      </c>
      <c r="AA193" s="123">
        <f t="shared" si="72"/>
        <v>0</v>
      </c>
      <c r="AB193" s="123">
        <f t="shared" ref="AB193:AB201" si="75">N193/$AB$8</f>
        <v>1144.4262295081967</v>
      </c>
      <c r="AC193" s="123">
        <f t="shared" ref="AC193:AC201" si="76">O193/$AC$8</f>
        <v>1028.6751361161525</v>
      </c>
      <c r="AD193" s="123">
        <f t="shared" ref="AD193:AD201" si="77">P193/$AD$8</f>
        <v>9750</v>
      </c>
      <c r="AE193" s="123">
        <f t="shared" si="62"/>
        <v>3.9977993764900055</v>
      </c>
      <c r="AF193" s="123">
        <f t="shared" si="73"/>
        <v>780</v>
      </c>
      <c r="AG193" s="298">
        <f t="shared" si="63"/>
        <v>0.99998523864195499</v>
      </c>
    </row>
    <row r="194" spans="1:33" x14ac:dyDescent="0.35">
      <c r="A194" s="197">
        <v>3432</v>
      </c>
      <c r="B194" s="198">
        <v>3303432</v>
      </c>
      <c r="C194" s="264" t="s">
        <v>63</v>
      </c>
      <c r="D194" s="198" t="s">
        <v>563</v>
      </c>
      <c r="E194" s="198" t="s">
        <v>450</v>
      </c>
      <c r="F194" s="198" t="s">
        <v>27</v>
      </c>
      <c r="G194" s="197" t="s">
        <v>719</v>
      </c>
      <c r="H194" s="197"/>
      <c r="I194" s="265">
        <v>98060.066000000021</v>
      </c>
      <c r="J194" s="265">
        <v>6622.2</v>
      </c>
      <c r="K194" s="267">
        <v>0</v>
      </c>
      <c r="L194" s="267">
        <v>0</v>
      </c>
      <c r="M194" s="267">
        <v>0</v>
      </c>
      <c r="N194" s="269">
        <v>6398.6389999999992</v>
      </c>
      <c r="O194" s="269">
        <v>0</v>
      </c>
      <c r="P194" s="269">
        <v>6240</v>
      </c>
      <c r="Q194" s="269">
        <v>0</v>
      </c>
      <c r="R194" s="269">
        <v>0</v>
      </c>
      <c r="S194" s="270">
        <f t="shared" si="68"/>
        <v>117320.90500000001</v>
      </c>
      <c r="T194" s="272" t="e">
        <f>#REF!+#REF!+#REF!+#REF!+#REF!+#REF!+#REF!+#REF!+#REF!</f>
        <v>#REF!</v>
      </c>
      <c r="U194" s="273" t="e">
        <f t="shared" si="61"/>
        <v>#REF!</v>
      </c>
      <c r="V194" s="274"/>
      <c r="W194" s="123">
        <f t="shared" si="69"/>
        <v>17325.100000000002</v>
      </c>
      <c r="X194" s="123">
        <f t="shared" si="70"/>
        <v>1170</v>
      </c>
      <c r="Y194" s="123">
        <f t="shared" si="71"/>
        <v>0</v>
      </c>
      <c r="Z194" s="123">
        <f t="shared" si="74"/>
        <v>0</v>
      </c>
      <c r="AA194" s="123">
        <f t="shared" si="72"/>
        <v>0</v>
      </c>
      <c r="AB194" s="123">
        <f t="shared" si="75"/>
        <v>10489.572131147539</v>
      </c>
      <c r="AC194" s="123">
        <f t="shared" si="76"/>
        <v>0</v>
      </c>
      <c r="AD194" s="123">
        <f t="shared" si="77"/>
        <v>78000</v>
      </c>
      <c r="AE194" s="123">
        <f t="shared" si="62"/>
        <v>0</v>
      </c>
      <c r="AF194" s="123">
        <f t="shared" si="73"/>
        <v>6240</v>
      </c>
      <c r="AG194" s="298">
        <f t="shared" si="63"/>
        <v>0</v>
      </c>
    </row>
    <row r="195" spans="1:33" x14ac:dyDescent="0.35">
      <c r="A195" s="197">
        <v>3433</v>
      </c>
      <c r="B195" s="198">
        <v>3303433</v>
      </c>
      <c r="C195" s="264" t="s">
        <v>371</v>
      </c>
      <c r="D195" s="198" t="s">
        <v>563</v>
      </c>
      <c r="E195" s="198" t="s">
        <v>564</v>
      </c>
      <c r="F195" s="198" t="s">
        <v>49</v>
      </c>
      <c r="G195" s="197" t="s">
        <v>720</v>
      </c>
      <c r="H195" s="197"/>
      <c r="I195" s="265">
        <v>23177.7</v>
      </c>
      <c r="J195" s="265">
        <v>0</v>
      </c>
      <c r="K195" s="267">
        <v>0</v>
      </c>
      <c r="L195" s="267">
        <v>0</v>
      </c>
      <c r="M195" s="267">
        <v>0</v>
      </c>
      <c r="N195" s="269">
        <v>1127.0999999999999</v>
      </c>
      <c r="O195" s="269">
        <v>894.94736842105272</v>
      </c>
      <c r="P195" s="269">
        <v>2340</v>
      </c>
      <c r="Q195" s="269">
        <v>0</v>
      </c>
      <c r="R195" s="269">
        <v>0</v>
      </c>
      <c r="S195" s="270">
        <f t="shared" si="68"/>
        <v>27539.747368421053</v>
      </c>
      <c r="T195" s="272" t="e">
        <f>#REF!+#REF!+#REF!+#REF!+#REF!+#REF!+#REF!+#REF!+#REF!</f>
        <v>#REF!</v>
      </c>
      <c r="U195" s="273" t="e">
        <f t="shared" si="61"/>
        <v>#REF!</v>
      </c>
      <c r="V195" s="274"/>
      <c r="W195" s="123">
        <f t="shared" si="69"/>
        <v>4095</v>
      </c>
      <c r="X195" s="297">
        <f t="shared" si="70"/>
        <v>0</v>
      </c>
      <c r="Y195" s="123">
        <f t="shared" si="71"/>
        <v>0</v>
      </c>
      <c r="Z195" s="123">
        <f t="shared" si="74"/>
        <v>0</v>
      </c>
      <c r="AA195" s="123">
        <f t="shared" si="72"/>
        <v>0</v>
      </c>
      <c r="AB195" s="123">
        <f t="shared" si="75"/>
        <v>1847.7049180327867</v>
      </c>
      <c r="AC195" s="123">
        <f t="shared" si="76"/>
        <v>3086.0254083484579</v>
      </c>
      <c r="AD195" s="123">
        <f t="shared" si="77"/>
        <v>29250</v>
      </c>
      <c r="AE195" s="123">
        <f t="shared" si="62"/>
        <v>11.993398129470018</v>
      </c>
      <c r="AF195" s="123">
        <f t="shared" si="73"/>
        <v>2340</v>
      </c>
      <c r="AG195" s="298">
        <f t="shared" si="63"/>
        <v>0</v>
      </c>
    </row>
    <row r="196" spans="1:33" x14ac:dyDescent="0.35">
      <c r="A196" s="197">
        <v>4001</v>
      </c>
      <c r="B196" s="198">
        <v>3304001</v>
      </c>
      <c r="C196" s="264" t="s">
        <v>372</v>
      </c>
      <c r="D196" s="198" t="s">
        <v>563</v>
      </c>
      <c r="E196" s="198" t="s">
        <v>564</v>
      </c>
      <c r="F196" s="198" t="s">
        <v>49</v>
      </c>
      <c r="G196" s="197" t="s">
        <v>721</v>
      </c>
      <c r="H196" s="197"/>
      <c r="I196" s="265">
        <v>28696.2</v>
      </c>
      <c r="J196" s="265">
        <v>0</v>
      </c>
      <c r="K196" s="267">
        <v>0</v>
      </c>
      <c r="L196" s="267">
        <v>0</v>
      </c>
      <c r="M196" s="267">
        <v>0</v>
      </c>
      <c r="N196" s="269">
        <v>2174.25</v>
      </c>
      <c r="O196" s="269">
        <v>894.94736842105272</v>
      </c>
      <c r="P196" s="269">
        <v>2535</v>
      </c>
      <c r="Q196" s="269">
        <v>0</v>
      </c>
      <c r="R196" s="269">
        <v>0</v>
      </c>
      <c r="S196" s="270">
        <f t="shared" si="68"/>
        <v>34300.39736842105</v>
      </c>
      <c r="T196" s="272" t="e">
        <f>#REF!+#REF!+#REF!+#REF!+#REF!+#REF!+#REF!+#REF!+#REF!</f>
        <v>#REF!</v>
      </c>
      <c r="U196" s="273" t="e">
        <f t="shared" si="61"/>
        <v>#REF!</v>
      </c>
      <c r="V196" s="274"/>
      <c r="W196" s="123">
        <f t="shared" si="69"/>
        <v>5070</v>
      </c>
      <c r="X196" s="297">
        <f t="shared" si="70"/>
        <v>0</v>
      </c>
      <c r="Y196" s="123">
        <f t="shared" si="71"/>
        <v>0</v>
      </c>
      <c r="Z196" s="123">
        <f t="shared" si="74"/>
        <v>0</v>
      </c>
      <c r="AA196" s="123">
        <f t="shared" si="72"/>
        <v>0</v>
      </c>
      <c r="AB196" s="123">
        <f t="shared" si="75"/>
        <v>3564.344262295082</v>
      </c>
      <c r="AC196" s="123">
        <f t="shared" si="76"/>
        <v>3086.0254083484579</v>
      </c>
      <c r="AD196" s="123">
        <f t="shared" si="77"/>
        <v>31687.5</v>
      </c>
      <c r="AE196" s="123">
        <f t="shared" si="62"/>
        <v>11.993398129470018</v>
      </c>
      <c r="AF196" s="123">
        <f t="shared" si="73"/>
        <v>2535</v>
      </c>
      <c r="AG196" s="298">
        <f t="shared" si="63"/>
        <v>0</v>
      </c>
    </row>
    <row r="197" spans="1:33" x14ac:dyDescent="0.35">
      <c r="A197" s="197">
        <v>4019</v>
      </c>
      <c r="B197" s="198">
        <v>3304019</v>
      </c>
      <c r="C197" s="264" t="s">
        <v>373</v>
      </c>
      <c r="D197" s="198" t="s">
        <v>563</v>
      </c>
      <c r="E197" s="198" t="s">
        <v>564</v>
      </c>
      <c r="F197" s="198" t="s">
        <v>49</v>
      </c>
      <c r="G197" s="197" t="s">
        <v>722</v>
      </c>
      <c r="H197" s="197"/>
      <c r="I197" s="265">
        <v>104851.5</v>
      </c>
      <c r="J197" s="265">
        <v>7725.9000000000005</v>
      </c>
      <c r="K197" s="267">
        <v>0</v>
      </c>
      <c r="L197" s="267">
        <v>0</v>
      </c>
      <c r="M197" s="267">
        <v>0</v>
      </c>
      <c r="N197" s="269">
        <v>1353.3</v>
      </c>
      <c r="O197" s="269">
        <v>1342.421052631579</v>
      </c>
      <c r="P197" s="269">
        <v>3510</v>
      </c>
      <c r="Q197" s="269">
        <v>0</v>
      </c>
      <c r="R197" s="269">
        <v>0</v>
      </c>
      <c r="S197" s="270">
        <f t="shared" si="68"/>
        <v>118783.12105263157</v>
      </c>
      <c r="T197" s="272" t="e">
        <f>#REF!+#REF!+#REF!+#REF!+#REF!+#REF!+#REF!+#REF!+#REF!</f>
        <v>#REF!</v>
      </c>
      <c r="U197" s="273" t="e">
        <f t="shared" si="61"/>
        <v>#REF!</v>
      </c>
      <c r="V197" s="274"/>
      <c r="W197" s="123">
        <f t="shared" si="69"/>
        <v>18525</v>
      </c>
      <c r="X197" s="297">
        <f t="shared" si="70"/>
        <v>1365</v>
      </c>
      <c r="Y197" s="123">
        <f t="shared" si="71"/>
        <v>0</v>
      </c>
      <c r="Z197" s="123">
        <f t="shared" si="74"/>
        <v>0</v>
      </c>
      <c r="AA197" s="123">
        <f t="shared" si="72"/>
        <v>0</v>
      </c>
      <c r="AB197" s="123">
        <f t="shared" si="75"/>
        <v>2218.5245901639346</v>
      </c>
      <c r="AC197" s="123">
        <f t="shared" si="76"/>
        <v>4629.0381125226868</v>
      </c>
      <c r="AD197" s="123">
        <f t="shared" si="77"/>
        <v>43875</v>
      </c>
      <c r="AE197" s="123">
        <f t="shared" si="62"/>
        <v>17.990097194205024</v>
      </c>
      <c r="AF197" s="123">
        <f t="shared" si="73"/>
        <v>3510</v>
      </c>
      <c r="AG197" s="298">
        <f t="shared" si="63"/>
        <v>0</v>
      </c>
    </row>
    <row r="198" spans="1:33" x14ac:dyDescent="0.35">
      <c r="A198" s="197">
        <v>4038</v>
      </c>
      <c r="B198" s="198">
        <v>3304038</v>
      </c>
      <c r="C198" s="264" t="s">
        <v>374</v>
      </c>
      <c r="D198" s="198" t="s">
        <v>563</v>
      </c>
      <c r="E198" s="198" t="s">
        <v>564</v>
      </c>
      <c r="F198" s="198" t="s">
        <v>49</v>
      </c>
      <c r="G198" s="197" t="s">
        <v>723</v>
      </c>
      <c r="H198" s="197"/>
      <c r="I198" s="265">
        <v>135755.1</v>
      </c>
      <c r="J198" s="265">
        <v>4414.8</v>
      </c>
      <c r="K198" s="267">
        <v>0</v>
      </c>
      <c r="L198" s="267">
        <v>0</v>
      </c>
      <c r="M198" s="267">
        <v>0</v>
      </c>
      <c r="N198" s="269">
        <v>4065.75</v>
      </c>
      <c r="O198" s="269">
        <v>74.578947368421055</v>
      </c>
      <c r="P198" s="269">
        <v>1365</v>
      </c>
      <c r="Q198" s="269">
        <v>0</v>
      </c>
      <c r="R198" s="269">
        <v>0</v>
      </c>
      <c r="S198" s="270">
        <f t="shared" si="68"/>
        <v>145675.22894736842</v>
      </c>
      <c r="T198" s="272" t="e">
        <f>#REF!+#REF!+#REF!+#REF!+#REF!+#REF!+#REF!+#REF!+#REF!</f>
        <v>#REF!</v>
      </c>
      <c r="U198" s="273" t="e">
        <f t="shared" si="61"/>
        <v>#REF!</v>
      </c>
      <c r="V198" s="274"/>
      <c r="W198" s="123">
        <f t="shared" si="69"/>
        <v>23985</v>
      </c>
      <c r="X198" s="297">
        <f t="shared" si="70"/>
        <v>780</v>
      </c>
      <c r="Y198" s="123">
        <f t="shared" si="71"/>
        <v>0</v>
      </c>
      <c r="Z198" s="123">
        <f t="shared" si="74"/>
        <v>0</v>
      </c>
      <c r="AA198" s="123">
        <f t="shared" si="72"/>
        <v>0</v>
      </c>
      <c r="AB198" s="123">
        <f t="shared" si="75"/>
        <v>6665.1639344262294</v>
      </c>
      <c r="AC198" s="123">
        <f t="shared" si="76"/>
        <v>257.16878402903814</v>
      </c>
      <c r="AD198" s="123">
        <f t="shared" si="77"/>
        <v>17062.5</v>
      </c>
      <c r="AE198" s="123">
        <f t="shared" si="62"/>
        <v>0.99944984412250137</v>
      </c>
      <c r="AF198" s="123">
        <f t="shared" si="73"/>
        <v>1365</v>
      </c>
      <c r="AG198" s="298">
        <f t="shared" si="63"/>
        <v>0</v>
      </c>
    </row>
    <row r="199" spans="1:33" x14ac:dyDescent="0.35">
      <c r="A199" s="197">
        <v>5201</v>
      </c>
      <c r="B199" s="198">
        <v>3305201</v>
      </c>
      <c r="C199" s="264" t="s">
        <v>375</v>
      </c>
      <c r="D199" s="198" t="s">
        <v>563</v>
      </c>
      <c r="E199" s="198" t="s">
        <v>564</v>
      </c>
      <c r="F199" s="198" t="s">
        <v>49</v>
      </c>
      <c r="G199" s="197" t="s">
        <v>724</v>
      </c>
      <c r="H199" s="197"/>
      <c r="I199" s="265">
        <v>27592.5</v>
      </c>
      <c r="J199" s="265">
        <v>0</v>
      </c>
      <c r="K199" s="267">
        <v>0</v>
      </c>
      <c r="L199" s="267">
        <v>0</v>
      </c>
      <c r="M199" s="267">
        <v>0</v>
      </c>
      <c r="N199" s="269">
        <v>15.6</v>
      </c>
      <c r="O199" s="269">
        <v>74.578947368421055</v>
      </c>
      <c r="P199" s="269">
        <v>195</v>
      </c>
      <c r="Q199" s="269">
        <v>0</v>
      </c>
      <c r="R199" s="269">
        <v>0</v>
      </c>
      <c r="S199" s="270">
        <f t="shared" si="68"/>
        <v>27877.678947368418</v>
      </c>
      <c r="T199" s="272" t="e">
        <f>#REF!+#REF!+#REF!+#REF!+#REF!+#REF!+#REF!+#REF!+#REF!</f>
        <v>#REF!</v>
      </c>
      <c r="U199" s="273" t="e">
        <f t="shared" si="61"/>
        <v>#REF!</v>
      </c>
      <c r="V199" s="274"/>
      <c r="W199" s="123">
        <f t="shared" si="69"/>
        <v>4875</v>
      </c>
      <c r="X199" s="297">
        <f t="shared" si="70"/>
        <v>0</v>
      </c>
      <c r="Y199" s="123">
        <f t="shared" si="71"/>
        <v>0</v>
      </c>
      <c r="Z199" s="123">
        <f t="shared" si="74"/>
        <v>0</v>
      </c>
      <c r="AA199" s="123">
        <f t="shared" si="72"/>
        <v>0</v>
      </c>
      <c r="AB199" s="123">
        <f t="shared" si="75"/>
        <v>25.57377049180328</v>
      </c>
      <c r="AC199" s="123">
        <f t="shared" si="76"/>
        <v>257.16878402903814</v>
      </c>
      <c r="AD199" s="123">
        <f t="shared" si="77"/>
        <v>2437.5</v>
      </c>
      <c r="AE199" s="123">
        <f t="shared" si="62"/>
        <v>0.99944984412250137</v>
      </c>
      <c r="AF199" s="123">
        <f t="shared" si="73"/>
        <v>195</v>
      </c>
      <c r="AG199" s="298">
        <f t="shared" si="63"/>
        <v>0</v>
      </c>
    </row>
    <row r="200" spans="1:33" x14ac:dyDescent="0.35">
      <c r="A200" s="197">
        <v>5203</v>
      </c>
      <c r="B200" s="198">
        <v>3305203</v>
      </c>
      <c r="C200" s="264" t="s">
        <v>159</v>
      </c>
      <c r="D200" s="198" t="s">
        <v>563</v>
      </c>
      <c r="E200" s="198" t="s">
        <v>450</v>
      </c>
      <c r="F200" s="198" t="s">
        <v>27</v>
      </c>
      <c r="G200" s="197" t="s">
        <v>725</v>
      </c>
      <c r="H200" s="197"/>
      <c r="I200" s="265">
        <v>57392.4</v>
      </c>
      <c r="J200" s="265">
        <v>47459.1</v>
      </c>
      <c r="K200" s="267">
        <v>0</v>
      </c>
      <c r="L200" s="267">
        <v>0</v>
      </c>
      <c r="M200" s="267">
        <v>0</v>
      </c>
      <c r="N200" s="269">
        <v>31.2</v>
      </c>
      <c r="O200" s="269">
        <v>223.73684210526318</v>
      </c>
      <c r="P200" s="269">
        <v>780</v>
      </c>
      <c r="Q200" s="269">
        <v>0</v>
      </c>
      <c r="R200" s="269">
        <v>0</v>
      </c>
      <c r="S200" s="270">
        <f t="shared" si="68"/>
        <v>105886.43684210526</v>
      </c>
      <c r="T200" s="272" t="e">
        <f>#REF!+#REF!+#REF!+#REF!+#REF!+#REF!+#REF!+#REF!+#REF!</f>
        <v>#REF!</v>
      </c>
      <c r="U200" s="273" t="e">
        <f t="shared" si="61"/>
        <v>#REF!</v>
      </c>
      <c r="V200" s="274"/>
      <c r="W200" s="123">
        <f t="shared" si="69"/>
        <v>10140</v>
      </c>
      <c r="X200" s="123">
        <f t="shared" si="70"/>
        <v>8385</v>
      </c>
      <c r="Y200" s="123">
        <f t="shared" si="71"/>
        <v>0</v>
      </c>
      <c r="Z200" s="123">
        <f t="shared" si="74"/>
        <v>0</v>
      </c>
      <c r="AA200" s="123">
        <f t="shared" si="72"/>
        <v>0</v>
      </c>
      <c r="AB200" s="123">
        <f t="shared" si="75"/>
        <v>51.147540983606561</v>
      </c>
      <c r="AC200" s="123">
        <f t="shared" si="76"/>
        <v>771.50635208711446</v>
      </c>
      <c r="AD200" s="123">
        <f t="shared" si="77"/>
        <v>9750</v>
      </c>
      <c r="AE200" s="123">
        <f t="shared" si="62"/>
        <v>2.9983495323675045</v>
      </c>
      <c r="AF200" s="123">
        <f t="shared" si="73"/>
        <v>780</v>
      </c>
      <c r="AG200" s="298">
        <f t="shared" si="63"/>
        <v>0</v>
      </c>
    </row>
    <row r="201" spans="1:33" ht="26" x14ac:dyDescent="0.35">
      <c r="A201" s="197">
        <v>5205</v>
      </c>
      <c r="B201" s="198">
        <v>3305205</v>
      </c>
      <c r="C201" s="264" t="s">
        <v>376</v>
      </c>
      <c r="D201" s="198" t="s">
        <v>563</v>
      </c>
      <c r="E201" s="198" t="s">
        <v>564</v>
      </c>
      <c r="F201" s="198" t="s">
        <v>49</v>
      </c>
      <c r="G201" s="197" t="s">
        <v>726</v>
      </c>
      <c r="H201" s="285" t="s">
        <v>727</v>
      </c>
      <c r="I201" s="286">
        <v>26341.64</v>
      </c>
      <c r="J201" s="286">
        <v>17659.2</v>
      </c>
      <c r="K201" s="287">
        <v>0</v>
      </c>
      <c r="L201" s="287">
        <v>0</v>
      </c>
      <c r="M201" s="287">
        <v>0</v>
      </c>
      <c r="N201" s="288">
        <v>444.34000000000003</v>
      </c>
      <c r="O201" s="288">
        <v>149.15789473684211</v>
      </c>
      <c r="P201" s="288">
        <v>390</v>
      </c>
      <c r="Q201" s="288">
        <v>0</v>
      </c>
      <c r="R201" s="288">
        <v>0</v>
      </c>
      <c r="S201" s="270">
        <f t="shared" si="68"/>
        <v>44984.337894736833</v>
      </c>
      <c r="T201" s="289" t="e">
        <f>#REF!+#REF!+#REF!+#REF!+#REF!+#REF!+#REF!+#REF!+#REF!</f>
        <v>#REF!</v>
      </c>
      <c r="U201" s="290" t="e">
        <f t="shared" si="61"/>
        <v>#REF!</v>
      </c>
      <c r="V201" s="274"/>
      <c r="W201" s="123">
        <f t="shared" si="69"/>
        <v>4654</v>
      </c>
      <c r="X201" s="297">
        <f t="shared" si="70"/>
        <v>3120</v>
      </c>
      <c r="Y201" s="123">
        <f t="shared" si="71"/>
        <v>0</v>
      </c>
      <c r="Z201" s="123">
        <f t="shared" si="74"/>
        <v>0</v>
      </c>
      <c r="AA201" s="123">
        <f t="shared" si="72"/>
        <v>0</v>
      </c>
      <c r="AB201" s="123">
        <f t="shared" si="75"/>
        <v>728.4262295081968</v>
      </c>
      <c r="AC201" s="123">
        <f t="shared" si="76"/>
        <v>514.33756805807627</v>
      </c>
      <c r="AD201" s="123">
        <f t="shared" si="77"/>
        <v>4875</v>
      </c>
      <c r="AE201" s="123">
        <f t="shared" si="62"/>
        <v>1.9988996882450027</v>
      </c>
      <c r="AF201" s="123">
        <f t="shared" si="73"/>
        <v>390</v>
      </c>
      <c r="AG201" s="298">
        <f t="shared" si="63"/>
        <v>0</v>
      </c>
    </row>
    <row r="202" spans="1:33" x14ac:dyDescent="0.35">
      <c r="J202" s="291"/>
      <c r="S202" s="270">
        <f t="shared" si="68"/>
        <v>0</v>
      </c>
      <c r="T202" s="292" t="e">
        <f>SUM(T11:T201)</f>
        <v>#REF!</v>
      </c>
      <c r="U202" s="231" t="e">
        <f>SUM(U11:U201)</f>
        <v>#REF!</v>
      </c>
      <c r="V202" s="274"/>
    </row>
    <row r="203" spans="1:33" x14ac:dyDescent="0.35">
      <c r="B203" s="226" t="s">
        <v>728</v>
      </c>
      <c r="H203" s="231"/>
      <c r="V203" s="274"/>
    </row>
    <row r="204" spans="1:33" ht="60.65" customHeight="1" x14ac:dyDescent="0.35">
      <c r="E204" s="182" t="s">
        <v>564</v>
      </c>
      <c r="F204" s="182" t="s">
        <v>49</v>
      </c>
      <c r="G204" s="231" t="e">
        <f>SUMIF($E$11:$E$201,$E204,$U$11:$U$201)</f>
        <v>#REF!</v>
      </c>
      <c r="H204" s="229"/>
      <c r="S204" s="293">
        <f>SUMIFS($S$11:$S$201,$E$11:$E$201,"n")</f>
        <v>8609753.1270000003</v>
      </c>
      <c r="T204" s="293" t="e">
        <f>SUMIFS($T$11:$T$201,$E$11:$E$201,"n")</f>
        <v>#REF!</v>
      </c>
      <c r="U204" s="293" t="e">
        <f>SUMIFS($U$11:$U$201,$E$11:$E$201,"n")</f>
        <v>#REF!</v>
      </c>
      <c r="V204" s="274"/>
    </row>
    <row r="205" spans="1:33" x14ac:dyDescent="0.35">
      <c r="E205" s="182" t="s">
        <v>450</v>
      </c>
      <c r="F205" s="182" t="s">
        <v>729</v>
      </c>
      <c r="G205" s="231" t="e">
        <f>SUMIF($E$11:$E$201,$E205,$U$11:$U$201)</f>
        <v>#REF!</v>
      </c>
      <c r="H205" s="229"/>
      <c r="S205" s="293">
        <f>SUMIFS($S$11:$S$201,$E$11:$E$201,"y")</f>
        <v>4680870.9768421054</v>
      </c>
      <c r="T205" s="293" t="e">
        <f>SUMIFS($T$11:$T$201,$E$11:$E$201,"y")</f>
        <v>#REF!</v>
      </c>
      <c r="U205" s="293" t="e">
        <f>SUMIFS($U$11:$U$201,$E$11:$E$201,"y")</f>
        <v>#REF!</v>
      </c>
      <c r="V205" s="274"/>
    </row>
    <row r="206" spans="1:33" ht="16" thickBot="1" x14ac:dyDescent="0.4">
      <c r="G206" s="294" t="e">
        <f>SUM(G204:G205)</f>
        <v>#REF!</v>
      </c>
      <c r="H206" s="229" t="e">
        <f>IF(G206=U202,TRUE,FALSE)</f>
        <v>#REF!</v>
      </c>
      <c r="S206" s="295">
        <f>SUM(S204:S205)</f>
        <v>13290624.103842106</v>
      </c>
      <c r="T206" s="295" t="e">
        <f>SUM(T204:T205)</f>
        <v>#REF!</v>
      </c>
      <c r="U206" s="295" t="e">
        <f>SUM(U204:U205)</f>
        <v>#REF!</v>
      </c>
    </row>
    <row r="207" spans="1:33" ht="16" thickTop="1" x14ac:dyDescent="0.35">
      <c r="H207" s="229"/>
    </row>
    <row r="208" spans="1:33" x14ac:dyDescent="0.35">
      <c r="F208" s="182" t="s">
        <v>730</v>
      </c>
      <c r="H208" s="229"/>
    </row>
    <row r="209" spans="6:24" x14ac:dyDescent="0.35">
      <c r="F209" s="182" t="s">
        <v>27</v>
      </c>
      <c r="G209" s="231" t="e">
        <f>SUMIF($F$11:$F$202,$F209,$U$11:$U$202)</f>
        <v>#REF!</v>
      </c>
    </row>
    <row r="210" spans="6:24" x14ac:dyDescent="0.35">
      <c r="F210" s="182" t="s">
        <v>246</v>
      </c>
      <c r="G210" s="231">
        <f>SUMIF($F$11:$F$202,$F210,$U$11:$U$202)</f>
        <v>0</v>
      </c>
    </row>
    <row r="211" spans="6:24" x14ac:dyDescent="0.35">
      <c r="F211" s="182" t="s">
        <v>245</v>
      </c>
      <c r="G211" s="231" t="e">
        <f>SUMIF($F$11:$F$202,$F211,$U$11:$U$202)</f>
        <v>#REF!</v>
      </c>
    </row>
    <row r="212" spans="6:24" ht="16" thickBot="1" x14ac:dyDescent="0.4">
      <c r="G212" s="296" t="e">
        <f>SUM(G209:G211)</f>
        <v>#REF!</v>
      </c>
    </row>
    <row r="219" spans="6:24" x14ac:dyDescent="0.35">
      <c r="W219" s="443"/>
      <c r="X219" s="443"/>
    </row>
    <row r="223" spans="6:24" x14ac:dyDescent="0.35">
      <c r="W223" s="443"/>
    </row>
    <row r="224" spans="6:24" x14ac:dyDescent="0.35">
      <c r="W224" s="329"/>
    </row>
  </sheetData>
  <autoFilter ref="A10:CH206" xr:uid="{EF2ABB59-21E8-41BC-9D6B-54C89704DEA6}"/>
  <mergeCells count="1">
    <mergeCell ref="A9:H9"/>
  </mergeCells>
  <conditionalFormatting sqref="B1:B1048576 F1 J1 N1 R1 V1 Z1 AD1">
    <cfRule type="duplicateValues" dxfId="0" priority="1"/>
  </conditionalFormatting>
  <hyperlinks>
    <hyperlink ref="I10" location="'Universal 15h for 3&amp;4YOs'!A1" display="Universal 15h for 3&amp;4YOs" xr:uid="{7C4E69A7-E821-4642-BBEA-60C68F22CF90}"/>
    <hyperlink ref="J10" location="'Additional 15h for 3&amp;4YOs'!A1" display="Additional 15h for 3&amp;4YOs" xr:uid="{C0EE9175-844F-4810-9A55-030291815F3A}"/>
    <hyperlink ref="P10" location="EYPP!A1" display="EYPP" xr:uid="{D253A875-86C7-4BE9-B911-E79B208991FB}"/>
    <hyperlink ref="K10" location="'15h for 2YOs'!A1" display="15h for 2YOs" xr:uid="{90C62961-0972-453C-9AF3-E39917A42220}"/>
    <hyperlink ref="M10" location="DAF!A1" display="DAF" xr:uid="{DE14236D-0BD7-4017-A086-B9EB6540C827}"/>
    <hyperlink ref="O10" location="FSM!A1" display="FSM" xr:uid="{7CB541EA-C3E5-4044-ABCA-2A5327E50770}"/>
    <hyperlink ref="N10" location="'Deprivation Supplement'!A1" display="Deprivation supplement" xr:uid="{32818F43-0C0F-4153-A323-A0E673D0CFB6}"/>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19604-7C4C-4975-855E-79DFD32D275D}">
  <sheetPr filterMode="1"/>
  <dimension ref="A1:BU200"/>
  <sheetViews>
    <sheetView topLeftCell="AI1" workbookViewId="0">
      <pane ySplit="1" topLeftCell="A4" activePane="bottomLeft" state="frozen"/>
      <selection pane="bottomLeft" activeCell="AU4" sqref="AU4"/>
    </sheetView>
  </sheetViews>
  <sheetFormatPr defaultColWidth="9.1796875" defaultRowHeight="12.5" x14ac:dyDescent="0.25"/>
  <cols>
    <col min="1" max="1" width="9.1796875" style="364"/>
    <col min="2" max="2" width="54.1796875" style="364" bestFit="1" customWidth="1"/>
    <col min="3" max="7" width="9.1796875" style="365"/>
    <col min="8" max="45" width="9.1796875" style="364"/>
    <col min="46" max="47" width="9.1796875" style="467"/>
    <col min="48" max="48" width="9.1796875" style="364"/>
    <col min="49" max="49" width="10.453125" style="364" customWidth="1"/>
    <col min="50" max="52" width="9.1796875" style="364"/>
    <col min="53" max="55" width="9.1796875" style="366"/>
    <col min="56" max="58" width="9.1796875" style="364"/>
    <col min="59" max="59" width="14.81640625" style="364" customWidth="1"/>
    <col min="60" max="60" width="16.54296875" style="364" customWidth="1"/>
    <col min="61" max="62" width="14.26953125" style="364" customWidth="1"/>
    <col min="63" max="63" width="18.54296875" style="364" customWidth="1"/>
    <col min="64" max="64" width="14.81640625" style="364" customWidth="1"/>
    <col min="65" max="65" width="17" style="364" customWidth="1"/>
    <col min="66" max="16384" width="9.1796875" style="364"/>
  </cols>
  <sheetData>
    <row r="1" spans="1:73" s="367" customFormat="1" ht="77.5" customHeight="1" x14ac:dyDescent="0.35">
      <c r="A1" s="367" t="s">
        <v>225</v>
      </c>
      <c r="B1" s="367" t="s">
        <v>226</v>
      </c>
      <c r="C1" s="368" t="s">
        <v>780</v>
      </c>
      <c r="D1" s="368" t="s">
        <v>781</v>
      </c>
      <c r="E1" s="368" t="s">
        <v>782</v>
      </c>
      <c r="F1" s="368" t="s">
        <v>783</v>
      </c>
      <c r="G1" s="368" t="s">
        <v>784</v>
      </c>
      <c r="H1" s="369" t="s">
        <v>785</v>
      </c>
      <c r="I1" s="369" t="s">
        <v>786</v>
      </c>
      <c r="J1" s="368" t="s">
        <v>787</v>
      </c>
      <c r="K1" s="368" t="s">
        <v>788</v>
      </c>
      <c r="L1" s="369" t="s">
        <v>789</v>
      </c>
      <c r="M1" s="368" t="s">
        <v>790</v>
      </c>
      <c r="N1" s="368" t="s">
        <v>791</v>
      </c>
      <c r="O1" s="368" t="s">
        <v>792</v>
      </c>
      <c r="P1" s="368" t="s">
        <v>793</v>
      </c>
      <c r="Q1" s="369" t="s">
        <v>794</v>
      </c>
      <c r="R1" s="368" t="s">
        <v>795</v>
      </c>
      <c r="S1" s="368" t="s">
        <v>796</v>
      </c>
      <c r="T1" s="368" t="s">
        <v>797</v>
      </c>
      <c r="U1" s="368" t="s">
        <v>798</v>
      </c>
      <c r="V1" s="369" t="s">
        <v>799</v>
      </c>
      <c r="W1" s="370" t="s">
        <v>800</v>
      </c>
      <c r="X1" s="370" t="s">
        <v>801</v>
      </c>
      <c r="Y1" s="371" t="s">
        <v>802</v>
      </c>
      <c r="Z1" s="370" t="s">
        <v>803</v>
      </c>
      <c r="AA1" s="370" t="s">
        <v>804</v>
      </c>
      <c r="AB1" s="371" t="s">
        <v>805</v>
      </c>
      <c r="AC1" s="370" t="s">
        <v>806</v>
      </c>
      <c r="AD1" s="370" t="s">
        <v>807</v>
      </c>
      <c r="AE1" s="371" t="s">
        <v>808</v>
      </c>
      <c r="AF1" s="368" t="s">
        <v>809</v>
      </c>
      <c r="AG1" s="368" t="s">
        <v>810</v>
      </c>
      <c r="AH1" s="372" t="s">
        <v>811</v>
      </c>
      <c r="AI1" s="368" t="s">
        <v>812</v>
      </c>
      <c r="AJ1" s="368" t="s">
        <v>813</v>
      </c>
      <c r="AK1" s="372" t="s">
        <v>814</v>
      </c>
      <c r="AL1" s="368" t="s">
        <v>815</v>
      </c>
      <c r="AM1" s="368" t="s">
        <v>816</v>
      </c>
      <c r="AN1" s="372" t="s">
        <v>817</v>
      </c>
      <c r="AO1" s="373" t="s">
        <v>818</v>
      </c>
      <c r="AP1" s="374" t="s">
        <v>819</v>
      </c>
      <c r="AQ1" s="464" t="s">
        <v>1105</v>
      </c>
      <c r="AR1" s="368" t="s">
        <v>821</v>
      </c>
      <c r="AS1" s="372" t="s">
        <v>822</v>
      </c>
      <c r="AT1" s="464" t="s">
        <v>1106</v>
      </c>
      <c r="AU1" s="464" t="s">
        <v>1107</v>
      </c>
      <c r="AV1" s="368" t="s">
        <v>823</v>
      </c>
      <c r="AW1" s="368" t="s">
        <v>824</v>
      </c>
      <c r="AX1" s="372" t="s">
        <v>825</v>
      </c>
      <c r="AY1" s="368" t="s">
        <v>1108</v>
      </c>
      <c r="AZ1" s="368" t="s">
        <v>1109</v>
      </c>
      <c r="BA1" s="372" t="s">
        <v>1110</v>
      </c>
      <c r="BB1" s="373" t="s">
        <v>829</v>
      </c>
      <c r="BC1" s="373" t="s">
        <v>830</v>
      </c>
      <c r="BD1" s="368" t="s">
        <v>831</v>
      </c>
      <c r="BE1" s="368" t="s">
        <v>832</v>
      </c>
      <c r="BF1" s="375" t="s">
        <v>833</v>
      </c>
      <c r="BG1" s="376" t="s">
        <v>834</v>
      </c>
      <c r="BH1" s="376" t="s">
        <v>835</v>
      </c>
      <c r="BI1" s="376" t="s">
        <v>836</v>
      </c>
      <c r="BJ1" s="376" t="s">
        <v>837</v>
      </c>
      <c r="BK1" s="376" t="s">
        <v>838</v>
      </c>
      <c r="BL1" s="376" t="s">
        <v>839</v>
      </c>
      <c r="BM1" s="376" t="s">
        <v>840</v>
      </c>
      <c r="BO1" s="367" t="s">
        <v>1113</v>
      </c>
      <c r="BP1" s="367" t="s">
        <v>1114</v>
      </c>
      <c r="BR1" s="367" t="s">
        <v>1113</v>
      </c>
      <c r="BS1" s="367" t="s">
        <v>1114</v>
      </c>
      <c r="BT1" s="367" t="s">
        <v>1115</v>
      </c>
      <c r="BU1" s="367" t="s">
        <v>1115</v>
      </c>
    </row>
    <row r="2" spans="1:73" ht="13" hidden="1" x14ac:dyDescent="0.3">
      <c r="A2" s="364">
        <v>3301000</v>
      </c>
      <c r="B2" s="364" t="s">
        <v>207</v>
      </c>
      <c r="C2" s="365">
        <v>0</v>
      </c>
      <c r="D2" s="365">
        <v>0</v>
      </c>
      <c r="E2" s="365">
        <v>0</v>
      </c>
      <c r="F2" s="365">
        <v>43</v>
      </c>
      <c r="G2" s="365">
        <v>30</v>
      </c>
      <c r="H2" s="377">
        <v>0</v>
      </c>
      <c r="I2" s="377">
        <v>73</v>
      </c>
      <c r="J2" s="365">
        <v>12</v>
      </c>
      <c r="K2" s="365">
        <v>11</v>
      </c>
      <c r="L2" s="377">
        <v>23</v>
      </c>
      <c r="M2" s="365">
        <v>0</v>
      </c>
      <c r="N2" s="365">
        <v>0</v>
      </c>
      <c r="O2" s="365">
        <v>642</v>
      </c>
      <c r="P2" s="365">
        <v>450</v>
      </c>
      <c r="Q2" s="377">
        <v>1092</v>
      </c>
      <c r="R2" s="365">
        <v>0</v>
      </c>
      <c r="S2" s="365">
        <v>0</v>
      </c>
      <c r="T2" s="365">
        <v>164.2</v>
      </c>
      <c r="U2" s="365">
        <v>107.4</v>
      </c>
      <c r="V2" s="377">
        <v>271.60000000000002</v>
      </c>
      <c r="W2" s="365">
        <v>12</v>
      </c>
      <c r="X2" s="365">
        <v>180</v>
      </c>
      <c r="Y2" s="378">
        <v>45</v>
      </c>
      <c r="Z2" s="365">
        <v>8</v>
      </c>
      <c r="AA2" s="365">
        <v>120</v>
      </c>
      <c r="AB2" s="378">
        <v>8.5</v>
      </c>
      <c r="AC2" s="365">
        <v>6</v>
      </c>
      <c r="AD2" s="365">
        <v>90</v>
      </c>
      <c r="AE2" s="378">
        <v>15</v>
      </c>
      <c r="AF2" s="379">
        <v>0</v>
      </c>
      <c r="AG2" s="379">
        <v>0</v>
      </c>
      <c r="AH2" s="378">
        <v>0</v>
      </c>
      <c r="AI2" s="379">
        <v>16</v>
      </c>
      <c r="AJ2" s="379">
        <v>240</v>
      </c>
      <c r="AK2" s="378">
        <v>26.5</v>
      </c>
      <c r="AL2" s="365">
        <v>16</v>
      </c>
      <c r="AM2" s="365">
        <v>240</v>
      </c>
      <c r="AN2" s="378">
        <v>26.5</v>
      </c>
      <c r="AO2" s="378"/>
      <c r="AP2" s="378">
        <f>AL2+AO2</f>
        <v>16</v>
      </c>
      <c r="AQ2" s="465">
        <v>0</v>
      </c>
      <c r="AR2" s="379">
        <v>0</v>
      </c>
      <c r="AS2" s="378">
        <v>0</v>
      </c>
      <c r="AT2" s="466">
        <v>13</v>
      </c>
      <c r="AU2" s="466">
        <v>2</v>
      </c>
      <c r="AV2" s="379">
        <v>15</v>
      </c>
      <c r="AW2" s="379">
        <v>225</v>
      </c>
      <c r="AX2" s="378">
        <v>11.5</v>
      </c>
      <c r="AY2" s="365">
        <v>15</v>
      </c>
      <c r="AZ2" s="365">
        <v>225</v>
      </c>
      <c r="BA2" s="378">
        <v>11.5</v>
      </c>
      <c r="BB2" s="378"/>
      <c r="BC2" s="378">
        <f>AY2+BB2</f>
        <v>15</v>
      </c>
      <c r="BD2" s="379">
        <v>0</v>
      </c>
      <c r="BE2" s="379">
        <v>1</v>
      </c>
      <c r="BF2" s="365">
        <v>1</v>
      </c>
      <c r="BO2" s="381">
        <f t="shared" ref="BO2:BO33" si="0">AQ2+AT2</f>
        <v>13</v>
      </c>
      <c r="BP2" s="381">
        <f t="shared" ref="BP2:BP33" si="1">AU2</f>
        <v>2</v>
      </c>
      <c r="BQ2" s="381"/>
      <c r="BR2" s="381">
        <f>_xlfn.XLOOKUP(A2,'Summer data team '!B:B,'Summer data team '!BV:BV,0)</f>
        <v>13</v>
      </c>
      <c r="BS2" s="381">
        <f>_xlfn.XLOOKUP(A2,'Summer data team '!B:B,'Summer data team '!BW:BW,0)</f>
        <v>2</v>
      </c>
      <c r="BT2" s="381">
        <f t="shared" ref="BT2:BT33" si="2">BO2-BR2</f>
        <v>0</v>
      </c>
      <c r="BU2" s="381">
        <f t="shared" ref="BU2:BU33" si="3">BP2-BS2</f>
        <v>0</v>
      </c>
    </row>
    <row r="3" spans="1:73" ht="13" hidden="1" x14ac:dyDescent="0.3">
      <c r="A3" s="364">
        <v>3301001</v>
      </c>
      <c r="B3" s="364" t="s">
        <v>181</v>
      </c>
      <c r="C3" s="365">
        <v>0</v>
      </c>
      <c r="D3" s="365">
        <v>16</v>
      </c>
      <c r="E3" s="365">
        <v>6</v>
      </c>
      <c r="F3" s="365">
        <v>42</v>
      </c>
      <c r="G3" s="365">
        <v>21</v>
      </c>
      <c r="H3" s="377">
        <v>22</v>
      </c>
      <c r="I3" s="377">
        <v>63</v>
      </c>
      <c r="J3" s="365">
        <v>3</v>
      </c>
      <c r="K3" s="365">
        <v>5</v>
      </c>
      <c r="L3" s="377">
        <v>8</v>
      </c>
      <c r="M3" s="365">
        <v>0</v>
      </c>
      <c r="N3" s="365">
        <v>240</v>
      </c>
      <c r="O3" s="365">
        <v>630</v>
      </c>
      <c r="P3" s="365">
        <v>315</v>
      </c>
      <c r="Q3" s="377">
        <v>945</v>
      </c>
      <c r="R3" s="365">
        <v>90</v>
      </c>
      <c r="S3" s="365">
        <v>330</v>
      </c>
      <c r="T3" s="365">
        <v>45</v>
      </c>
      <c r="U3" s="365">
        <v>75</v>
      </c>
      <c r="V3" s="377">
        <v>120</v>
      </c>
      <c r="W3" s="365">
        <v>10</v>
      </c>
      <c r="X3" s="365">
        <v>150</v>
      </c>
      <c r="Y3" s="378">
        <v>0</v>
      </c>
      <c r="Z3" s="365">
        <v>7</v>
      </c>
      <c r="AA3" s="365">
        <v>105</v>
      </c>
      <c r="AB3" s="378">
        <v>0</v>
      </c>
      <c r="AC3" s="365">
        <v>28</v>
      </c>
      <c r="AD3" s="365">
        <v>420</v>
      </c>
      <c r="AE3" s="378">
        <v>30</v>
      </c>
      <c r="AF3" s="379">
        <v>14</v>
      </c>
      <c r="AG3" s="379">
        <v>210</v>
      </c>
      <c r="AH3" s="378">
        <v>0</v>
      </c>
      <c r="AI3" s="379">
        <v>21</v>
      </c>
      <c r="AJ3" s="379">
        <v>315</v>
      </c>
      <c r="AK3" s="378">
        <v>0</v>
      </c>
      <c r="AL3" s="365">
        <v>35</v>
      </c>
      <c r="AM3" s="365">
        <v>525</v>
      </c>
      <c r="AN3" s="378">
        <v>0</v>
      </c>
      <c r="AO3" s="378"/>
      <c r="AP3" s="378">
        <f t="shared" ref="AP3:AP66" si="4">AL3+AO3</f>
        <v>35</v>
      </c>
      <c r="AQ3" s="465">
        <v>0</v>
      </c>
      <c r="AR3" s="379">
        <v>0</v>
      </c>
      <c r="AS3" s="378">
        <v>0</v>
      </c>
      <c r="AT3" s="466">
        <v>0</v>
      </c>
      <c r="AU3" s="466">
        <v>0</v>
      </c>
      <c r="AV3" s="379">
        <v>0</v>
      </c>
      <c r="AW3" s="379">
        <v>0</v>
      </c>
      <c r="AX3" s="378">
        <v>0</v>
      </c>
      <c r="AY3" s="365">
        <v>0</v>
      </c>
      <c r="AZ3" s="365">
        <v>0</v>
      </c>
      <c r="BA3" s="378">
        <v>0</v>
      </c>
      <c r="BB3" s="378"/>
      <c r="BC3" s="378">
        <f t="shared" ref="BC3:BC66" si="5">AY3+BB3</f>
        <v>0</v>
      </c>
      <c r="BD3" s="379">
        <v>0</v>
      </c>
      <c r="BE3" s="379">
        <v>1</v>
      </c>
      <c r="BF3" s="365">
        <v>1</v>
      </c>
      <c r="BO3" s="381">
        <f t="shared" si="0"/>
        <v>0</v>
      </c>
      <c r="BP3" s="381">
        <f t="shared" si="1"/>
        <v>0</v>
      </c>
      <c r="BQ3" s="381"/>
      <c r="BR3" s="381">
        <f>_xlfn.XLOOKUP(A3,'Summer data team '!B:B,'Summer data team '!BV:BV,0)</f>
        <v>0</v>
      </c>
      <c r="BS3" s="381">
        <f>_xlfn.XLOOKUP(A3,'Summer data team '!B:B,'Summer data team '!BW:BW,0)</f>
        <v>0</v>
      </c>
      <c r="BT3" s="381">
        <f t="shared" si="2"/>
        <v>0</v>
      </c>
      <c r="BU3" s="381">
        <f t="shared" si="3"/>
        <v>0</v>
      </c>
    </row>
    <row r="4" spans="1:73" ht="13" x14ac:dyDescent="0.3">
      <c r="A4" s="364">
        <v>3301002</v>
      </c>
      <c r="B4" s="364" t="s">
        <v>46</v>
      </c>
      <c r="C4" s="365">
        <v>0</v>
      </c>
      <c r="D4" s="365">
        <v>32</v>
      </c>
      <c r="E4" s="365">
        <v>3</v>
      </c>
      <c r="F4" s="365">
        <v>57</v>
      </c>
      <c r="G4" s="365">
        <v>33</v>
      </c>
      <c r="H4" s="377">
        <v>35</v>
      </c>
      <c r="I4" s="377">
        <v>90</v>
      </c>
      <c r="J4" s="365">
        <v>2</v>
      </c>
      <c r="K4" s="365">
        <v>1</v>
      </c>
      <c r="L4" s="377">
        <v>3</v>
      </c>
      <c r="M4" s="365">
        <v>0</v>
      </c>
      <c r="N4" s="365">
        <v>480</v>
      </c>
      <c r="O4" s="365">
        <v>855</v>
      </c>
      <c r="P4" s="365">
        <v>495</v>
      </c>
      <c r="Q4" s="377">
        <v>1350</v>
      </c>
      <c r="R4" s="365">
        <v>45</v>
      </c>
      <c r="S4" s="365">
        <v>525</v>
      </c>
      <c r="T4" s="365">
        <v>30</v>
      </c>
      <c r="U4" s="365">
        <v>15</v>
      </c>
      <c r="V4" s="377">
        <v>45</v>
      </c>
      <c r="W4" s="365">
        <v>92</v>
      </c>
      <c r="X4" s="365">
        <v>1380</v>
      </c>
      <c r="Y4" s="378">
        <v>30</v>
      </c>
      <c r="Z4" s="365">
        <v>23</v>
      </c>
      <c r="AA4" s="365">
        <v>345</v>
      </c>
      <c r="AB4" s="378">
        <v>15</v>
      </c>
      <c r="AC4" s="365">
        <v>4</v>
      </c>
      <c r="AD4" s="365">
        <v>60</v>
      </c>
      <c r="AE4" s="378">
        <v>0</v>
      </c>
      <c r="AF4" s="379">
        <v>24</v>
      </c>
      <c r="AG4" s="379">
        <v>360</v>
      </c>
      <c r="AH4" s="378">
        <v>0</v>
      </c>
      <c r="AI4" s="379">
        <v>55</v>
      </c>
      <c r="AJ4" s="379">
        <v>825</v>
      </c>
      <c r="AK4" s="378">
        <v>0</v>
      </c>
      <c r="AL4" s="365">
        <v>79</v>
      </c>
      <c r="AM4" s="365">
        <v>1185</v>
      </c>
      <c r="AN4" s="378">
        <v>0</v>
      </c>
      <c r="AO4" s="378"/>
      <c r="AP4" s="378">
        <f t="shared" si="4"/>
        <v>79</v>
      </c>
      <c r="AQ4" s="465">
        <v>24</v>
      </c>
      <c r="AR4" s="379">
        <v>360</v>
      </c>
      <c r="AS4" s="378">
        <v>0</v>
      </c>
      <c r="AT4" s="466">
        <v>55</v>
      </c>
      <c r="AU4" s="466">
        <v>0</v>
      </c>
      <c r="AV4" s="379">
        <v>55</v>
      </c>
      <c r="AW4" s="379">
        <v>825</v>
      </c>
      <c r="AX4" s="378">
        <v>0</v>
      </c>
      <c r="AY4" s="365">
        <v>79</v>
      </c>
      <c r="AZ4" s="365">
        <v>1185</v>
      </c>
      <c r="BA4" s="378">
        <v>0</v>
      </c>
      <c r="BB4" s="378"/>
      <c r="BC4" s="378">
        <f t="shared" si="5"/>
        <v>79</v>
      </c>
      <c r="BD4" s="379">
        <v>0</v>
      </c>
      <c r="BE4" s="379">
        <v>1</v>
      </c>
      <c r="BF4" s="365">
        <v>1</v>
      </c>
      <c r="BO4" s="381">
        <f t="shared" si="0"/>
        <v>79</v>
      </c>
      <c r="BP4" s="381">
        <f t="shared" si="1"/>
        <v>0</v>
      </c>
      <c r="BQ4" s="381"/>
      <c r="BR4" s="381">
        <f>_xlfn.XLOOKUP(A4,'Summer data team '!B:B,'Summer data team '!BV:BV,0)</f>
        <v>79</v>
      </c>
      <c r="BS4" s="381">
        <f>_xlfn.XLOOKUP(A4,'Summer data team '!B:B,'Summer data team '!BW:BW,0)</f>
        <v>0</v>
      </c>
      <c r="BT4" s="381">
        <f t="shared" si="2"/>
        <v>0</v>
      </c>
      <c r="BU4" s="381">
        <f t="shared" si="3"/>
        <v>0</v>
      </c>
    </row>
    <row r="5" spans="1:73" ht="13" hidden="1" x14ac:dyDescent="0.3">
      <c r="A5" s="364">
        <v>3301006</v>
      </c>
      <c r="B5" s="364" t="s">
        <v>77</v>
      </c>
      <c r="C5" s="365">
        <v>0</v>
      </c>
      <c r="D5" s="365">
        <v>0</v>
      </c>
      <c r="E5" s="365">
        <v>0</v>
      </c>
      <c r="F5" s="365">
        <v>33</v>
      </c>
      <c r="G5" s="365">
        <v>43</v>
      </c>
      <c r="H5" s="377">
        <v>0</v>
      </c>
      <c r="I5" s="377">
        <v>76</v>
      </c>
      <c r="J5" s="365">
        <v>13</v>
      </c>
      <c r="K5" s="365">
        <v>17</v>
      </c>
      <c r="L5" s="377">
        <v>30</v>
      </c>
      <c r="M5" s="365">
        <v>0</v>
      </c>
      <c r="N5" s="365">
        <v>0</v>
      </c>
      <c r="O5" s="365">
        <v>495</v>
      </c>
      <c r="P5" s="365">
        <v>645</v>
      </c>
      <c r="Q5" s="377">
        <v>1140</v>
      </c>
      <c r="R5" s="365">
        <v>0</v>
      </c>
      <c r="S5" s="365">
        <v>0</v>
      </c>
      <c r="T5" s="365">
        <v>195</v>
      </c>
      <c r="U5" s="365">
        <v>255</v>
      </c>
      <c r="V5" s="377">
        <v>450</v>
      </c>
      <c r="W5" s="365">
        <v>14</v>
      </c>
      <c r="X5" s="365">
        <v>210</v>
      </c>
      <c r="Y5" s="378">
        <v>90</v>
      </c>
      <c r="Z5" s="365">
        <v>6</v>
      </c>
      <c r="AA5" s="365">
        <v>90</v>
      </c>
      <c r="AB5" s="378">
        <v>30</v>
      </c>
      <c r="AC5" s="365">
        <v>9</v>
      </c>
      <c r="AD5" s="365">
        <v>135</v>
      </c>
      <c r="AE5" s="378">
        <v>15</v>
      </c>
      <c r="AF5" s="379">
        <v>0</v>
      </c>
      <c r="AG5" s="379">
        <v>0</v>
      </c>
      <c r="AH5" s="378">
        <v>0</v>
      </c>
      <c r="AI5" s="379">
        <v>23</v>
      </c>
      <c r="AJ5" s="379">
        <v>345</v>
      </c>
      <c r="AK5" s="378">
        <v>45</v>
      </c>
      <c r="AL5" s="365">
        <v>23</v>
      </c>
      <c r="AM5" s="365">
        <v>345</v>
      </c>
      <c r="AN5" s="378">
        <v>45</v>
      </c>
      <c r="AO5" s="378"/>
      <c r="AP5" s="378">
        <f t="shared" si="4"/>
        <v>23</v>
      </c>
      <c r="AQ5" s="465">
        <v>0</v>
      </c>
      <c r="AR5" s="379">
        <v>0</v>
      </c>
      <c r="AS5" s="378">
        <v>0</v>
      </c>
      <c r="AT5" s="466">
        <v>0</v>
      </c>
      <c r="AU5" s="466">
        <v>2</v>
      </c>
      <c r="AV5" s="379">
        <v>2</v>
      </c>
      <c r="AW5" s="379">
        <v>30</v>
      </c>
      <c r="AX5" s="378">
        <v>30</v>
      </c>
      <c r="AY5" s="365">
        <v>2</v>
      </c>
      <c r="AZ5" s="365">
        <v>30</v>
      </c>
      <c r="BA5" s="378">
        <v>30</v>
      </c>
      <c r="BB5" s="378"/>
      <c r="BC5" s="378">
        <f t="shared" si="5"/>
        <v>2</v>
      </c>
      <c r="BD5" s="379">
        <v>0</v>
      </c>
      <c r="BE5" s="379">
        <v>9</v>
      </c>
      <c r="BF5" s="365">
        <v>9</v>
      </c>
      <c r="BO5" s="381">
        <f t="shared" si="0"/>
        <v>0</v>
      </c>
      <c r="BP5" s="381">
        <f t="shared" si="1"/>
        <v>2</v>
      </c>
      <c r="BQ5" s="381"/>
      <c r="BR5" s="381">
        <f>_xlfn.XLOOKUP(A5,'Summer data team '!B:B,'Summer data team '!BV:BV,0)</f>
        <v>0</v>
      </c>
      <c r="BS5" s="381">
        <f>_xlfn.XLOOKUP(A5,'Summer data team '!B:B,'Summer data team '!BW:BW,0)</f>
        <v>2</v>
      </c>
      <c r="BT5" s="381">
        <f t="shared" si="2"/>
        <v>0</v>
      </c>
      <c r="BU5" s="381">
        <f t="shared" si="3"/>
        <v>0</v>
      </c>
    </row>
    <row r="6" spans="1:73" ht="13" hidden="1" x14ac:dyDescent="0.3">
      <c r="A6" s="364">
        <v>3301008</v>
      </c>
      <c r="B6" s="364" t="s">
        <v>247</v>
      </c>
      <c r="C6" s="365">
        <v>0</v>
      </c>
      <c r="D6" s="365">
        <v>0</v>
      </c>
      <c r="E6" s="365">
        <v>0</v>
      </c>
      <c r="F6" s="365">
        <v>35</v>
      </c>
      <c r="G6" s="365">
        <v>31</v>
      </c>
      <c r="H6" s="377">
        <v>0</v>
      </c>
      <c r="I6" s="377">
        <v>66</v>
      </c>
      <c r="J6" s="365">
        <v>16</v>
      </c>
      <c r="K6" s="365">
        <v>19</v>
      </c>
      <c r="L6" s="377">
        <v>35</v>
      </c>
      <c r="M6" s="365">
        <v>0</v>
      </c>
      <c r="N6" s="365">
        <v>0</v>
      </c>
      <c r="O6" s="365">
        <v>525</v>
      </c>
      <c r="P6" s="365">
        <v>465</v>
      </c>
      <c r="Q6" s="377">
        <v>990</v>
      </c>
      <c r="R6" s="365">
        <v>0</v>
      </c>
      <c r="S6" s="365">
        <v>0</v>
      </c>
      <c r="T6" s="365">
        <v>240</v>
      </c>
      <c r="U6" s="365">
        <v>285</v>
      </c>
      <c r="V6" s="377">
        <v>525</v>
      </c>
      <c r="W6" s="365">
        <v>1</v>
      </c>
      <c r="X6" s="365">
        <v>15</v>
      </c>
      <c r="Y6" s="378">
        <v>0</v>
      </c>
      <c r="Z6" s="365">
        <v>2</v>
      </c>
      <c r="AA6" s="365">
        <v>30</v>
      </c>
      <c r="AB6" s="378">
        <v>0</v>
      </c>
      <c r="AC6" s="365">
        <v>3</v>
      </c>
      <c r="AD6" s="365">
        <v>45</v>
      </c>
      <c r="AE6" s="378">
        <v>45</v>
      </c>
      <c r="AF6" s="379">
        <v>0</v>
      </c>
      <c r="AG6" s="379">
        <v>0</v>
      </c>
      <c r="AH6" s="378">
        <v>0</v>
      </c>
      <c r="AI6" s="379">
        <v>21</v>
      </c>
      <c r="AJ6" s="379">
        <v>315</v>
      </c>
      <c r="AK6" s="378">
        <v>45</v>
      </c>
      <c r="AL6" s="365">
        <v>21</v>
      </c>
      <c r="AM6" s="365">
        <v>315</v>
      </c>
      <c r="AN6" s="378">
        <v>45</v>
      </c>
      <c r="AO6" s="378"/>
      <c r="AP6" s="378">
        <f t="shared" si="4"/>
        <v>21</v>
      </c>
      <c r="AQ6" s="465">
        <v>0</v>
      </c>
      <c r="AR6" s="379">
        <v>0</v>
      </c>
      <c r="AS6" s="378">
        <v>0</v>
      </c>
      <c r="AT6" s="466">
        <v>0</v>
      </c>
      <c r="AU6" s="466">
        <v>0</v>
      </c>
      <c r="AV6" s="379">
        <v>0</v>
      </c>
      <c r="AW6" s="379">
        <v>0</v>
      </c>
      <c r="AX6" s="378">
        <v>0</v>
      </c>
      <c r="AY6" s="365">
        <v>0</v>
      </c>
      <c r="AZ6" s="365">
        <v>0</v>
      </c>
      <c r="BA6" s="378">
        <v>0</v>
      </c>
      <c r="BB6" s="378"/>
      <c r="BC6" s="378">
        <f t="shared" si="5"/>
        <v>0</v>
      </c>
      <c r="BD6" s="379">
        <v>0</v>
      </c>
      <c r="BE6" s="379">
        <v>1</v>
      </c>
      <c r="BF6" s="365">
        <v>1</v>
      </c>
      <c r="BO6" s="381">
        <f t="shared" si="0"/>
        <v>0</v>
      </c>
      <c r="BP6" s="381">
        <f t="shared" si="1"/>
        <v>0</v>
      </c>
      <c r="BQ6" s="381"/>
      <c r="BR6" s="381">
        <f>_xlfn.XLOOKUP(A6,'Summer data team '!B:B,'Summer data team '!BV:BV,0)</f>
        <v>0</v>
      </c>
      <c r="BS6" s="381">
        <f>_xlfn.XLOOKUP(A6,'Summer data team '!B:B,'Summer data team '!BW:BW,0)</f>
        <v>0</v>
      </c>
      <c r="BT6" s="381">
        <f t="shared" si="2"/>
        <v>0</v>
      </c>
      <c r="BU6" s="381">
        <f t="shared" si="3"/>
        <v>0</v>
      </c>
    </row>
    <row r="7" spans="1:73" ht="13" hidden="1" x14ac:dyDescent="0.3">
      <c r="A7" s="364">
        <v>3301009</v>
      </c>
      <c r="B7" s="364" t="s">
        <v>248</v>
      </c>
      <c r="C7" s="365">
        <v>0</v>
      </c>
      <c r="D7" s="365">
        <v>22</v>
      </c>
      <c r="E7" s="365">
        <v>5</v>
      </c>
      <c r="F7" s="365">
        <v>52</v>
      </c>
      <c r="G7" s="365">
        <v>35</v>
      </c>
      <c r="H7" s="377">
        <v>27</v>
      </c>
      <c r="I7" s="377">
        <v>87</v>
      </c>
      <c r="J7" s="365">
        <v>10</v>
      </c>
      <c r="K7" s="365">
        <v>7</v>
      </c>
      <c r="L7" s="377">
        <v>17</v>
      </c>
      <c r="M7" s="365">
        <v>0</v>
      </c>
      <c r="N7" s="365">
        <v>330</v>
      </c>
      <c r="O7" s="365">
        <v>780</v>
      </c>
      <c r="P7" s="365">
        <v>525</v>
      </c>
      <c r="Q7" s="377">
        <v>1305</v>
      </c>
      <c r="R7" s="365">
        <v>75</v>
      </c>
      <c r="S7" s="365">
        <v>405</v>
      </c>
      <c r="T7" s="365">
        <v>150</v>
      </c>
      <c r="U7" s="365">
        <v>105</v>
      </c>
      <c r="V7" s="377">
        <v>255</v>
      </c>
      <c r="W7" s="365">
        <v>47</v>
      </c>
      <c r="X7" s="365">
        <v>705</v>
      </c>
      <c r="Y7" s="378">
        <v>120</v>
      </c>
      <c r="Z7" s="365">
        <v>3</v>
      </c>
      <c r="AA7" s="365">
        <v>45</v>
      </c>
      <c r="AB7" s="378">
        <v>30</v>
      </c>
      <c r="AC7" s="365">
        <v>5</v>
      </c>
      <c r="AD7" s="365">
        <v>75</v>
      </c>
      <c r="AE7" s="378">
        <v>30</v>
      </c>
      <c r="AF7" s="379">
        <v>16</v>
      </c>
      <c r="AG7" s="379">
        <v>240</v>
      </c>
      <c r="AH7" s="378">
        <v>0</v>
      </c>
      <c r="AI7" s="379">
        <v>28</v>
      </c>
      <c r="AJ7" s="379">
        <v>420</v>
      </c>
      <c r="AK7" s="378">
        <v>0</v>
      </c>
      <c r="AL7" s="365">
        <v>44</v>
      </c>
      <c r="AM7" s="365">
        <v>660</v>
      </c>
      <c r="AN7" s="378">
        <v>0</v>
      </c>
      <c r="AO7" s="378">
        <v>1</v>
      </c>
      <c r="AP7" s="378">
        <f t="shared" si="4"/>
        <v>45</v>
      </c>
      <c r="AQ7" s="465">
        <v>14</v>
      </c>
      <c r="AR7" s="379">
        <v>210</v>
      </c>
      <c r="AS7" s="378">
        <v>0</v>
      </c>
      <c r="AT7" s="466">
        <v>26</v>
      </c>
      <c r="AU7" s="466">
        <v>0</v>
      </c>
      <c r="AV7" s="379">
        <v>26</v>
      </c>
      <c r="AW7" s="379">
        <v>390</v>
      </c>
      <c r="AX7" s="378">
        <v>0</v>
      </c>
      <c r="AY7" s="365">
        <v>40</v>
      </c>
      <c r="AZ7" s="365">
        <v>600</v>
      </c>
      <c r="BA7" s="378">
        <v>0</v>
      </c>
      <c r="BB7" s="378"/>
      <c r="BC7" s="378">
        <f t="shared" si="5"/>
        <v>40</v>
      </c>
      <c r="BD7" s="379">
        <v>2</v>
      </c>
      <c r="BE7" s="379">
        <v>5</v>
      </c>
      <c r="BF7" s="365">
        <v>7</v>
      </c>
      <c r="BO7" s="381">
        <f t="shared" si="0"/>
        <v>40</v>
      </c>
      <c r="BP7" s="381">
        <f t="shared" si="1"/>
        <v>0</v>
      </c>
      <c r="BQ7" s="381"/>
      <c r="BR7" s="381">
        <f>_xlfn.XLOOKUP(A7,'Summer data team '!B:B,'Summer data team '!BV:BV,0)</f>
        <v>40</v>
      </c>
      <c r="BS7" s="381">
        <f>_xlfn.XLOOKUP(A7,'Summer data team '!B:B,'Summer data team '!BW:BW,0)</f>
        <v>0</v>
      </c>
      <c r="BT7" s="381">
        <f t="shared" si="2"/>
        <v>0</v>
      </c>
      <c r="BU7" s="381">
        <f t="shared" si="3"/>
        <v>0</v>
      </c>
    </row>
    <row r="8" spans="1:73" ht="13" hidden="1" x14ac:dyDescent="0.3">
      <c r="A8" s="364">
        <v>3301010</v>
      </c>
      <c r="B8" s="364" t="s">
        <v>249</v>
      </c>
      <c r="C8" s="365">
        <v>0</v>
      </c>
      <c r="D8" s="365">
        <v>38</v>
      </c>
      <c r="E8" s="365">
        <v>7</v>
      </c>
      <c r="F8" s="365">
        <v>88</v>
      </c>
      <c r="G8" s="365">
        <v>48</v>
      </c>
      <c r="H8" s="377">
        <v>45</v>
      </c>
      <c r="I8" s="377">
        <v>136</v>
      </c>
      <c r="J8" s="365">
        <v>8</v>
      </c>
      <c r="K8" s="365">
        <v>11</v>
      </c>
      <c r="L8" s="377">
        <v>19</v>
      </c>
      <c r="M8" s="365">
        <v>0</v>
      </c>
      <c r="N8" s="365">
        <v>570</v>
      </c>
      <c r="O8" s="365">
        <v>1320</v>
      </c>
      <c r="P8" s="365">
        <v>720</v>
      </c>
      <c r="Q8" s="377">
        <v>2040</v>
      </c>
      <c r="R8" s="365">
        <v>105</v>
      </c>
      <c r="S8" s="365">
        <v>675</v>
      </c>
      <c r="T8" s="365">
        <v>120</v>
      </c>
      <c r="U8" s="365">
        <v>165</v>
      </c>
      <c r="V8" s="377">
        <v>285</v>
      </c>
      <c r="W8" s="365">
        <v>8</v>
      </c>
      <c r="X8" s="365">
        <v>120</v>
      </c>
      <c r="Y8" s="378">
        <v>0</v>
      </c>
      <c r="Z8" s="365">
        <v>36</v>
      </c>
      <c r="AA8" s="365">
        <v>540</v>
      </c>
      <c r="AB8" s="378">
        <v>30</v>
      </c>
      <c r="AC8" s="365">
        <v>129</v>
      </c>
      <c r="AD8" s="365">
        <v>1935</v>
      </c>
      <c r="AE8" s="378">
        <v>255</v>
      </c>
      <c r="AF8" s="379">
        <v>9</v>
      </c>
      <c r="AG8" s="379">
        <v>135</v>
      </c>
      <c r="AH8" s="378">
        <v>0</v>
      </c>
      <c r="AI8" s="379">
        <v>46</v>
      </c>
      <c r="AJ8" s="379">
        <v>690</v>
      </c>
      <c r="AK8" s="378">
        <v>60</v>
      </c>
      <c r="AL8" s="365">
        <v>55</v>
      </c>
      <c r="AM8" s="365">
        <v>825</v>
      </c>
      <c r="AN8" s="378">
        <v>60</v>
      </c>
      <c r="AO8" s="378"/>
      <c r="AP8" s="378">
        <f t="shared" si="4"/>
        <v>55</v>
      </c>
      <c r="AQ8" s="465">
        <v>3</v>
      </c>
      <c r="AR8" s="379">
        <v>45</v>
      </c>
      <c r="AS8" s="378">
        <v>0</v>
      </c>
      <c r="AT8" s="466">
        <v>11</v>
      </c>
      <c r="AU8" s="466">
        <v>4</v>
      </c>
      <c r="AV8" s="379">
        <v>15</v>
      </c>
      <c r="AW8" s="379">
        <v>225</v>
      </c>
      <c r="AX8" s="378">
        <v>60</v>
      </c>
      <c r="AY8" s="365">
        <v>18</v>
      </c>
      <c r="AZ8" s="365">
        <v>270</v>
      </c>
      <c r="BA8" s="378">
        <v>60</v>
      </c>
      <c r="BB8" s="378"/>
      <c r="BC8" s="378">
        <f t="shared" si="5"/>
        <v>18</v>
      </c>
      <c r="BD8" s="379">
        <v>0</v>
      </c>
      <c r="BE8" s="379">
        <v>11</v>
      </c>
      <c r="BF8" s="365">
        <v>11</v>
      </c>
      <c r="BO8" s="381">
        <f t="shared" si="0"/>
        <v>14</v>
      </c>
      <c r="BP8" s="381">
        <f t="shared" si="1"/>
        <v>4</v>
      </c>
      <c r="BQ8" s="381"/>
      <c r="BR8" s="381">
        <f>_xlfn.XLOOKUP(A8,'Summer data team '!B:B,'Summer data team '!BV:BV,0)</f>
        <v>14</v>
      </c>
      <c r="BS8" s="381">
        <f>_xlfn.XLOOKUP(A8,'Summer data team '!B:B,'Summer data team '!BW:BW,0)</f>
        <v>4</v>
      </c>
      <c r="BT8" s="381">
        <f t="shared" si="2"/>
        <v>0</v>
      </c>
      <c r="BU8" s="381">
        <f t="shared" si="3"/>
        <v>0</v>
      </c>
    </row>
    <row r="9" spans="1:73" ht="13" hidden="1" x14ac:dyDescent="0.3">
      <c r="A9" s="364">
        <v>3301012</v>
      </c>
      <c r="B9" s="364" t="s">
        <v>109</v>
      </c>
      <c r="C9" s="365">
        <v>0</v>
      </c>
      <c r="D9" s="365">
        <v>21</v>
      </c>
      <c r="E9" s="365">
        <v>6</v>
      </c>
      <c r="F9" s="365">
        <v>65</v>
      </c>
      <c r="G9" s="365">
        <v>48</v>
      </c>
      <c r="H9" s="377">
        <v>27</v>
      </c>
      <c r="I9" s="377">
        <v>113</v>
      </c>
      <c r="J9" s="365">
        <v>14</v>
      </c>
      <c r="K9" s="365">
        <v>11</v>
      </c>
      <c r="L9" s="377">
        <v>25</v>
      </c>
      <c r="M9" s="365">
        <v>0</v>
      </c>
      <c r="N9" s="365">
        <v>315</v>
      </c>
      <c r="O9" s="365">
        <v>960</v>
      </c>
      <c r="P9" s="365">
        <v>720</v>
      </c>
      <c r="Q9" s="377">
        <v>1680</v>
      </c>
      <c r="R9" s="365">
        <v>90</v>
      </c>
      <c r="S9" s="365">
        <v>405</v>
      </c>
      <c r="T9" s="365">
        <v>210</v>
      </c>
      <c r="U9" s="365">
        <v>159</v>
      </c>
      <c r="V9" s="377">
        <v>369</v>
      </c>
      <c r="W9" s="365">
        <v>21</v>
      </c>
      <c r="X9" s="365">
        <v>315</v>
      </c>
      <c r="Y9" s="378">
        <v>30</v>
      </c>
      <c r="Z9" s="365">
        <v>31</v>
      </c>
      <c r="AA9" s="365">
        <v>450</v>
      </c>
      <c r="AB9" s="378">
        <v>90</v>
      </c>
      <c r="AC9" s="365">
        <v>21</v>
      </c>
      <c r="AD9" s="365">
        <v>315</v>
      </c>
      <c r="AE9" s="378">
        <v>60</v>
      </c>
      <c r="AF9" s="379">
        <v>15</v>
      </c>
      <c r="AG9" s="379">
        <v>225</v>
      </c>
      <c r="AH9" s="378">
        <v>0</v>
      </c>
      <c r="AI9" s="379">
        <v>55</v>
      </c>
      <c r="AJ9" s="379">
        <v>825</v>
      </c>
      <c r="AK9" s="378">
        <v>135</v>
      </c>
      <c r="AL9" s="365">
        <v>70</v>
      </c>
      <c r="AM9" s="365">
        <v>1050</v>
      </c>
      <c r="AN9" s="378">
        <v>135</v>
      </c>
      <c r="AO9" s="378"/>
      <c r="AP9" s="378">
        <f t="shared" si="4"/>
        <v>70</v>
      </c>
      <c r="AQ9" s="465">
        <v>0</v>
      </c>
      <c r="AR9" s="379">
        <v>0</v>
      </c>
      <c r="AS9" s="378">
        <v>0</v>
      </c>
      <c r="AT9" s="466">
        <v>0</v>
      </c>
      <c r="AU9" s="466">
        <v>0</v>
      </c>
      <c r="AV9" s="379">
        <v>0</v>
      </c>
      <c r="AW9" s="379">
        <v>0</v>
      </c>
      <c r="AX9" s="378">
        <v>0</v>
      </c>
      <c r="AY9" s="365">
        <v>0</v>
      </c>
      <c r="AZ9" s="365">
        <v>0</v>
      </c>
      <c r="BA9" s="378">
        <v>0</v>
      </c>
      <c r="BB9" s="378"/>
      <c r="BC9" s="378">
        <f t="shared" si="5"/>
        <v>0</v>
      </c>
      <c r="BD9" s="379">
        <v>1</v>
      </c>
      <c r="BE9" s="379">
        <v>2</v>
      </c>
      <c r="BF9" s="365">
        <v>3</v>
      </c>
      <c r="BO9" s="381">
        <f t="shared" si="0"/>
        <v>0</v>
      </c>
      <c r="BP9" s="381">
        <f t="shared" si="1"/>
        <v>0</v>
      </c>
      <c r="BQ9" s="381"/>
      <c r="BR9" s="381">
        <f>_xlfn.XLOOKUP(A9,'Summer data team '!B:B,'Summer data team '!BV:BV,0)</f>
        <v>0</v>
      </c>
      <c r="BS9" s="381">
        <f>_xlfn.XLOOKUP(A9,'Summer data team '!B:B,'Summer data team '!BW:BW,0)</f>
        <v>0</v>
      </c>
      <c r="BT9" s="381">
        <f t="shared" si="2"/>
        <v>0</v>
      </c>
      <c r="BU9" s="381">
        <f t="shared" si="3"/>
        <v>0</v>
      </c>
    </row>
    <row r="10" spans="1:73" ht="13" hidden="1" x14ac:dyDescent="0.3">
      <c r="A10" s="364">
        <v>3301014</v>
      </c>
      <c r="B10" s="364" t="s">
        <v>167</v>
      </c>
      <c r="C10" s="365">
        <v>0</v>
      </c>
      <c r="D10" s="365">
        <v>21</v>
      </c>
      <c r="E10" s="365">
        <v>1</v>
      </c>
      <c r="F10" s="365">
        <v>65</v>
      </c>
      <c r="G10" s="365">
        <v>32</v>
      </c>
      <c r="H10" s="377">
        <v>22</v>
      </c>
      <c r="I10" s="377">
        <v>97</v>
      </c>
      <c r="J10" s="365">
        <v>18</v>
      </c>
      <c r="K10" s="365">
        <v>9</v>
      </c>
      <c r="L10" s="377">
        <v>27</v>
      </c>
      <c r="M10" s="365">
        <v>0</v>
      </c>
      <c r="N10" s="365">
        <v>315</v>
      </c>
      <c r="O10" s="365">
        <v>975</v>
      </c>
      <c r="P10" s="365">
        <v>450</v>
      </c>
      <c r="Q10" s="377">
        <v>1425</v>
      </c>
      <c r="R10" s="365">
        <v>15</v>
      </c>
      <c r="S10" s="365">
        <v>330</v>
      </c>
      <c r="T10" s="365">
        <v>270</v>
      </c>
      <c r="U10" s="365">
        <v>135</v>
      </c>
      <c r="V10" s="377">
        <v>405</v>
      </c>
      <c r="W10" s="365">
        <v>40</v>
      </c>
      <c r="X10" s="365">
        <v>600</v>
      </c>
      <c r="Y10" s="378">
        <v>75</v>
      </c>
      <c r="Z10" s="365">
        <v>26</v>
      </c>
      <c r="AA10" s="365">
        <v>375</v>
      </c>
      <c r="AB10" s="378">
        <v>75</v>
      </c>
      <c r="AC10" s="365">
        <v>17</v>
      </c>
      <c r="AD10" s="365">
        <v>255</v>
      </c>
      <c r="AE10" s="378">
        <v>15</v>
      </c>
      <c r="AF10" s="379">
        <v>19</v>
      </c>
      <c r="AG10" s="379">
        <v>285</v>
      </c>
      <c r="AH10" s="378">
        <v>0</v>
      </c>
      <c r="AI10" s="379">
        <v>49</v>
      </c>
      <c r="AJ10" s="379">
        <v>735</v>
      </c>
      <c r="AK10" s="378">
        <v>75</v>
      </c>
      <c r="AL10" s="365">
        <v>68</v>
      </c>
      <c r="AM10" s="365">
        <v>1020</v>
      </c>
      <c r="AN10" s="378">
        <v>75</v>
      </c>
      <c r="AO10" s="378"/>
      <c r="AP10" s="378">
        <f t="shared" si="4"/>
        <v>68</v>
      </c>
      <c r="AQ10" s="465">
        <v>0</v>
      </c>
      <c r="AR10" s="379">
        <v>0</v>
      </c>
      <c r="AS10" s="378">
        <v>0</v>
      </c>
      <c r="AT10" s="466">
        <v>25</v>
      </c>
      <c r="AU10" s="466">
        <v>4</v>
      </c>
      <c r="AV10" s="379">
        <v>29</v>
      </c>
      <c r="AW10" s="379">
        <v>435</v>
      </c>
      <c r="AX10" s="378">
        <v>60</v>
      </c>
      <c r="AY10" s="365">
        <v>29</v>
      </c>
      <c r="AZ10" s="365">
        <v>435</v>
      </c>
      <c r="BA10" s="378">
        <v>60</v>
      </c>
      <c r="BB10" s="378"/>
      <c r="BC10" s="378">
        <f t="shared" si="5"/>
        <v>29</v>
      </c>
      <c r="BD10" s="379">
        <v>1</v>
      </c>
      <c r="BE10" s="379">
        <v>5</v>
      </c>
      <c r="BF10" s="365">
        <v>6</v>
      </c>
      <c r="BO10" s="381">
        <f t="shared" si="0"/>
        <v>25</v>
      </c>
      <c r="BP10" s="381">
        <f t="shared" si="1"/>
        <v>4</v>
      </c>
      <c r="BQ10" s="381"/>
      <c r="BR10" s="381">
        <f>_xlfn.XLOOKUP(A10,'Summer data team '!B:B,'Summer data team '!BV:BV,0)</f>
        <v>25</v>
      </c>
      <c r="BS10" s="381">
        <f>_xlfn.XLOOKUP(A10,'Summer data team '!B:B,'Summer data team '!BW:BW,0)</f>
        <v>4</v>
      </c>
      <c r="BT10" s="381">
        <f t="shared" si="2"/>
        <v>0</v>
      </c>
      <c r="BU10" s="381">
        <f t="shared" si="3"/>
        <v>0</v>
      </c>
    </row>
    <row r="11" spans="1:73" ht="13" hidden="1" x14ac:dyDescent="0.3">
      <c r="A11" s="364">
        <v>3301015</v>
      </c>
      <c r="B11" s="364" t="s">
        <v>250</v>
      </c>
      <c r="C11" s="365">
        <v>0</v>
      </c>
      <c r="D11" s="365">
        <v>6</v>
      </c>
      <c r="E11" s="365">
        <v>5</v>
      </c>
      <c r="F11" s="365">
        <v>58</v>
      </c>
      <c r="G11" s="365">
        <v>35</v>
      </c>
      <c r="H11" s="377">
        <v>11</v>
      </c>
      <c r="I11" s="377">
        <v>93</v>
      </c>
      <c r="J11" s="365">
        <v>18</v>
      </c>
      <c r="K11" s="365">
        <v>22</v>
      </c>
      <c r="L11" s="377">
        <v>40</v>
      </c>
      <c r="M11" s="365">
        <v>0</v>
      </c>
      <c r="N11" s="365">
        <v>90</v>
      </c>
      <c r="O11" s="365">
        <v>870</v>
      </c>
      <c r="P11" s="365">
        <v>525</v>
      </c>
      <c r="Q11" s="377">
        <v>1395</v>
      </c>
      <c r="R11" s="365">
        <v>75</v>
      </c>
      <c r="S11" s="365">
        <v>165</v>
      </c>
      <c r="T11" s="365">
        <v>270</v>
      </c>
      <c r="U11" s="365">
        <v>330</v>
      </c>
      <c r="V11" s="377">
        <v>600</v>
      </c>
      <c r="W11" s="365">
        <v>10</v>
      </c>
      <c r="X11" s="365">
        <v>150</v>
      </c>
      <c r="Y11" s="378">
        <v>60</v>
      </c>
      <c r="Z11" s="365">
        <v>10</v>
      </c>
      <c r="AA11" s="365">
        <v>150</v>
      </c>
      <c r="AB11" s="378">
        <v>75</v>
      </c>
      <c r="AC11" s="365">
        <v>6</v>
      </c>
      <c r="AD11" s="365">
        <v>90</v>
      </c>
      <c r="AE11" s="378">
        <v>30</v>
      </c>
      <c r="AF11" s="379">
        <v>6</v>
      </c>
      <c r="AG11" s="379">
        <v>90</v>
      </c>
      <c r="AH11" s="378">
        <v>0</v>
      </c>
      <c r="AI11" s="379">
        <v>40</v>
      </c>
      <c r="AJ11" s="379">
        <v>600</v>
      </c>
      <c r="AK11" s="378">
        <v>120</v>
      </c>
      <c r="AL11" s="365">
        <v>46</v>
      </c>
      <c r="AM11" s="365">
        <v>690</v>
      </c>
      <c r="AN11" s="378">
        <v>120</v>
      </c>
      <c r="AO11" s="378"/>
      <c r="AP11" s="378">
        <f t="shared" si="4"/>
        <v>46</v>
      </c>
      <c r="AQ11" s="465">
        <v>6</v>
      </c>
      <c r="AR11" s="379">
        <v>90</v>
      </c>
      <c r="AS11" s="378">
        <v>0</v>
      </c>
      <c r="AT11" s="466">
        <v>32</v>
      </c>
      <c r="AU11" s="466">
        <v>8</v>
      </c>
      <c r="AV11" s="379">
        <v>40</v>
      </c>
      <c r="AW11" s="379">
        <v>600</v>
      </c>
      <c r="AX11" s="378">
        <v>120</v>
      </c>
      <c r="AY11" s="365">
        <v>46</v>
      </c>
      <c r="AZ11" s="365">
        <v>690</v>
      </c>
      <c r="BA11" s="378">
        <v>120</v>
      </c>
      <c r="BB11" s="378"/>
      <c r="BC11" s="378">
        <f t="shared" si="5"/>
        <v>46</v>
      </c>
      <c r="BD11" s="379">
        <v>0</v>
      </c>
      <c r="BE11" s="379">
        <v>10</v>
      </c>
      <c r="BF11" s="365">
        <v>10</v>
      </c>
      <c r="BO11" s="381">
        <f t="shared" si="0"/>
        <v>38</v>
      </c>
      <c r="BP11" s="381">
        <f t="shared" si="1"/>
        <v>8</v>
      </c>
      <c r="BQ11" s="381"/>
      <c r="BR11" s="381">
        <f>_xlfn.XLOOKUP(A11,'Summer data team '!B:B,'Summer data team '!BV:BV,0)</f>
        <v>38</v>
      </c>
      <c r="BS11" s="381">
        <f>_xlfn.XLOOKUP(A11,'Summer data team '!B:B,'Summer data team '!BW:BW,0)</f>
        <v>8</v>
      </c>
      <c r="BT11" s="381">
        <f t="shared" si="2"/>
        <v>0</v>
      </c>
      <c r="BU11" s="381">
        <f t="shared" si="3"/>
        <v>0</v>
      </c>
    </row>
    <row r="12" spans="1:73" ht="13" hidden="1" x14ac:dyDescent="0.3">
      <c r="A12" s="364">
        <v>3301016</v>
      </c>
      <c r="B12" s="364" t="s">
        <v>101</v>
      </c>
      <c r="C12" s="365">
        <v>0</v>
      </c>
      <c r="D12" s="365">
        <v>10</v>
      </c>
      <c r="E12" s="365">
        <v>6</v>
      </c>
      <c r="F12" s="365">
        <v>39</v>
      </c>
      <c r="G12" s="365">
        <v>39</v>
      </c>
      <c r="H12" s="377">
        <v>16</v>
      </c>
      <c r="I12" s="377">
        <v>78</v>
      </c>
      <c r="J12" s="365">
        <v>13</v>
      </c>
      <c r="K12" s="365">
        <v>17</v>
      </c>
      <c r="L12" s="377">
        <v>30</v>
      </c>
      <c r="M12" s="365">
        <v>0</v>
      </c>
      <c r="N12" s="365">
        <v>150</v>
      </c>
      <c r="O12" s="365">
        <v>585</v>
      </c>
      <c r="P12" s="365">
        <v>585</v>
      </c>
      <c r="Q12" s="377">
        <v>1170</v>
      </c>
      <c r="R12" s="365">
        <v>90</v>
      </c>
      <c r="S12" s="365">
        <v>240</v>
      </c>
      <c r="T12" s="365">
        <v>195</v>
      </c>
      <c r="U12" s="365">
        <v>245</v>
      </c>
      <c r="V12" s="377">
        <v>440</v>
      </c>
      <c r="W12" s="365">
        <v>24</v>
      </c>
      <c r="X12" s="365">
        <v>360</v>
      </c>
      <c r="Y12" s="378">
        <v>60</v>
      </c>
      <c r="Z12" s="365">
        <v>8</v>
      </c>
      <c r="AA12" s="365">
        <v>120</v>
      </c>
      <c r="AB12" s="378">
        <v>90</v>
      </c>
      <c r="AC12" s="365">
        <v>9</v>
      </c>
      <c r="AD12" s="365">
        <v>135</v>
      </c>
      <c r="AE12" s="378">
        <v>66.5</v>
      </c>
      <c r="AF12" s="379">
        <v>9</v>
      </c>
      <c r="AG12" s="379">
        <v>135</v>
      </c>
      <c r="AH12" s="378">
        <v>0</v>
      </c>
      <c r="AI12" s="379">
        <v>32</v>
      </c>
      <c r="AJ12" s="379">
        <v>480</v>
      </c>
      <c r="AK12" s="378">
        <v>105</v>
      </c>
      <c r="AL12" s="365">
        <v>41</v>
      </c>
      <c r="AM12" s="365">
        <v>615</v>
      </c>
      <c r="AN12" s="378">
        <v>105</v>
      </c>
      <c r="AO12" s="378"/>
      <c r="AP12" s="378">
        <f t="shared" si="4"/>
        <v>41</v>
      </c>
      <c r="AQ12" s="465">
        <v>9</v>
      </c>
      <c r="AR12" s="379">
        <v>135</v>
      </c>
      <c r="AS12" s="378">
        <v>0</v>
      </c>
      <c r="AT12" s="466">
        <v>25</v>
      </c>
      <c r="AU12" s="466">
        <v>6</v>
      </c>
      <c r="AV12" s="379">
        <v>31</v>
      </c>
      <c r="AW12" s="379">
        <v>465</v>
      </c>
      <c r="AX12" s="378">
        <v>90</v>
      </c>
      <c r="AY12" s="365">
        <v>40</v>
      </c>
      <c r="AZ12" s="365">
        <v>600</v>
      </c>
      <c r="BA12" s="378">
        <v>90</v>
      </c>
      <c r="BB12" s="378"/>
      <c r="BC12" s="378">
        <f t="shared" si="5"/>
        <v>40</v>
      </c>
      <c r="BD12" s="379">
        <v>0</v>
      </c>
      <c r="BE12" s="379">
        <v>0</v>
      </c>
      <c r="BF12" s="365">
        <v>0</v>
      </c>
      <c r="BO12" s="381">
        <f t="shared" si="0"/>
        <v>34</v>
      </c>
      <c r="BP12" s="381">
        <f t="shared" si="1"/>
        <v>6</v>
      </c>
      <c r="BQ12" s="381"/>
      <c r="BR12" s="381">
        <f>_xlfn.XLOOKUP(A12,'Summer data team '!B:B,'Summer data team '!BV:BV,0)</f>
        <v>34</v>
      </c>
      <c r="BS12" s="381">
        <f>_xlfn.XLOOKUP(A12,'Summer data team '!B:B,'Summer data team '!BW:BW,0)</f>
        <v>6</v>
      </c>
      <c r="BT12" s="381">
        <f t="shared" si="2"/>
        <v>0</v>
      </c>
      <c r="BU12" s="381">
        <f t="shared" si="3"/>
        <v>0</v>
      </c>
    </row>
    <row r="13" spans="1:73" ht="13" hidden="1" x14ac:dyDescent="0.3">
      <c r="A13" s="364">
        <v>3301017</v>
      </c>
      <c r="B13" s="364" t="s">
        <v>29</v>
      </c>
      <c r="C13" s="365">
        <v>0</v>
      </c>
      <c r="D13" s="365">
        <v>22</v>
      </c>
      <c r="E13" s="365">
        <v>16</v>
      </c>
      <c r="F13" s="365">
        <v>64</v>
      </c>
      <c r="G13" s="365">
        <v>48</v>
      </c>
      <c r="H13" s="377">
        <v>38</v>
      </c>
      <c r="I13" s="377">
        <v>112</v>
      </c>
      <c r="J13" s="365">
        <v>27</v>
      </c>
      <c r="K13" s="365">
        <v>26</v>
      </c>
      <c r="L13" s="377">
        <v>53</v>
      </c>
      <c r="M13" s="365">
        <v>0</v>
      </c>
      <c r="N13" s="365">
        <v>330</v>
      </c>
      <c r="O13" s="365">
        <v>960</v>
      </c>
      <c r="P13" s="365">
        <v>705</v>
      </c>
      <c r="Q13" s="377">
        <v>1665</v>
      </c>
      <c r="R13" s="365">
        <v>240</v>
      </c>
      <c r="S13" s="365">
        <v>570</v>
      </c>
      <c r="T13" s="365">
        <v>405</v>
      </c>
      <c r="U13" s="365">
        <v>387</v>
      </c>
      <c r="V13" s="377">
        <v>792</v>
      </c>
      <c r="W13" s="365">
        <v>22</v>
      </c>
      <c r="X13" s="365">
        <v>330</v>
      </c>
      <c r="Y13" s="378">
        <v>90</v>
      </c>
      <c r="Z13" s="365">
        <v>27</v>
      </c>
      <c r="AA13" s="365">
        <v>405</v>
      </c>
      <c r="AB13" s="378">
        <v>120</v>
      </c>
      <c r="AC13" s="365">
        <v>23</v>
      </c>
      <c r="AD13" s="365">
        <v>345</v>
      </c>
      <c r="AE13" s="378">
        <v>120</v>
      </c>
      <c r="AF13" s="379">
        <v>17</v>
      </c>
      <c r="AG13" s="379">
        <v>255</v>
      </c>
      <c r="AH13" s="378">
        <v>0</v>
      </c>
      <c r="AI13" s="379">
        <v>46</v>
      </c>
      <c r="AJ13" s="379">
        <v>690</v>
      </c>
      <c r="AK13" s="378">
        <v>150</v>
      </c>
      <c r="AL13" s="365">
        <v>63</v>
      </c>
      <c r="AM13" s="365">
        <v>945</v>
      </c>
      <c r="AN13" s="378">
        <v>150</v>
      </c>
      <c r="AO13" s="378"/>
      <c r="AP13" s="378">
        <f t="shared" si="4"/>
        <v>63</v>
      </c>
      <c r="AQ13" s="465">
        <v>16</v>
      </c>
      <c r="AR13" s="379">
        <v>240</v>
      </c>
      <c r="AS13" s="378">
        <v>0</v>
      </c>
      <c r="AT13" s="466">
        <v>35</v>
      </c>
      <c r="AU13" s="466">
        <v>10</v>
      </c>
      <c r="AV13" s="379">
        <v>45</v>
      </c>
      <c r="AW13" s="379">
        <v>675</v>
      </c>
      <c r="AX13" s="378">
        <v>150</v>
      </c>
      <c r="AY13" s="365">
        <v>61</v>
      </c>
      <c r="AZ13" s="365">
        <v>915</v>
      </c>
      <c r="BA13" s="378">
        <v>150</v>
      </c>
      <c r="BB13" s="378"/>
      <c r="BC13" s="378">
        <f t="shared" si="5"/>
        <v>61</v>
      </c>
      <c r="BD13" s="379">
        <v>1</v>
      </c>
      <c r="BE13" s="379">
        <v>11</v>
      </c>
      <c r="BF13" s="365">
        <v>12</v>
      </c>
      <c r="BO13" s="381">
        <f t="shared" si="0"/>
        <v>51</v>
      </c>
      <c r="BP13" s="381">
        <f t="shared" si="1"/>
        <v>10</v>
      </c>
      <c r="BQ13" s="381"/>
      <c r="BR13" s="381">
        <f>_xlfn.XLOOKUP(A13,'Summer data team '!B:B,'Summer data team '!BV:BV,0)</f>
        <v>51</v>
      </c>
      <c r="BS13" s="381">
        <f>_xlfn.XLOOKUP(A13,'Summer data team '!B:B,'Summer data team '!BW:BW,0)</f>
        <v>10</v>
      </c>
      <c r="BT13" s="381">
        <f t="shared" si="2"/>
        <v>0</v>
      </c>
      <c r="BU13" s="381">
        <f t="shared" si="3"/>
        <v>0</v>
      </c>
    </row>
    <row r="14" spans="1:73" ht="13" hidden="1" x14ac:dyDescent="0.3">
      <c r="A14" s="364">
        <v>3301018</v>
      </c>
      <c r="B14" s="364" t="s">
        <v>129</v>
      </c>
      <c r="C14" s="365">
        <v>0</v>
      </c>
      <c r="D14" s="365">
        <v>39</v>
      </c>
      <c r="E14" s="365">
        <v>5</v>
      </c>
      <c r="F14" s="365">
        <v>71</v>
      </c>
      <c r="G14" s="365">
        <v>45</v>
      </c>
      <c r="H14" s="377">
        <v>44</v>
      </c>
      <c r="I14" s="377">
        <v>116</v>
      </c>
      <c r="J14" s="365">
        <v>32</v>
      </c>
      <c r="K14" s="365">
        <v>17</v>
      </c>
      <c r="L14" s="377">
        <v>49</v>
      </c>
      <c r="M14" s="365">
        <v>0</v>
      </c>
      <c r="N14" s="365">
        <v>585</v>
      </c>
      <c r="O14" s="365">
        <v>1065</v>
      </c>
      <c r="P14" s="365">
        <v>675</v>
      </c>
      <c r="Q14" s="377">
        <v>1740</v>
      </c>
      <c r="R14" s="365">
        <v>75</v>
      </c>
      <c r="S14" s="365">
        <v>660</v>
      </c>
      <c r="T14" s="365">
        <v>480</v>
      </c>
      <c r="U14" s="365">
        <v>255</v>
      </c>
      <c r="V14" s="377">
        <v>735</v>
      </c>
      <c r="W14" s="365">
        <v>51</v>
      </c>
      <c r="X14" s="365">
        <v>765</v>
      </c>
      <c r="Y14" s="378">
        <v>195</v>
      </c>
      <c r="Z14" s="365">
        <v>23</v>
      </c>
      <c r="AA14" s="365">
        <v>345</v>
      </c>
      <c r="AB14" s="378">
        <v>135</v>
      </c>
      <c r="AC14" s="365">
        <v>30</v>
      </c>
      <c r="AD14" s="365">
        <v>450</v>
      </c>
      <c r="AE14" s="378">
        <v>90</v>
      </c>
      <c r="AF14" s="379">
        <v>36</v>
      </c>
      <c r="AG14" s="379">
        <v>540</v>
      </c>
      <c r="AH14" s="378">
        <v>0</v>
      </c>
      <c r="AI14" s="379">
        <v>67</v>
      </c>
      <c r="AJ14" s="379">
        <v>1005</v>
      </c>
      <c r="AK14" s="378">
        <v>225</v>
      </c>
      <c r="AL14" s="365">
        <v>103</v>
      </c>
      <c r="AM14" s="365">
        <v>1545</v>
      </c>
      <c r="AN14" s="378">
        <v>225</v>
      </c>
      <c r="AO14" s="378"/>
      <c r="AP14" s="378">
        <f t="shared" si="4"/>
        <v>103</v>
      </c>
      <c r="AQ14" s="465">
        <v>36</v>
      </c>
      <c r="AR14" s="379">
        <v>540</v>
      </c>
      <c r="AS14" s="378">
        <v>0</v>
      </c>
      <c r="AT14" s="466">
        <v>52</v>
      </c>
      <c r="AU14" s="466">
        <v>15</v>
      </c>
      <c r="AV14" s="379">
        <v>67</v>
      </c>
      <c r="AW14" s="379">
        <v>1005</v>
      </c>
      <c r="AX14" s="378">
        <v>225</v>
      </c>
      <c r="AY14" s="365">
        <v>103</v>
      </c>
      <c r="AZ14" s="365">
        <v>1545</v>
      </c>
      <c r="BA14" s="378">
        <v>225</v>
      </c>
      <c r="BB14" s="378"/>
      <c r="BC14" s="378">
        <f t="shared" si="5"/>
        <v>103</v>
      </c>
      <c r="BD14" s="379">
        <v>2</v>
      </c>
      <c r="BE14" s="379">
        <v>15</v>
      </c>
      <c r="BF14" s="365">
        <v>17</v>
      </c>
      <c r="BO14" s="381">
        <f t="shared" si="0"/>
        <v>88</v>
      </c>
      <c r="BP14" s="381">
        <f t="shared" si="1"/>
        <v>15</v>
      </c>
      <c r="BQ14" s="381"/>
      <c r="BR14" s="381">
        <f>_xlfn.XLOOKUP(A14,'Summer data team '!B:B,'Summer data team '!BV:BV,0)</f>
        <v>88</v>
      </c>
      <c r="BS14" s="381">
        <f>_xlfn.XLOOKUP(A14,'Summer data team '!B:B,'Summer data team '!BW:BW,0)</f>
        <v>15</v>
      </c>
      <c r="BT14" s="381">
        <f t="shared" si="2"/>
        <v>0</v>
      </c>
      <c r="BU14" s="381">
        <f t="shared" si="3"/>
        <v>0</v>
      </c>
    </row>
    <row r="15" spans="1:73" ht="13" hidden="1" x14ac:dyDescent="0.3">
      <c r="A15" s="364">
        <v>3301019</v>
      </c>
      <c r="B15" s="364" t="s">
        <v>185</v>
      </c>
      <c r="C15" s="365">
        <v>0</v>
      </c>
      <c r="D15" s="365">
        <v>15</v>
      </c>
      <c r="E15" s="365">
        <v>8</v>
      </c>
      <c r="F15" s="365">
        <v>74</v>
      </c>
      <c r="G15" s="365">
        <v>31</v>
      </c>
      <c r="H15" s="377">
        <v>23</v>
      </c>
      <c r="I15" s="377">
        <v>105</v>
      </c>
      <c r="J15" s="365">
        <v>15</v>
      </c>
      <c r="K15" s="365">
        <v>6</v>
      </c>
      <c r="L15" s="377">
        <v>21</v>
      </c>
      <c r="M15" s="365">
        <v>0</v>
      </c>
      <c r="N15" s="365">
        <v>225</v>
      </c>
      <c r="O15" s="365">
        <v>1110</v>
      </c>
      <c r="P15" s="365">
        <v>465</v>
      </c>
      <c r="Q15" s="377">
        <v>1575</v>
      </c>
      <c r="R15" s="365">
        <v>120</v>
      </c>
      <c r="S15" s="365">
        <v>345</v>
      </c>
      <c r="T15" s="365">
        <v>225</v>
      </c>
      <c r="U15" s="365">
        <v>90</v>
      </c>
      <c r="V15" s="377">
        <v>315</v>
      </c>
      <c r="W15" s="365">
        <v>27</v>
      </c>
      <c r="X15" s="365">
        <v>405</v>
      </c>
      <c r="Y15" s="378">
        <v>45</v>
      </c>
      <c r="Z15" s="365">
        <v>23</v>
      </c>
      <c r="AA15" s="365">
        <v>345</v>
      </c>
      <c r="AB15" s="378">
        <v>75</v>
      </c>
      <c r="AC15" s="365">
        <v>52</v>
      </c>
      <c r="AD15" s="365">
        <v>780</v>
      </c>
      <c r="AE15" s="378">
        <v>90</v>
      </c>
      <c r="AF15" s="379">
        <v>10</v>
      </c>
      <c r="AG15" s="379">
        <v>150</v>
      </c>
      <c r="AH15" s="378">
        <v>0</v>
      </c>
      <c r="AI15" s="379">
        <v>33</v>
      </c>
      <c r="AJ15" s="379">
        <v>495</v>
      </c>
      <c r="AK15" s="378">
        <v>0</v>
      </c>
      <c r="AL15" s="365">
        <v>43</v>
      </c>
      <c r="AM15" s="365">
        <v>645</v>
      </c>
      <c r="AN15" s="378">
        <v>0</v>
      </c>
      <c r="AO15" s="378"/>
      <c r="AP15" s="378">
        <f t="shared" si="4"/>
        <v>43</v>
      </c>
      <c r="AQ15" s="465">
        <v>0</v>
      </c>
      <c r="AR15" s="379">
        <v>0</v>
      </c>
      <c r="AS15" s="378">
        <v>0</v>
      </c>
      <c r="AT15" s="466">
        <v>4</v>
      </c>
      <c r="AU15" s="466">
        <v>0</v>
      </c>
      <c r="AV15" s="379">
        <v>4</v>
      </c>
      <c r="AW15" s="379">
        <v>60</v>
      </c>
      <c r="AX15" s="378">
        <v>0</v>
      </c>
      <c r="AY15" s="365">
        <v>4</v>
      </c>
      <c r="AZ15" s="365">
        <v>60</v>
      </c>
      <c r="BA15" s="378">
        <v>0</v>
      </c>
      <c r="BB15" s="378"/>
      <c r="BC15" s="378">
        <f t="shared" si="5"/>
        <v>4</v>
      </c>
      <c r="BD15" s="379">
        <v>0</v>
      </c>
      <c r="BE15" s="379">
        <v>1</v>
      </c>
      <c r="BF15" s="365">
        <v>1</v>
      </c>
      <c r="BO15" s="381">
        <f t="shared" si="0"/>
        <v>4</v>
      </c>
      <c r="BP15" s="381">
        <f t="shared" si="1"/>
        <v>0</v>
      </c>
      <c r="BQ15" s="381"/>
      <c r="BR15" s="381">
        <f>_xlfn.XLOOKUP(A15,'Summer data team '!B:B,'Summer data team '!BV:BV,0)</f>
        <v>4</v>
      </c>
      <c r="BS15" s="381">
        <f>_xlfn.XLOOKUP(A15,'Summer data team '!B:B,'Summer data team '!BW:BW,0)</f>
        <v>0</v>
      </c>
      <c r="BT15" s="381">
        <f t="shared" si="2"/>
        <v>0</v>
      </c>
      <c r="BU15" s="381">
        <f t="shared" si="3"/>
        <v>0</v>
      </c>
    </row>
    <row r="16" spans="1:73" ht="13" hidden="1" x14ac:dyDescent="0.3">
      <c r="A16" s="364">
        <v>3301020</v>
      </c>
      <c r="B16" s="364" t="s">
        <v>219</v>
      </c>
      <c r="C16" s="365">
        <v>2</v>
      </c>
      <c r="D16" s="365">
        <v>53</v>
      </c>
      <c r="E16" s="365">
        <v>18</v>
      </c>
      <c r="F16" s="365">
        <v>90</v>
      </c>
      <c r="G16" s="365">
        <v>53</v>
      </c>
      <c r="H16" s="377">
        <v>71</v>
      </c>
      <c r="I16" s="377">
        <v>143</v>
      </c>
      <c r="J16" s="365">
        <v>24</v>
      </c>
      <c r="K16" s="365">
        <v>17</v>
      </c>
      <c r="L16" s="377">
        <v>41</v>
      </c>
      <c r="M16" s="365">
        <v>30</v>
      </c>
      <c r="N16" s="365">
        <v>795</v>
      </c>
      <c r="O16" s="365">
        <v>1350</v>
      </c>
      <c r="P16" s="365">
        <v>795</v>
      </c>
      <c r="Q16" s="377">
        <v>2145</v>
      </c>
      <c r="R16" s="365">
        <v>270</v>
      </c>
      <c r="S16" s="365">
        <v>1065</v>
      </c>
      <c r="T16" s="365">
        <v>360</v>
      </c>
      <c r="U16" s="365">
        <v>255</v>
      </c>
      <c r="V16" s="377">
        <v>615</v>
      </c>
      <c r="W16" s="365">
        <v>73</v>
      </c>
      <c r="X16" s="365">
        <v>1095</v>
      </c>
      <c r="Y16" s="378">
        <v>135</v>
      </c>
      <c r="Z16" s="365">
        <v>60</v>
      </c>
      <c r="AA16" s="365">
        <v>900</v>
      </c>
      <c r="AB16" s="378">
        <v>165</v>
      </c>
      <c r="AC16" s="365">
        <v>49</v>
      </c>
      <c r="AD16" s="365">
        <v>735</v>
      </c>
      <c r="AE16" s="378">
        <v>165</v>
      </c>
      <c r="AF16" s="379">
        <v>47</v>
      </c>
      <c r="AG16" s="379">
        <v>705</v>
      </c>
      <c r="AH16" s="378">
        <v>0</v>
      </c>
      <c r="AI16" s="379">
        <v>72</v>
      </c>
      <c r="AJ16" s="379">
        <v>1080</v>
      </c>
      <c r="AK16" s="378">
        <v>105</v>
      </c>
      <c r="AL16" s="365">
        <v>119</v>
      </c>
      <c r="AM16" s="365">
        <v>1785</v>
      </c>
      <c r="AN16" s="378">
        <v>105</v>
      </c>
      <c r="AO16" s="378"/>
      <c r="AP16" s="378">
        <f t="shared" si="4"/>
        <v>119</v>
      </c>
      <c r="AQ16" s="465">
        <v>46</v>
      </c>
      <c r="AR16" s="379">
        <v>690</v>
      </c>
      <c r="AS16" s="378">
        <v>0</v>
      </c>
      <c r="AT16" s="466">
        <v>64</v>
      </c>
      <c r="AU16" s="466">
        <v>7</v>
      </c>
      <c r="AV16" s="379">
        <v>71</v>
      </c>
      <c r="AW16" s="379">
        <v>1065</v>
      </c>
      <c r="AX16" s="378">
        <v>105</v>
      </c>
      <c r="AY16" s="365">
        <v>117</v>
      </c>
      <c r="AZ16" s="365">
        <v>1755</v>
      </c>
      <c r="BA16" s="378">
        <v>105</v>
      </c>
      <c r="BB16" s="378"/>
      <c r="BC16" s="378">
        <f t="shared" si="5"/>
        <v>117</v>
      </c>
      <c r="BD16" s="379">
        <v>2</v>
      </c>
      <c r="BE16" s="379">
        <v>9</v>
      </c>
      <c r="BF16" s="365">
        <v>11</v>
      </c>
      <c r="BO16" s="381">
        <f t="shared" si="0"/>
        <v>110</v>
      </c>
      <c r="BP16" s="381">
        <f t="shared" si="1"/>
        <v>7</v>
      </c>
      <c r="BQ16" s="381"/>
      <c r="BR16" s="381">
        <f>_xlfn.XLOOKUP(A16,'Summer data team '!B:B,'Summer data team '!BV:BV,0)</f>
        <v>110</v>
      </c>
      <c r="BS16" s="381">
        <f>_xlfn.XLOOKUP(A16,'Summer data team '!B:B,'Summer data team '!BW:BW,0)</f>
        <v>7</v>
      </c>
      <c r="BT16" s="381">
        <f t="shared" si="2"/>
        <v>0</v>
      </c>
      <c r="BU16" s="381">
        <f t="shared" si="3"/>
        <v>0</v>
      </c>
    </row>
    <row r="17" spans="1:73" ht="13" hidden="1" x14ac:dyDescent="0.3">
      <c r="A17" s="364">
        <v>3301021</v>
      </c>
      <c r="B17" s="364" t="s">
        <v>91</v>
      </c>
      <c r="C17" s="365">
        <v>0</v>
      </c>
      <c r="D17" s="365">
        <v>21</v>
      </c>
      <c r="E17" s="365">
        <v>8</v>
      </c>
      <c r="F17" s="365">
        <v>25</v>
      </c>
      <c r="G17" s="365">
        <v>20</v>
      </c>
      <c r="H17" s="377">
        <v>29</v>
      </c>
      <c r="I17" s="377">
        <v>45</v>
      </c>
      <c r="J17" s="365">
        <v>3</v>
      </c>
      <c r="K17" s="365">
        <v>5</v>
      </c>
      <c r="L17" s="377">
        <v>8</v>
      </c>
      <c r="M17" s="365">
        <v>0</v>
      </c>
      <c r="N17" s="365">
        <v>315</v>
      </c>
      <c r="O17" s="365">
        <v>375</v>
      </c>
      <c r="P17" s="365">
        <v>300</v>
      </c>
      <c r="Q17" s="377">
        <v>675</v>
      </c>
      <c r="R17" s="365">
        <v>120</v>
      </c>
      <c r="S17" s="365">
        <v>435</v>
      </c>
      <c r="T17" s="365">
        <v>45</v>
      </c>
      <c r="U17" s="365">
        <v>75</v>
      </c>
      <c r="V17" s="377">
        <v>120</v>
      </c>
      <c r="W17" s="365">
        <v>7</v>
      </c>
      <c r="X17" s="365">
        <v>105</v>
      </c>
      <c r="Y17" s="378">
        <v>15</v>
      </c>
      <c r="Z17" s="365">
        <v>13</v>
      </c>
      <c r="AA17" s="365">
        <v>195</v>
      </c>
      <c r="AB17" s="378">
        <v>15</v>
      </c>
      <c r="AC17" s="365">
        <v>22</v>
      </c>
      <c r="AD17" s="365">
        <v>330</v>
      </c>
      <c r="AE17" s="378">
        <v>60</v>
      </c>
      <c r="AF17" s="379">
        <v>18</v>
      </c>
      <c r="AG17" s="379">
        <v>270</v>
      </c>
      <c r="AH17" s="378">
        <v>0</v>
      </c>
      <c r="AI17" s="379">
        <v>15</v>
      </c>
      <c r="AJ17" s="379">
        <v>225</v>
      </c>
      <c r="AK17" s="378">
        <v>15</v>
      </c>
      <c r="AL17" s="365">
        <v>33</v>
      </c>
      <c r="AM17" s="365">
        <v>495</v>
      </c>
      <c r="AN17" s="378">
        <v>15</v>
      </c>
      <c r="AO17" s="378"/>
      <c r="AP17" s="378">
        <f t="shared" si="4"/>
        <v>33</v>
      </c>
      <c r="AQ17" s="465">
        <v>17</v>
      </c>
      <c r="AR17" s="379">
        <v>255</v>
      </c>
      <c r="AS17" s="378">
        <v>0</v>
      </c>
      <c r="AT17" s="466">
        <v>14</v>
      </c>
      <c r="AU17" s="466">
        <v>1</v>
      </c>
      <c r="AV17" s="379">
        <v>15</v>
      </c>
      <c r="AW17" s="379">
        <v>225</v>
      </c>
      <c r="AX17" s="378">
        <v>15</v>
      </c>
      <c r="AY17" s="365">
        <v>32</v>
      </c>
      <c r="AZ17" s="365">
        <v>480</v>
      </c>
      <c r="BA17" s="378">
        <v>15</v>
      </c>
      <c r="BB17" s="378"/>
      <c r="BC17" s="378">
        <f t="shared" si="5"/>
        <v>32</v>
      </c>
      <c r="BD17" s="379">
        <v>0</v>
      </c>
      <c r="BE17" s="379">
        <v>0</v>
      </c>
      <c r="BF17" s="365">
        <v>0</v>
      </c>
      <c r="BO17" s="381">
        <f t="shared" si="0"/>
        <v>31</v>
      </c>
      <c r="BP17" s="381">
        <f t="shared" si="1"/>
        <v>1</v>
      </c>
      <c r="BQ17" s="381"/>
      <c r="BR17" s="381">
        <f>_xlfn.XLOOKUP(A17,'Summer data team '!B:B,'Summer data team '!BV:BV,0)</f>
        <v>31</v>
      </c>
      <c r="BS17" s="381">
        <f>_xlfn.XLOOKUP(A17,'Summer data team '!B:B,'Summer data team '!BW:BW,0)</f>
        <v>1</v>
      </c>
      <c r="BT17" s="381">
        <f t="shared" si="2"/>
        <v>0</v>
      </c>
      <c r="BU17" s="381">
        <f t="shared" si="3"/>
        <v>0</v>
      </c>
    </row>
    <row r="18" spans="1:73" ht="13" hidden="1" x14ac:dyDescent="0.3">
      <c r="A18" s="364">
        <v>3301022</v>
      </c>
      <c r="B18" s="364" t="s">
        <v>81</v>
      </c>
      <c r="C18" s="365">
        <v>0</v>
      </c>
      <c r="D18" s="365">
        <v>15</v>
      </c>
      <c r="E18" s="365">
        <v>13</v>
      </c>
      <c r="F18" s="365">
        <v>49</v>
      </c>
      <c r="G18" s="365">
        <v>26</v>
      </c>
      <c r="H18" s="377">
        <v>28</v>
      </c>
      <c r="I18" s="377">
        <v>75</v>
      </c>
      <c r="J18" s="365">
        <v>14</v>
      </c>
      <c r="K18" s="365">
        <v>8</v>
      </c>
      <c r="L18" s="377">
        <v>22</v>
      </c>
      <c r="M18" s="365">
        <v>0</v>
      </c>
      <c r="N18" s="365">
        <v>225</v>
      </c>
      <c r="O18" s="365">
        <v>735</v>
      </c>
      <c r="P18" s="365">
        <v>375</v>
      </c>
      <c r="Q18" s="377">
        <v>1110</v>
      </c>
      <c r="R18" s="365">
        <v>195</v>
      </c>
      <c r="S18" s="365">
        <v>420</v>
      </c>
      <c r="T18" s="365">
        <v>210</v>
      </c>
      <c r="U18" s="365">
        <v>120</v>
      </c>
      <c r="V18" s="377">
        <v>330</v>
      </c>
      <c r="W18" s="365">
        <v>24</v>
      </c>
      <c r="X18" s="365">
        <v>345</v>
      </c>
      <c r="Y18" s="378">
        <v>105</v>
      </c>
      <c r="Z18" s="365">
        <v>19</v>
      </c>
      <c r="AA18" s="365">
        <v>285</v>
      </c>
      <c r="AB18" s="378">
        <v>30</v>
      </c>
      <c r="AC18" s="365">
        <v>47</v>
      </c>
      <c r="AD18" s="365">
        <v>705</v>
      </c>
      <c r="AE18" s="378">
        <v>105</v>
      </c>
      <c r="AF18" s="379">
        <v>12</v>
      </c>
      <c r="AG18" s="379">
        <v>180</v>
      </c>
      <c r="AH18" s="378">
        <v>0</v>
      </c>
      <c r="AI18" s="379">
        <v>32</v>
      </c>
      <c r="AJ18" s="379">
        <v>480</v>
      </c>
      <c r="AK18" s="378">
        <v>90</v>
      </c>
      <c r="AL18" s="365">
        <v>44</v>
      </c>
      <c r="AM18" s="365">
        <v>660</v>
      </c>
      <c r="AN18" s="378">
        <v>90</v>
      </c>
      <c r="AO18" s="378"/>
      <c r="AP18" s="378">
        <f t="shared" si="4"/>
        <v>44</v>
      </c>
      <c r="AQ18" s="465">
        <v>0</v>
      </c>
      <c r="AR18" s="379">
        <v>0</v>
      </c>
      <c r="AS18" s="378">
        <v>0</v>
      </c>
      <c r="AT18" s="466">
        <v>11</v>
      </c>
      <c r="AU18" s="466">
        <v>6</v>
      </c>
      <c r="AV18" s="379">
        <v>17</v>
      </c>
      <c r="AW18" s="379">
        <v>255</v>
      </c>
      <c r="AX18" s="378">
        <v>90</v>
      </c>
      <c r="AY18" s="365">
        <v>17</v>
      </c>
      <c r="AZ18" s="365">
        <v>255</v>
      </c>
      <c r="BA18" s="378">
        <v>90</v>
      </c>
      <c r="BB18" s="378"/>
      <c r="BC18" s="378">
        <f t="shared" si="5"/>
        <v>17</v>
      </c>
      <c r="BD18" s="379">
        <v>1</v>
      </c>
      <c r="BE18" s="379">
        <v>4</v>
      </c>
      <c r="BF18" s="365">
        <v>5</v>
      </c>
      <c r="BO18" s="381">
        <f t="shared" si="0"/>
        <v>11</v>
      </c>
      <c r="BP18" s="381">
        <f t="shared" si="1"/>
        <v>6</v>
      </c>
      <c r="BQ18" s="381"/>
      <c r="BR18" s="381">
        <f>_xlfn.XLOOKUP(A18,'Summer data team '!B:B,'Summer data team '!BV:BV,0)</f>
        <v>11</v>
      </c>
      <c r="BS18" s="381">
        <f>_xlfn.XLOOKUP(A18,'Summer data team '!B:B,'Summer data team '!BW:BW,0)</f>
        <v>6</v>
      </c>
      <c r="BT18" s="381">
        <f t="shared" si="2"/>
        <v>0</v>
      </c>
      <c r="BU18" s="381">
        <f t="shared" si="3"/>
        <v>0</v>
      </c>
    </row>
    <row r="19" spans="1:73" ht="13" hidden="1" x14ac:dyDescent="0.3">
      <c r="A19" s="364">
        <v>3301023</v>
      </c>
      <c r="B19" s="364" t="s">
        <v>97</v>
      </c>
      <c r="C19" s="365">
        <v>0</v>
      </c>
      <c r="D19" s="365">
        <v>18</v>
      </c>
      <c r="E19" s="365">
        <v>8</v>
      </c>
      <c r="F19" s="365">
        <v>49</v>
      </c>
      <c r="G19" s="365">
        <v>38</v>
      </c>
      <c r="H19" s="377">
        <v>26</v>
      </c>
      <c r="I19" s="377">
        <v>87</v>
      </c>
      <c r="J19" s="365">
        <v>6</v>
      </c>
      <c r="K19" s="365">
        <v>3</v>
      </c>
      <c r="L19" s="377">
        <v>9</v>
      </c>
      <c r="M19" s="365">
        <v>0</v>
      </c>
      <c r="N19" s="365">
        <v>270</v>
      </c>
      <c r="O19" s="365">
        <v>735</v>
      </c>
      <c r="P19" s="365">
        <v>570</v>
      </c>
      <c r="Q19" s="377">
        <v>1305</v>
      </c>
      <c r="R19" s="365">
        <v>120</v>
      </c>
      <c r="S19" s="365">
        <v>390</v>
      </c>
      <c r="T19" s="365">
        <v>90</v>
      </c>
      <c r="U19" s="365">
        <v>45</v>
      </c>
      <c r="V19" s="377">
        <v>135</v>
      </c>
      <c r="W19" s="365">
        <v>10</v>
      </c>
      <c r="X19" s="365">
        <v>150</v>
      </c>
      <c r="Y19" s="378">
        <v>0</v>
      </c>
      <c r="Z19" s="365">
        <v>30</v>
      </c>
      <c r="AA19" s="365">
        <v>450</v>
      </c>
      <c r="AB19" s="378">
        <v>15</v>
      </c>
      <c r="AC19" s="365">
        <v>57</v>
      </c>
      <c r="AD19" s="365">
        <v>855</v>
      </c>
      <c r="AE19" s="378">
        <v>105</v>
      </c>
      <c r="AF19" s="379">
        <v>16</v>
      </c>
      <c r="AG19" s="379">
        <v>240</v>
      </c>
      <c r="AH19" s="378">
        <v>0</v>
      </c>
      <c r="AI19" s="379">
        <v>39</v>
      </c>
      <c r="AJ19" s="379">
        <v>585</v>
      </c>
      <c r="AK19" s="378">
        <v>15</v>
      </c>
      <c r="AL19" s="365">
        <v>55</v>
      </c>
      <c r="AM19" s="365">
        <v>825</v>
      </c>
      <c r="AN19" s="378">
        <v>15</v>
      </c>
      <c r="AO19" s="378"/>
      <c r="AP19" s="378">
        <f t="shared" si="4"/>
        <v>55</v>
      </c>
      <c r="AQ19" s="465">
        <v>5</v>
      </c>
      <c r="AR19" s="379">
        <v>75</v>
      </c>
      <c r="AS19" s="378">
        <v>0</v>
      </c>
      <c r="AT19" s="466">
        <v>12</v>
      </c>
      <c r="AU19" s="466">
        <v>1</v>
      </c>
      <c r="AV19" s="379">
        <v>13</v>
      </c>
      <c r="AW19" s="379">
        <v>195</v>
      </c>
      <c r="AX19" s="378">
        <v>15</v>
      </c>
      <c r="AY19" s="365">
        <v>18</v>
      </c>
      <c r="AZ19" s="365">
        <v>270</v>
      </c>
      <c r="BA19" s="378">
        <v>15</v>
      </c>
      <c r="BB19" s="378"/>
      <c r="BC19" s="378">
        <f t="shared" si="5"/>
        <v>18</v>
      </c>
      <c r="BD19" s="379">
        <v>1</v>
      </c>
      <c r="BE19" s="379">
        <v>7</v>
      </c>
      <c r="BF19" s="365">
        <v>8</v>
      </c>
      <c r="BO19" s="381">
        <f t="shared" si="0"/>
        <v>17</v>
      </c>
      <c r="BP19" s="381">
        <f t="shared" si="1"/>
        <v>1</v>
      </c>
      <c r="BQ19" s="381"/>
      <c r="BR19" s="381">
        <f>_xlfn.XLOOKUP(A19,'Summer data team '!B:B,'Summer data team '!BV:BV,0)</f>
        <v>17</v>
      </c>
      <c r="BS19" s="381">
        <f>_xlfn.XLOOKUP(A19,'Summer data team '!B:B,'Summer data team '!BW:BW,0)</f>
        <v>1</v>
      </c>
      <c r="BT19" s="381">
        <f t="shared" si="2"/>
        <v>0</v>
      </c>
      <c r="BU19" s="381">
        <f t="shared" si="3"/>
        <v>0</v>
      </c>
    </row>
    <row r="20" spans="1:73" ht="13" hidden="1" x14ac:dyDescent="0.3">
      <c r="A20" s="364">
        <v>3301024</v>
      </c>
      <c r="B20" s="364" t="s">
        <v>251</v>
      </c>
      <c r="C20" s="365">
        <v>0</v>
      </c>
      <c r="D20" s="365">
        <v>30</v>
      </c>
      <c r="E20" s="365">
        <v>6</v>
      </c>
      <c r="F20" s="365">
        <v>42</v>
      </c>
      <c r="G20" s="365">
        <v>22</v>
      </c>
      <c r="H20" s="377">
        <v>36</v>
      </c>
      <c r="I20" s="377">
        <v>64</v>
      </c>
      <c r="J20" s="365">
        <v>2</v>
      </c>
      <c r="K20" s="365">
        <v>2</v>
      </c>
      <c r="L20" s="377">
        <v>4</v>
      </c>
      <c r="M20" s="365">
        <v>0</v>
      </c>
      <c r="N20" s="365">
        <v>450</v>
      </c>
      <c r="O20" s="365">
        <v>630</v>
      </c>
      <c r="P20" s="365">
        <v>330</v>
      </c>
      <c r="Q20" s="377">
        <v>960</v>
      </c>
      <c r="R20" s="365">
        <v>90</v>
      </c>
      <c r="S20" s="365">
        <v>540</v>
      </c>
      <c r="T20" s="365">
        <v>30</v>
      </c>
      <c r="U20" s="365">
        <v>30</v>
      </c>
      <c r="V20" s="377">
        <v>60</v>
      </c>
      <c r="W20" s="365">
        <v>41</v>
      </c>
      <c r="X20" s="365">
        <v>615</v>
      </c>
      <c r="Y20" s="378">
        <v>15</v>
      </c>
      <c r="Z20" s="365">
        <v>11</v>
      </c>
      <c r="AA20" s="365">
        <v>165</v>
      </c>
      <c r="AB20" s="378">
        <v>15</v>
      </c>
      <c r="AC20" s="365">
        <v>21</v>
      </c>
      <c r="AD20" s="365">
        <v>315</v>
      </c>
      <c r="AE20" s="378">
        <v>0</v>
      </c>
      <c r="AF20" s="379">
        <v>25</v>
      </c>
      <c r="AG20" s="379">
        <v>375</v>
      </c>
      <c r="AH20" s="378">
        <v>0</v>
      </c>
      <c r="AI20" s="379">
        <v>33</v>
      </c>
      <c r="AJ20" s="379">
        <v>495</v>
      </c>
      <c r="AK20" s="378">
        <v>0</v>
      </c>
      <c r="AL20" s="365">
        <v>58</v>
      </c>
      <c r="AM20" s="365">
        <v>870</v>
      </c>
      <c r="AN20" s="378">
        <v>0</v>
      </c>
      <c r="AO20" s="378"/>
      <c r="AP20" s="378">
        <f t="shared" si="4"/>
        <v>58</v>
      </c>
      <c r="AQ20" s="465">
        <v>21</v>
      </c>
      <c r="AR20" s="379">
        <v>315</v>
      </c>
      <c r="AS20" s="378">
        <v>0</v>
      </c>
      <c r="AT20" s="466">
        <v>31</v>
      </c>
      <c r="AU20" s="466">
        <v>0</v>
      </c>
      <c r="AV20" s="379">
        <v>31</v>
      </c>
      <c r="AW20" s="379">
        <v>465</v>
      </c>
      <c r="AX20" s="378">
        <v>0</v>
      </c>
      <c r="AY20" s="365">
        <v>52</v>
      </c>
      <c r="AZ20" s="365">
        <v>780</v>
      </c>
      <c r="BA20" s="378">
        <v>0</v>
      </c>
      <c r="BB20" s="378"/>
      <c r="BC20" s="378">
        <f t="shared" si="5"/>
        <v>52</v>
      </c>
      <c r="BD20" s="379">
        <v>1</v>
      </c>
      <c r="BE20" s="379">
        <v>0</v>
      </c>
      <c r="BF20" s="365">
        <v>1</v>
      </c>
      <c r="BH20" s="364">
        <v>325.2</v>
      </c>
      <c r="BO20" s="381">
        <f t="shared" si="0"/>
        <v>52</v>
      </c>
      <c r="BP20" s="381">
        <f t="shared" si="1"/>
        <v>0</v>
      </c>
      <c r="BQ20" s="381"/>
      <c r="BR20" s="381">
        <f>_xlfn.XLOOKUP(A20,'Summer data team '!B:B,'Summer data team '!BV:BV,0)</f>
        <v>52</v>
      </c>
      <c r="BS20" s="381">
        <f>_xlfn.XLOOKUP(A20,'Summer data team '!B:B,'Summer data team '!BW:BW,0)</f>
        <v>0</v>
      </c>
      <c r="BT20" s="381">
        <f t="shared" si="2"/>
        <v>0</v>
      </c>
      <c r="BU20" s="381">
        <f t="shared" si="3"/>
        <v>0</v>
      </c>
    </row>
    <row r="21" spans="1:73" ht="13" hidden="1" x14ac:dyDescent="0.3">
      <c r="A21" s="364">
        <v>3301025</v>
      </c>
      <c r="B21" s="364" t="s">
        <v>40</v>
      </c>
      <c r="C21" s="365">
        <v>0</v>
      </c>
      <c r="D21" s="365">
        <v>40</v>
      </c>
      <c r="E21" s="365">
        <v>6</v>
      </c>
      <c r="F21" s="365">
        <v>58</v>
      </c>
      <c r="G21" s="365">
        <v>36</v>
      </c>
      <c r="H21" s="377">
        <v>46</v>
      </c>
      <c r="I21" s="377">
        <v>94</v>
      </c>
      <c r="J21" s="365">
        <v>7</v>
      </c>
      <c r="K21" s="365">
        <v>9</v>
      </c>
      <c r="L21" s="377">
        <v>16</v>
      </c>
      <c r="M21" s="365">
        <v>0</v>
      </c>
      <c r="N21" s="365">
        <v>600</v>
      </c>
      <c r="O21" s="365">
        <v>870</v>
      </c>
      <c r="P21" s="365">
        <v>540</v>
      </c>
      <c r="Q21" s="377">
        <v>1410</v>
      </c>
      <c r="R21" s="365">
        <v>90</v>
      </c>
      <c r="S21" s="365">
        <v>690</v>
      </c>
      <c r="T21" s="365">
        <v>105</v>
      </c>
      <c r="U21" s="365">
        <v>135</v>
      </c>
      <c r="V21" s="377">
        <v>240</v>
      </c>
      <c r="W21" s="365">
        <v>68</v>
      </c>
      <c r="X21" s="365">
        <v>1020</v>
      </c>
      <c r="Y21" s="378">
        <v>105</v>
      </c>
      <c r="Z21" s="365">
        <v>47</v>
      </c>
      <c r="AA21" s="365">
        <v>705</v>
      </c>
      <c r="AB21" s="378">
        <v>90</v>
      </c>
      <c r="AC21" s="365">
        <v>15</v>
      </c>
      <c r="AD21" s="365">
        <v>225</v>
      </c>
      <c r="AE21" s="378">
        <v>30</v>
      </c>
      <c r="AF21" s="379">
        <v>30</v>
      </c>
      <c r="AG21" s="379">
        <v>450</v>
      </c>
      <c r="AH21" s="378">
        <v>0</v>
      </c>
      <c r="AI21" s="379">
        <v>69</v>
      </c>
      <c r="AJ21" s="379">
        <v>1035</v>
      </c>
      <c r="AK21" s="378">
        <v>90</v>
      </c>
      <c r="AL21" s="365">
        <v>99</v>
      </c>
      <c r="AM21" s="365">
        <v>1485</v>
      </c>
      <c r="AN21" s="378">
        <v>90</v>
      </c>
      <c r="AO21" s="378"/>
      <c r="AP21" s="378">
        <f t="shared" si="4"/>
        <v>99</v>
      </c>
      <c r="AQ21" s="465">
        <v>11</v>
      </c>
      <c r="AR21" s="379">
        <v>165</v>
      </c>
      <c r="AS21" s="378">
        <v>0</v>
      </c>
      <c r="AT21" s="466">
        <v>58</v>
      </c>
      <c r="AU21" s="466">
        <v>6</v>
      </c>
      <c r="AV21" s="379">
        <v>64</v>
      </c>
      <c r="AW21" s="379">
        <v>960</v>
      </c>
      <c r="AX21" s="378">
        <v>90</v>
      </c>
      <c r="AY21" s="365">
        <v>75</v>
      </c>
      <c r="AZ21" s="365">
        <v>1125</v>
      </c>
      <c r="BA21" s="378">
        <v>90</v>
      </c>
      <c r="BB21" s="378"/>
      <c r="BC21" s="378">
        <f t="shared" si="5"/>
        <v>75</v>
      </c>
      <c r="BD21" s="379">
        <v>1</v>
      </c>
      <c r="BE21" s="379">
        <v>10</v>
      </c>
      <c r="BF21" s="365">
        <v>11</v>
      </c>
      <c r="BO21" s="381">
        <f t="shared" si="0"/>
        <v>69</v>
      </c>
      <c r="BP21" s="381">
        <f t="shared" si="1"/>
        <v>6</v>
      </c>
      <c r="BQ21" s="381"/>
      <c r="BR21" s="381">
        <f>_xlfn.XLOOKUP(A21,'Summer data team '!B:B,'Summer data team '!BV:BV,0)</f>
        <v>69</v>
      </c>
      <c r="BS21" s="381">
        <f>_xlfn.XLOOKUP(A21,'Summer data team '!B:B,'Summer data team '!BW:BW,0)</f>
        <v>6</v>
      </c>
      <c r="BT21" s="381">
        <f t="shared" si="2"/>
        <v>0</v>
      </c>
      <c r="BU21" s="381">
        <f t="shared" si="3"/>
        <v>0</v>
      </c>
    </row>
    <row r="22" spans="1:73" ht="13" hidden="1" x14ac:dyDescent="0.3">
      <c r="A22" s="364">
        <v>3301026</v>
      </c>
      <c r="B22" s="364" t="s">
        <v>73</v>
      </c>
      <c r="C22" s="365">
        <v>0</v>
      </c>
      <c r="D22" s="365">
        <v>15</v>
      </c>
      <c r="E22" s="365">
        <v>7</v>
      </c>
      <c r="F22" s="365">
        <v>61</v>
      </c>
      <c r="G22" s="365">
        <v>41</v>
      </c>
      <c r="H22" s="377">
        <v>22</v>
      </c>
      <c r="I22" s="377">
        <v>102</v>
      </c>
      <c r="J22" s="365">
        <v>13</v>
      </c>
      <c r="K22" s="365">
        <v>12</v>
      </c>
      <c r="L22" s="377">
        <v>25</v>
      </c>
      <c r="M22" s="365">
        <v>0</v>
      </c>
      <c r="N22" s="365">
        <v>225</v>
      </c>
      <c r="O22" s="365">
        <v>915</v>
      </c>
      <c r="P22" s="365">
        <v>615</v>
      </c>
      <c r="Q22" s="377">
        <v>1530</v>
      </c>
      <c r="R22" s="365">
        <v>105</v>
      </c>
      <c r="S22" s="365">
        <v>330</v>
      </c>
      <c r="T22" s="365">
        <v>195</v>
      </c>
      <c r="U22" s="365">
        <v>180</v>
      </c>
      <c r="V22" s="377">
        <v>375</v>
      </c>
      <c r="W22" s="365">
        <v>8</v>
      </c>
      <c r="X22" s="365">
        <v>120</v>
      </c>
      <c r="Y22" s="378">
        <v>30</v>
      </c>
      <c r="Z22" s="365">
        <v>14</v>
      </c>
      <c r="AA22" s="365">
        <v>210</v>
      </c>
      <c r="AB22" s="378">
        <v>45</v>
      </c>
      <c r="AC22" s="365">
        <v>22</v>
      </c>
      <c r="AD22" s="365">
        <v>330</v>
      </c>
      <c r="AE22" s="378">
        <v>75</v>
      </c>
      <c r="AF22" s="379">
        <v>16</v>
      </c>
      <c r="AG22" s="379">
        <v>240</v>
      </c>
      <c r="AH22" s="378">
        <v>0</v>
      </c>
      <c r="AI22" s="379">
        <v>44</v>
      </c>
      <c r="AJ22" s="379">
        <v>660</v>
      </c>
      <c r="AK22" s="378">
        <v>105</v>
      </c>
      <c r="AL22" s="365">
        <v>60</v>
      </c>
      <c r="AM22" s="365">
        <v>900</v>
      </c>
      <c r="AN22" s="378">
        <v>105</v>
      </c>
      <c r="AO22" s="378"/>
      <c r="AP22" s="378">
        <f t="shared" si="4"/>
        <v>60</v>
      </c>
      <c r="AQ22" s="465">
        <v>1</v>
      </c>
      <c r="AR22" s="379">
        <v>15</v>
      </c>
      <c r="AS22" s="378">
        <v>0</v>
      </c>
      <c r="AT22" s="466">
        <v>20</v>
      </c>
      <c r="AU22" s="466">
        <v>7</v>
      </c>
      <c r="AV22" s="379">
        <v>27</v>
      </c>
      <c r="AW22" s="379">
        <v>405</v>
      </c>
      <c r="AX22" s="378">
        <v>105</v>
      </c>
      <c r="AY22" s="365">
        <v>28</v>
      </c>
      <c r="AZ22" s="365">
        <v>420</v>
      </c>
      <c r="BA22" s="378">
        <v>105</v>
      </c>
      <c r="BB22" s="378"/>
      <c r="BC22" s="378">
        <f t="shared" si="5"/>
        <v>28</v>
      </c>
      <c r="BD22" s="379">
        <v>0</v>
      </c>
      <c r="BE22" s="379">
        <v>5</v>
      </c>
      <c r="BF22" s="365">
        <v>5</v>
      </c>
      <c r="BO22" s="381">
        <f t="shared" si="0"/>
        <v>21</v>
      </c>
      <c r="BP22" s="381">
        <f t="shared" si="1"/>
        <v>7</v>
      </c>
      <c r="BQ22" s="381"/>
      <c r="BR22" s="381">
        <f>_xlfn.XLOOKUP(A22,'Summer data team '!B:B,'Summer data team '!BV:BV,0)</f>
        <v>21</v>
      </c>
      <c r="BS22" s="381">
        <f>_xlfn.XLOOKUP(A22,'Summer data team '!B:B,'Summer data team '!BW:BW,0)</f>
        <v>7</v>
      </c>
      <c r="BT22" s="381">
        <f t="shared" si="2"/>
        <v>0</v>
      </c>
      <c r="BU22" s="381">
        <f t="shared" si="3"/>
        <v>0</v>
      </c>
    </row>
    <row r="23" spans="1:73" ht="13" hidden="1" x14ac:dyDescent="0.3">
      <c r="A23" s="364">
        <v>3301027</v>
      </c>
      <c r="B23" s="364" t="s">
        <v>25</v>
      </c>
      <c r="C23" s="365">
        <v>1</v>
      </c>
      <c r="D23" s="365">
        <v>20</v>
      </c>
      <c r="E23" s="365">
        <v>7</v>
      </c>
      <c r="F23" s="365">
        <v>44</v>
      </c>
      <c r="G23" s="365">
        <v>36</v>
      </c>
      <c r="H23" s="377">
        <v>27</v>
      </c>
      <c r="I23" s="377">
        <v>80</v>
      </c>
      <c r="J23" s="365">
        <v>7</v>
      </c>
      <c r="K23" s="365">
        <v>9</v>
      </c>
      <c r="L23" s="377">
        <v>16</v>
      </c>
      <c r="M23" s="365">
        <v>15</v>
      </c>
      <c r="N23" s="365">
        <v>300</v>
      </c>
      <c r="O23" s="365">
        <v>651</v>
      </c>
      <c r="P23" s="365">
        <v>525</v>
      </c>
      <c r="Q23" s="377">
        <v>1176</v>
      </c>
      <c r="R23" s="365">
        <v>105</v>
      </c>
      <c r="S23" s="365">
        <v>405</v>
      </c>
      <c r="T23" s="365">
        <v>105</v>
      </c>
      <c r="U23" s="365">
        <v>135</v>
      </c>
      <c r="V23" s="377">
        <v>240</v>
      </c>
      <c r="W23" s="365">
        <v>6</v>
      </c>
      <c r="X23" s="365">
        <v>90</v>
      </c>
      <c r="Y23" s="378">
        <v>0</v>
      </c>
      <c r="Z23" s="365">
        <v>54</v>
      </c>
      <c r="AA23" s="365">
        <v>810</v>
      </c>
      <c r="AB23" s="378">
        <v>75</v>
      </c>
      <c r="AC23" s="365">
        <v>37</v>
      </c>
      <c r="AD23" s="365">
        <v>555</v>
      </c>
      <c r="AE23" s="378">
        <v>60</v>
      </c>
      <c r="AF23" s="379">
        <v>11</v>
      </c>
      <c r="AG23" s="379">
        <v>165</v>
      </c>
      <c r="AH23" s="378">
        <v>0</v>
      </c>
      <c r="AI23" s="379">
        <v>36</v>
      </c>
      <c r="AJ23" s="379">
        <v>540</v>
      </c>
      <c r="AK23" s="378">
        <v>15</v>
      </c>
      <c r="AL23" s="365">
        <v>47</v>
      </c>
      <c r="AM23" s="365">
        <v>705</v>
      </c>
      <c r="AN23" s="378">
        <v>15</v>
      </c>
      <c r="AO23" s="378"/>
      <c r="AP23" s="378">
        <f t="shared" si="4"/>
        <v>47</v>
      </c>
      <c r="AQ23" s="465">
        <v>10</v>
      </c>
      <c r="AR23" s="379">
        <v>150</v>
      </c>
      <c r="AS23" s="378">
        <v>0</v>
      </c>
      <c r="AT23" s="466">
        <v>35</v>
      </c>
      <c r="AU23" s="466">
        <v>1</v>
      </c>
      <c r="AV23" s="379">
        <v>36</v>
      </c>
      <c r="AW23" s="379">
        <v>540</v>
      </c>
      <c r="AX23" s="378">
        <v>15</v>
      </c>
      <c r="AY23" s="365">
        <v>46</v>
      </c>
      <c r="AZ23" s="365">
        <v>690</v>
      </c>
      <c r="BA23" s="378">
        <v>15</v>
      </c>
      <c r="BB23" s="378"/>
      <c r="BC23" s="378">
        <f t="shared" si="5"/>
        <v>46</v>
      </c>
      <c r="BD23" s="379">
        <v>2</v>
      </c>
      <c r="BE23" s="379">
        <v>7</v>
      </c>
      <c r="BF23" s="365">
        <v>9</v>
      </c>
      <c r="BH23" s="364">
        <v>975.6</v>
      </c>
      <c r="BO23" s="381">
        <f t="shared" si="0"/>
        <v>45</v>
      </c>
      <c r="BP23" s="381">
        <f t="shared" si="1"/>
        <v>1</v>
      </c>
      <c r="BQ23" s="381"/>
      <c r="BR23" s="381">
        <f>_xlfn.XLOOKUP(A23,'Summer data team '!B:B,'Summer data team '!BV:BV,0)</f>
        <v>45</v>
      </c>
      <c r="BS23" s="381">
        <f>_xlfn.XLOOKUP(A23,'Summer data team '!B:B,'Summer data team '!BW:BW,0)</f>
        <v>1</v>
      </c>
      <c r="BT23" s="381">
        <f t="shared" si="2"/>
        <v>0</v>
      </c>
      <c r="BU23" s="381">
        <f t="shared" si="3"/>
        <v>0</v>
      </c>
    </row>
    <row r="24" spans="1:73" ht="13" hidden="1" x14ac:dyDescent="0.3">
      <c r="A24" s="364">
        <v>3301028</v>
      </c>
      <c r="B24" s="364" t="s">
        <v>201</v>
      </c>
      <c r="C24" s="365">
        <v>0</v>
      </c>
      <c r="D24" s="365">
        <v>29</v>
      </c>
      <c r="E24" s="365">
        <v>11</v>
      </c>
      <c r="F24" s="365">
        <v>44</v>
      </c>
      <c r="G24" s="365">
        <v>24</v>
      </c>
      <c r="H24" s="377">
        <v>40</v>
      </c>
      <c r="I24" s="377">
        <v>68</v>
      </c>
      <c r="J24" s="365">
        <v>5</v>
      </c>
      <c r="K24" s="365">
        <v>3</v>
      </c>
      <c r="L24" s="377">
        <v>8</v>
      </c>
      <c r="M24" s="365">
        <v>0</v>
      </c>
      <c r="N24" s="365">
        <v>435</v>
      </c>
      <c r="O24" s="365">
        <v>660</v>
      </c>
      <c r="P24" s="365">
        <v>360</v>
      </c>
      <c r="Q24" s="377">
        <v>1020</v>
      </c>
      <c r="R24" s="365">
        <v>165</v>
      </c>
      <c r="S24" s="365">
        <v>600</v>
      </c>
      <c r="T24" s="365">
        <v>75</v>
      </c>
      <c r="U24" s="365">
        <v>45</v>
      </c>
      <c r="V24" s="377">
        <v>120</v>
      </c>
      <c r="W24" s="365">
        <v>64</v>
      </c>
      <c r="X24" s="365">
        <v>960</v>
      </c>
      <c r="Y24" s="378">
        <v>45</v>
      </c>
      <c r="Z24" s="365">
        <v>17</v>
      </c>
      <c r="AA24" s="365">
        <v>255</v>
      </c>
      <c r="AB24" s="378">
        <v>15</v>
      </c>
      <c r="AC24" s="365">
        <v>21</v>
      </c>
      <c r="AD24" s="365">
        <v>315</v>
      </c>
      <c r="AE24" s="378">
        <v>30</v>
      </c>
      <c r="AF24" s="379">
        <v>28</v>
      </c>
      <c r="AG24" s="379">
        <v>420</v>
      </c>
      <c r="AH24" s="378">
        <v>0</v>
      </c>
      <c r="AI24" s="379">
        <v>46</v>
      </c>
      <c r="AJ24" s="379">
        <v>690</v>
      </c>
      <c r="AK24" s="378">
        <v>45</v>
      </c>
      <c r="AL24" s="365">
        <v>74</v>
      </c>
      <c r="AM24" s="365">
        <v>1110</v>
      </c>
      <c r="AN24" s="378">
        <v>45</v>
      </c>
      <c r="AO24" s="378"/>
      <c r="AP24" s="378">
        <f t="shared" si="4"/>
        <v>74</v>
      </c>
      <c r="AQ24" s="465">
        <v>2</v>
      </c>
      <c r="AR24" s="379">
        <v>30</v>
      </c>
      <c r="AS24" s="378">
        <v>0</v>
      </c>
      <c r="AT24" s="466">
        <v>21</v>
      </c>
      <c r="AU24" s="466">
        <v>3</v>
      </c>
      <c r="AV24" s="379">
        <v>24</v>
      </c>
      <c r="AW24" s="379">
        <v>360</v>
      </c>
      <c r="AX24" s="378">
        <v>45</v>
      </c>
      <c r="AY24" s="365">
        <v>26</v>
      </c>
      <c r="AZ24" s="365">
        <v>390</v>
      </c>
      <c r="BA24" s="378">
        <v>45</v>
      </c>
      <c r="BB24" s="378"/>
      <c r="BC24" s="378">
        <f t="shared" si="5"/>
        <v>26</v>
      </c>
      <c r="BD24" s="379">
        <v>1</v>
      </c>
      <c r="BE24" s="379">
        <v>5</v>
      </c>
      <c r="BF24" s="365">
        <v>6</v>
      </c>
      <c r="BO24" s="381">
        <f t="shared" si="0"/>
        <v>23</v>
      </c>
      <c r="BP24" s="381">
        <f t="shared" si="1"/>
        <v>3</v>
      </c>
      <c r="BQ24" s="381"/>
      <c r="BR24" s="381">
        <f>_xlfn.XLOOKUP(A24,'Summer data team '!B:B,'Summer data team '!BV:BV,0)</f>
        <v>23</v>
      </c>
      <c r="BS24" s="381">
        <f>_xlfn.XLOOKUP(A24,'Summer data team '!B:B,'Summer data team '!BW:BW,0)</f>
        <v>3</v>
      </c>
      <c r="BT24" s="381">
        <f t="shared" si="2"/>
        <v>0</v>
      </c>
      <c r="BU24" s="381">
        <f t="shared" si="3"/>
        <v>0</v>
      </c>
    </row>
    <row r="25" spans="1:73" ht="13" hidden="1" x14ac:dyDescent="0.3">
      <c r="A25" s="364">
        <v>3301038</v>
      </c>
      <c r="B25" s="364" t="s">
        <v>252</v>
      </c>
      <c r="C25" s="365">
        <v>0</v>
      </c>
      <c r="D25" s="365">
        <v>9</v>
      </c>
      <c r="E25" s="365">
        <v>24</v>
      </c>
      <c r="F25" s="365">
        <v>67</v>
      </c>
      <c r="G25" s="365">
        <v>44</v>
      </c>
      <c r="H25" s="377">
        <v>33</v>
      </c>
      <c r="I25" s="377">
        <v>111</v>
      </c>
      <c r="J25" s="365">
        <v>32</v>
      </c>
      <c r="K25" s="365">
        <v>23</v>
      </c>
      <c r="L25" s="377">
        <v>55</v>
      </c>
      <c r="M25" s="365">
        <v>0</v>
      </c>
      <c r="N25" s="365">
        <v>135</v>
      </c>
      <c r="O25" s="365">
        <v>1005</v>
      </c>
      <c r="P25" s="365">
        <v>660</v>
      </c>
      <c r="Q25" s="377">
        <v>1665</v>
      </c>
      <c r="R25" s="365">
        <v>360</v>
      </c>
      <c r="S25" s="365">
        <v>495</v>
      </c>
      <c r="T25" s="365">
        <v>480</v>
      </c>
      <c r="U25" s="365">
        <v>345</v>
      </c>
      <c r="V25" s="377">
        <v>825</v>
      </c>
      <c r="W25" s="365">
        <v>60</v>
      </c>
      <c r="X25" s="365">
        <v>900</v>
      </c>
      <c r="Y25" s="378">
        <v>315</v>
      </c>
      <c r="Z25" s="365">
        <v>23</v>
      </c>
      <c r="AA25" s="365">
        <v>345</v>
      </c>
      <c r="AB25" s="378">
        <v>120</v>
      </c>
      <c r="AC25" s="365">
        <v>30</v>
      </c>
      <c r="AD25" s="365">
        <v>450</v>
      </c>
      <c r="AE25" s="378">
        <v>195</v>
      </c>
      <c r="AF25" s="379">
        <v>9</v>
      </c>
      <c r="AG25" s="379">
        <v>135</v>
      </c>
      <c r="AH25" s="378">
        <v>0</v>
      </c>
      <c r="AI25" s="379">
        <v>54</v>
      </c>
      <c r="AJ25" s="379">
        <v>810</v>
      </c>
      <c r="AK25" s="378">
        <v>105</v>
      </c>
      <c r="AL25" s="365">
        <v>63</v>
      </c>
      <c r="AM25" s="365">
        <v>945</v>
      </c>
      <c r="AN25" s="378">
        <v>105</v>
      </c>
      <c r="AO25" s="378"/>
      <c r="AP25" s="378">
        <f t="shared" si="4"/>
        <v>63</v>
      </c>
      <c r="AQ25" s="465">
        <v>9</v>
      </c>
      <c r="AR25" s="379">
        <v>135</v>
      </c>
      <c r="AS25" s="378">
        <v>0</v>
      </c>
      <c r="AT25" s="466">
        <v>44</v>
      </c>
      <c r="AU25" s="466">
        <v>5</v>
      </c>
      <c r="AV25" s="379">
        <v>49</v>
      </c>
      <c r="AW25" s="379">
        <v>735</v>
      </c>
      <c r="AX25" s="378">
        <v>75</v>
      </c>
      <c r="AY25" s="365">
        <v>58</v>
      </c>
      <c r="AZ25" s="365">
        <v>870</v>
      </c>
      <c r="BA25" s="378">
        <v>75</v>
      </c>
      <c r="BB25" s="378"/>
      <c r="BC25" s="378">
        <f t="shared" si="5"/>
        <v>58</v>
      </c>
      <c r="BD25" s="379">
        <v>0</v>
      </c>
      <c r="BE25" s="379">
        <v>3</v>
      </c>
      <c r="BF25" s="365">
        <v>3</v>
      </c>
      <c r="BO25" s="381">
        <f t="shared" si="0"/>
        <v>53</v>
      </c>
      <c r="BP25" s="381">
        <f t="shared" si="1"/>
        <v>5</v>
      </c>
      <c r="BQ25" s="381"/>
      <c r="BR25" s="381">
        <f>_xlfn.XLOOKUP(A25,'Summer data team '!B:B,'Summer data team '!BV:BV,0)</f>
        <v>53</v>
      </c>
      <c r="BS25" s="381">
        <f>_xlfn.XLOOKUP(A25,'Summer data team '!B:B,'Summer data team '!BW:BW,0)</f>
        <v>5</v>
      </c>
      <c r="BT25" s="381">
        <f t="shared" si="2"/>
        <v>0</v>
      </c>
      <c r="BU25" s="381">
        <f t="shared" si="3"/>
        <v>0</v>
      </c>
    </row>
    <row r="26" spans="1:73" ht="13" hidden="1" x14ac:dyDescent="0.3">
      <c r="A26" s="364">
        <v>3301048</v>
      </c>
      <c r="B26" s="364" t="s">
        <v>53</v>
      </c>
      <c r="C26" s="365">
        <v>0</v>
      </c>
      <c r="D26" s="365">
        <v>31</v>
      </c>
      <c r="E26" s="365">
        <v>7</v>
      </c>
      <c r="F26" s="365">
        <v>79</v>
      </c>
      <c r="G26" s="365">
        <v>41</v>
      </c>
      <c r="H26" s="377">
        <v>38</v>
      </c>
      <c r="I26" s="377">
        <v>120</v>
      </c>
      <c r="J26" s="365">
        <v>24</v>
      </c>
      <c r="K26" s="365">
        <v>11</v>
      </c>
      <c r="L26" s="377">
        <v>35</v>
      </c>
      <c r="M26" s="365">
        <v>0</v>
      </c>
      <c r="N26" s="365">
        <v>465</v>
      </c>
      <c r="O26" s="365">
        <v>1185</v>
      </c>
      <c r="P26" s="365">
        <v>615</v>
      </c>
      <c r="Q26" s="377">
        <v>1800</v>
      </c>
      <c r="R26" s="365">
        <v>105</v>
      </c>
      <c r="S26" s="365">
        <v>570</v>
      </c>
      <c r="T26" s="365">
        <v>360</v>
      </c>
      <c r="U26" s="365">
        <v>165</v>
      </c>
      <c r="V26" s="377">
        <v>525</v>
      </c>
      <c r="W26" s="365">
        <v>84</v>
      </c>
      <c r="X26" s="365">
        <v>1260</v>
      </c>
      <c r="Y26" s="378">
        <v>300</v>
      </c>
      <c r="Z26" s="365">
        <v>1</v>
      </c>
      <c r="AA26" s="365">
        <v>15</v>
      </c>
      <c r="AB26" s="378">
        <v>0</v>
      </c>
      <c r="AC26" s="365">
        <v>20</v>
      </c>
      <c r="AD26" s="365">
        <v>300</v>
      </c>
      <c r="AE26" s="378">
        <v>60</v>
      </c>
      <c r="AF26" s="379">
        <v>21</v>
      </c>
      <c r="AG26" s="379">
        <v>315</v>
      </c>
      <c r="AH26" s="378">
        <v>0</v>
      </c>
      <c r="AI26" s="379">
        <v>67</v>
      </c>
      <c r="AJ26" s="379">
        <v>1005</v>
      </c>
      <c r="AK26" s="378">
        <v>135</v>
      </c>
      <c r="AL26" s="365">
        <v>88</v>
      </c>
      <c r="AM26" s="365">
        <v>1320</v>
      </c>
      <c r="AN26" s="378">
        <v>135</v>
      </c>
      <c r="AO26" s="378"/>
      <c r="AP26" s="378">
        <f t="shared" si="4"/>
        <v>88</v>
      </c>
      <c r="AQ26" s="465">
        <v>21</v>
      </c>
      <c r="AR26" s="379">
        <v>315</v>
      </c>
      <c r="AS26" s="378">
        <v>0</v>
      </c>
      <c r="AT26" s="466">
        <v>58</v>
      </c>
      <c r="AU26" s="466">
        <v>9</v>
      </c>
      <c r="AV26" s="379">
        <v>67</v>
      </c>
      <c r="AW26" s="379">
        <v>1005</v>
      </c>
      <c r="AX26" s="378">
        <v>135</v>
      </c>
      <c r="AY26" s="365">
        <v>88</v>
      </c>
      <c r="AZ26" s="365">
        <v>1320</v>
      </c>
      <c r="BA26" s="378">
        <v>135</v>
      </c>
      <c r="BB26" s="378"/>
      <c r="BC26" s="378">
        <f t="shared" si="5"/>
        <v>88</v>
      </c>
      <c r="BD26" s="379">
        <v>3</v>
      </c>
      <c r="BE26" s="379">
        <v>6</v>
      </c>
      <c r="BF26" s="365">
        <v>9</v>
      </c>
      <c r="BO26" s="381">
        <f t="shared" si="0"/>
        <v>79</v>
      </c>
      <c r="BP26" s="381">
        <f t="shared" si="1"/>
        <v>9</v>
      </c>
      <c r="BQ26" s="381"/>
      <c r="BR26" s="381">
        <f>_xlfn.XLOOKUP(A26,'Summer data team '!B:B,'Summer data team '!BV:BV,0)</f>
        <v>79</v>
      </c>
      <c r="BS26" s="381">
        <f>_xlfn.XLOOKUP(A26,'Summer data team '!B:B,'Summer data team '!BW:BW,0)</f>
        <v>9</v>
      </c>
      <c r="BT26" s="381">
        <f t="shared" si="2"/>
        <v>0</v>
      </c>
      <c r="BU26" s="381">
        <f t="shared" si="3"/>
        <v>0</v>
      </c>
    </row>
    <row r="27" spans="1:73" ht="13" hidden="1" x14ac:dyDescent="0.3">
      <c r="A27" s="364">
        <v>3301049</v>
      </c>
      <c r="B27" s="364" t="s">
        <v>117</v>
      </c>
      <c r="C27" s="365">
        <v>0</v>
      </c>
      <c r="D27" s="365">
        <v>29</v>
      </c>
      <c r="E27" s="365">
        <v>6</v>
      </c>
      <c r="F27" s="365">
        <v>65</v>
      </c>
      <c r="G27" s="365">
        <v>41</v>
      </c>
      <c r="H27" s="377">
        <v>35</v>
      </c>
      <c r="I27" s="377">
        <v>106</v>
      </c>
      <c r="J27" s="365">
        <v>8</v>
      </c>
      <c r="K27" s="365">
        <v>7</v>
      </c>
      <c r="L27" s="377">
        <v>15</v>
      </c>
      <c r="M27" s="365">
        <v>0</v>
      </c>
      <c r="N27" s="365">
        <v>435</v>
      </c>
      <c r="O27" s="365">
        <v>975</v>
      </c>
      <c r="P27" s="365">
        <v>615</v>
      </c>
      <c r="Q27" s="377">
        <v>1590</v>
      </c>
      <c r="R27" s="365">
        <v>90</v>
      </c>
      <c r="S27" s="365">
        <v>525</v>
      </c>
      <c r="T27" s="365">
        <v>120</v>
      </c>
      <c r="U27" s="365">
        <v>105</v>
      </c>
      <c r="V27" s="377">
        <v>225</v>
      </c>
      <c r="W27" s="365">
        <v>68</v>
      </c>
      <c r="X27" s="365">
        <v>1020</v>
      </c>
      <c r="Y27" s="378">
        <v>60</v>
      </c>
      <c r="Z27" s="365">
        <v>3</v>
      </c>
      <c r="AA27" s="365">
        <v>45</v>
      </c>
      <c r="AB27" s="378">
        <v>15</v>
      </c>
      <c r="AC27" s="365">
        <v>30</v>
      </c>
      <c r="AD27" s="365">
        <v>450</v>
      </c>
      <c r="AE27" s="378">
        <v>60</v>
      </c>
      <c r="AF27" s="379">
        <v>27</v>
      </c>
      <c r="AG27" s="379">
        <v>405</v>
      </c>
      <c r="AH27" s="378">
        <v>0</v>
      </c>
      <c r="AI27" s="379">
        <v>65</v>
      </c>
      <c r="AJ27" s="379">
        <v>975</v>
      </c>
      <c r="AK27" s="378">
        <v>75</v>
      </c>
      <c r="AL27" s="365">
        <v>92</v>
      </c>
      <c r="AM27" s="365">
        <v>1380</v>
      </c>
      <c r="AN27" s="378">
        <v>75</v>
      </c>
      <c r="AO27" s="378"/>
      <c r="AP27" s="378">
        <f t="shared" si="4"/>
        <v>92</v>
      </c>
      <c r="AQ27" s="465">
        <v>0</v>
      </c>
      <c r="AR27" s="379">
        <v>0</v>
      </c>
      <c r="AS27" s="378">
        <v>0</v>
      </c>
      <c r="AT27" s="466">
        <v>22</v>
      </c>
      <c r="AU27" s="466">
        <v>5</v>
      </c>
      <c r="AV27" s="379">
        <v>27</v>
      </c>
      <c r="AW27" s="379">
        <v>405</v>
      </c>
      <c r="AX27" s="378">
        <v>75</v>
      </c>
      <c r="AY27" s="365">
        <v>27</v>
      </c>
      <c r="AZ27" s="365">
        <v>405</v>
      </c>
      <c r="BA27" s="378">
        <v>75</v>
      </c>
      <c r="BB27" s="378"/>
      <c r="BC27" s="378">
        <f t="shared" si="5"/>
        <v>27</v>
      </c>
      <c r="BD27" s="379">
        <v>3</v>
      </c>
      <c r="BE27" s="379">
        <v>5</v>
      </c>
      <c r="BF27" s="365">
        <v>8</v>
      </c>
      <c r="BO27" s="381">
        <f t="shared" si="0"/>
        <v>22</v>
      </c>
      <c r="BP27" s="381">
        <f t="shared" si="1"/>
        <v>5</v>
      </c>
      <c r="BQ27" s="381"/>
      <c r="BR27" s="381">
        <f>_xlfn.XLOOKUP(A27,'Summer data team '!B:B,'Summer data team '!BV:BV,0)</f>
        <v>22</v>
      </c>
      <c r="BS27" s="381">
        <f>_xlfn.XLOOKUP(A27,'Summer data team '!B:B,'Summer data team '!BW:BW,0)</f>
        <v>5</v>
      </c>
      <c r="BT27" s="381">
        <f t="shared" si="2"/>
        <v>0</v>
      </c>
      <c r="BU27" s="381">
        <f t="shared" si="3"/>
        <v>0</v>
      </c>
    </row>
    <row r="28" spans="1:73" ht="13" hidden="1" x14ac:dyDescent="0.3">
      <c r="A28" s="364">
        <v>3301802</v>
      </c>
      <c r="B28" s="364" t="s">
        <v>189</v>
      </c>
      <c r="C28" s="365">
        <v>0</v>
      </c>
      <c r="D28" s="365">
        <v>25</v>
      </c>
      <c r="E28" s="365">
        <v>6</v>
      </c>
      <c r="F28" s="365">
        <v>51</v>
      </c>
      <c r="G28" s="365">
        <v>10</v>
      </c>
      <c r="H28" s="377">
        <v>31</v>
      </c>
      <c r="I28" s="377">
        <v>61</v>
      </c>
      <c r="J28" s="365">
        <v>12</v>
      </c>
      <c r="K28" s="365">
        <v>0</v>
      </c>
      <c r="L28" s="377">
        <v>12</v>
      </c>
      <c r="M28" s="365">
        <v>0</v>
      </c>
      <c r="N28" s="365">
        <v>375</v>
      </c>
      <c r="O28" s="365">
        <v>765</v>
      </c>
      <c r="P28" s="365">
        <v>150</v>
      </c>
      <c r="Q28" s="377">
        <v>915</v>
      </c>
      <c r="R28" s="365">
        <v>90</v>
      </c>
      <c r="S28" s="365">
        <v>465</v>
      </c>
      <c r="T28" s="365">
        <v>180</v>
      </c>
      <c r="U28" s="365">
        <v>0</v>
      </c>
      <c r="V28" s="377">
        <v>180</v>
      </c>
      <c r="W28" s="365">
        <v>32</v>
      </c>
      <c r="X28" s="365">
        <v>480</v>
      </c>
      <c r="Y28" s="378">
        <v>45</v>
      </c>
      <c r="Z28" s="365">
        <v>35</v>
      </c>
      <c r="AA28" s="365">
        <v>525</v>
      </c>
      <c r="AB28" s="378">
        <v>90</v>
      </c>
      <c r="AC28" s="365">
        <v>9</v>
      </c>
      <c r="AD28" s="365">
        <v>135</v>
      </c>
      <c r="AE28" s="378">
        <v>15</v>
      </c>
      <c r="AF28" s="379">
        <v>21</v>
      </c>
      <c r="AG28" s="379">
        <v>315</v>
      </c>
      <c r="AH28" s="378">
        <v>0</v>
      </c>
      <c r="AI28" s="379">
        <v>32</v>
      </c>
      <c r="AJ28" s="379">
        <v>480</v>
      </c>
      <c r="AK28" s="378">
        <v>45</v>
      </c>
      <c r="AL28" s="365">
        <v>53</v>
      </c>
      <c r="AM28" s="365">
        <v>795</v>
      </c>
      <c r="AN28" s="378">
        <v>45</v>
      </c>
      <c r="AO28" s="378"/>
      <c r="AP28" s="378">
        <f t="shared" si="4"/>
        <v>53</v>
      </c>
      <c r="AQ28" s="465">
        <v>21</v>
      </c>
      <c r="AR28" s="379">
        <v>315</v>
      </c>
      <c r="AS28" s="378">
        <v>0</v>
      </c>
      <c r="AT28" s="466">
        <v>29</v>
      </c>
      <c r="AU28" s="466">
        <v>3</v>
      </c>
      <c r="AV28" s="379">
        <v>32</v>
      </c>
      <c r="AW28" s="379">
        <v>480</v>
      </c>
      <c r="AX28" s="378">
        <v>45</v>
      </c>
      <c r="AY28" s="365">
        <v>53</v>
      </c>
      <c r="AZ28" s="365">
        <v>795</v>
      </c>
      <c r="BA28" s="378">
        <v>45</v>
      </c>
      <c r="BB28" s="378"/>
      <c r="BC28" s="378">
        <f t="shared" si="5"/>
        <v>53</v>
      </c>
      <c r="BD28" s="379">
        <v>0</v>
      </c>
      <c r="BE28" s="379">
        <v>1</v>
      </c>
      <c r="BF28" s="365">
        <v>1</v>
      </c>
      <c r="BG28" s="364">
        <v>1346.4</v>
      </c>
      <c r="BH28" s="364">
        <v>162.6</v>
      </c>
      <c r="BO28" s="381">
        <f t="shared" si="0"/>
        <v>50</v>
      </c>
      <c r="BP28" s="381">
        <f t="shared" si="1"/>
        <v>3</v>
      </c>
      <c r="BQ28" s="381"/>
      <c r="BR28" s="381">
        <f>_xlfn.XLOOKUP(A28,'Summer data team '!B:B,'Summer data team '!BV:BV,0)</f>
        <v>50</v>
      </c>
      <c r="BS28" s="381">
        <f>_xlfn.XLOOKUP(A28,'Summer data team '!B:B,'Summer data team '!BW:BW,0)</f>
        <v>3</v>
      </c>
      <c r="BT28" s="381">
        <f t="shared" si="2"/>
        <v>0</v>
      </c>
      <c r="BU28" s="381">
        <f t="shared" si="3"/>
        <v>0</v>
      </c>
    </row>
    <row r="29" spans="1:73" ht="13" hidden="1" x14ac:dyDescent="0.3">
      <c r="A29" s="364">
        <v>3302003</v>
      </c>
      <c r="B29" s="364" t="s">
        <v>845</v>
      </c>
      <c r="C29" s="365">
        <v>0</v>
      </c>
      <c r="D29" s="365">
        <v>0</v>
      </c>
      <c r="E29" s="365">
        <v>0</v>
      </c>
      <c r="F29" s="365">
        <v>36</v>
      </c>
      <c r="G29" s="365">
        <v>33</v>
      </c>
      <c r="H29" s="377">
        <v>0</v>
      </c>
      <c r="I29" s="377">
        <v>69</v>
      </c>
      <c r="J29" s="365">
        <v>0</v>
      </c>
      <c r="K29" s="365">
        <v>0</v>
      </c>
      <c r="L29" s="377">
        <v>0</v>
      </c>
      <c r="M29" s="365">
        <v>0</v>
      </c>
      <c r="N29" s="365">
        <v>0</v>
      </c>
      <c r="O29" s="365">
        <v>540</v>
      </c>
      <c r="P29" s="365">
        <v>495</v>
      </c>
      <c r="Q29" s="377">
        <v>1035</v>
      </c>
      <c r="R29" s="365">
        <v>0</v>
      </c>
      <c r="S29" s="365">
        <v>0</v>
      </c>
      <c r="T29" s="365">
        <v>0</v>
      </c>
      <c r="U29" s="365">
        <v>0</v>
      </c>
      <c r="V29" s="377">
        <v>0</v>
      </c>
      <c r="W29" s="365">
        <v>1</v>
      </c>
      <c r="X29" s="365">
        <v>15</v>
      </c>
      <c r="Y29" s="378">
        <v>0</v>
      </c>
      <c r="Z29" s="365">
        <v>28</v>
      </c>
      <c r="AA29" s="365">
        <v>420</v>
      </c>
      <c r="AB29" s="378">
        <v>0</v>
      </c>
      <c r="AC29" s="365">
        <v>36</v>
      </c>
      <c r="AD29" s="365">
        <v>540</v>
      </c>
      <c r="AE29" s="378">
        <v>0</v>
      </c>
      <c r="AF29" s="379">
        <v>0</v>
      </c>
      <c r="AG29" s="379">
        <v>0</v>
      </c>
      <c r="AH29" s="378">
        <v>0</v>
      </c>
      <c r="AI29" s="379">
        <v>25</v>
      </c>
      <c r="AJ29" s="379">
        <v>375</v>
      </c>
      <c r="AK29" s="378">
        <v>0</v>
      </c>
      <c r="AL29" s="365">
        <v>25</v>
      </c>
      <c r="AM29" s="365">
        <v>375</v>
      </c>
      <c r="AN29" s="378">
        <v>0</v>
      </c>
      <c r="AO29" s="378"/>
      <c r="AP29" s="378">
        <f t="shared" si="4"/>
        <v>25</v>
      </c>
      <c r="AQ29" s="465">
        <v>0</v>
      </c>
      <c r="AR29" s="379">
        <v>0</v>
      </c>
      <c r="AS29" s="378">
        <v>0</v>
      </c>
      <c r="AT29" s="466">
        <v>25</v>
      </c>
      <c r="AU29" s="466">
        <v>0</v>
      </c>
      <c r="AV29" s="379">
        <v>25</v>
      </c>
      <c r="AW29" s="379">
        <v>375</v>
      </c>
      <c r="AX29" s="378">
        <v>0</v>
      </c>
      <c r="AY29" s="365">
        <v>25</v>
      </c>
      <c r="AZ29" s="365">
        <v>375</v>
      </c>
      <c r="BA29" s="378">
        <v>0</v>
      </c>
      <c r="BB29" s="378"/>
      <c r="BC29" s="378">
        <f t="shared" si="5"/>
        <v>25</v>
      </c>
      <c r="BD29" s="379">
        <v>0</v>
      </c>
      <c r="BE29" s="379">
        <v>0</v>
      </c>
      <c r="BF29" s="365">
        <v>0</v>
      </c>
      <c r="BO29" s="381">
        <f t="shared" si="0"/>
        <v>25</v>
      </c>
      <c r="BP29" s="381">
        <f t="shared" si="1"/>
        <v>0</v>
      </c>
      <c r="BQ29" s="381"/>
      <c r="BR29" s="381">
        <f>_xlfn.XLOOKUP(A29,'Summer data team '!B:B,'Summer data team '!BV:BV,0)</f>
        <v>25</v>
      </c>
      <c r="BS29" s="381">
        <f>_xlfn.XLOOKUP(A29,'Summer data team '!B:B,'Summer data team '!BW:BW,0)</f>
        <v>0</v>
      </c>
      <c r="BT29" s="381">
        <f t="shared" si="2"/>
        <v>0</v>
      </c>
      <c r="BU29" s="381">
        <f t="shared" si="3"/>
        <v>0</v>
      </c>
    </row>
    <row r="30" spans="1:73" ht="13" hidden="1" x14ac:dyDescent="0.3">
      <c r="A30" s="364">
        <v>3302004</v>
      </c>
      <c r="B30" s="364" t="s">
        <v>197</v>
      </c>
      <c r="C30" s="365">
        <v>0</v>
      </c>
      <c r="D30" s="365">
        <v>0</v>
      </c>
      <c r="E30" s="365">
        <v>0</v>
      </c>
      <c r="F30" s="365">
        <v>8</v>
      </c>
      <c r="G30" s="365">
        <v>8</v>
      </c>
      <c r="H30" s="377">
        <v>0</v>
      </c>
      <c r="I30" s="377">
        <v>16</v>
      </c>
      <c r="J30" s="365">
        <v>0</v>
      </c>
      <c r="K30" s="365">
        <v>0</v>
      </c>
      <c r="L30" s="377">
        <v>0</v>
      </c>
      <c r="M30" s="365">
        <v>0</v>
      </c>
      <c r="N30" s="365">
        <v>0</v>
      </c>
      <c r="O30" s="365">
        <v>120</v>
      </c>
      <c r="P30" s="365">
        <v>120</v>
      </c>
      <c r="Q30" s="377">
        <v>240</v>
      </c>
      <c r="R30" s="365">
        <v>0</v>
      </c>
      <c r="S30" s="365">
        <v>0</v>
      </c>
      <c r="T30" s="365">
        <v>0</v>
      </c>
      <c r="U30" s="365">
        <v>0</v>
      </c>
      <c r="V30" s="377">
        <v>0</v>
      </c>
      <c r="W30" s="365">
        <v>2</v>
      </c>
      <c r="X30" s="365">
        <v>30</v>
      </c>
      <c r="Y30" s="378">
        <v>0</v>
      </c>
      <c r="Z30" s="365">
        <v>0</v>
      </c>
      <c r="AA30" s="365">
        <v>0</v>
      </c>
      <c r="AB30" s="378">
        <v>0</v>
      </c>
      <c r="AC30" s="365">
        <v>8</v>
      </c>
      <c r="AD30" s="365">
        <v>120</v>
      </c>
      <c r="AE30" s="378">
        <v>0</v>
      </c>
      <c r="AF30" s="379">
        <v>0</v>
      </c>
      <c r="AG30" s="379">
        <v>0</v>
      </c>
      <c r="AH30" s="378">
        <v>0</v>
      </c>
      <c r="AI30" s="379">
        <v>7</v>
      </c>
      <c r="AJ30" s="379">
        <v>105</v>
      </c>
      <c r="AK30" s="378">
        <v>0</v>
      </c>
      <c r="AL30" s="365">
        <v>7</v>
      </c>
      <c r="AM30" s="365">
        <v>105</v>
      </c>
      <c r="AN30" s="378">
        <v>0</v>
      </c>
      <c r="AO30" s="378"/>
      <c r="AP30" s="378">
        <f t="shared" si="4"/>
        <v>7</v>
      </c>
      <c r="AQ30" s="465">
        <v>0</v>
      </c>
      <c r="AR30" s="379">
        <v>0</v>
      </c>
      <c r="AS30" s="378">
        <v>0</v>
      </c>
      <c r="AT30" s="466">
        <v>0</v>
      </c>
      <c r="AU30" s="466">
        <v>0</v>
      </c>
      <c r="AV30" s="379">
        <v>0</v>
      </c>
      <c r="AW30" s="379">
        <v>0</v>
      </c>
      <c r="AX30" s="378">
        <v>0</v>
      </c>
      <c r="AY30" s="365">
        <v>0</v>
      </c>
      <c r="AZ30" s="365">
        <v>0</v>
      </c>
      <c r="BA30" s="378">
        <v>0</v>
      </c>
      <c r="BB30" s="378"/>
      <c r="BC30" s="378">
        <f t="shared" si="5"/>
        <v>0</v>
      </c>
      <c r="BD30" s="379">
        <v>0</v>
      </c>
      <c r="BE30" s="379">
        <v>0</v>
      </c>
      <c r="BF30" s="365">
        <v>0</v>
      </c>
      <c r="BO30" s="381">
        <f t="shared" si="0"/>
        <v>0</v>
      </c>
      <c r="BP30" s="381">
        <f t="shared" si="1"/>
        <v>0</v>
      </c>
      <c r="BQ30" s="381"/>
      <c r="BR30" s="381">
        <f>_xlfn.XLOOKUP(A30,'Summer data team '!B:B,'Summer data team '!BV:BV,0)</f>
        <v>0</v>
      </c>
      <c r="BS30" s="381">
        <f>_xlfn.XLOOKUP(A30,'Summer data team '!B:B,'Summer data team '!BW:BW,0)</f>
        <v>0</v>
      </c>
      <c r="BT30" s="381">
        <f t="shared" si="2"/>
        <v>0</v>
      </c>
      <c r="BU30" s="381">
        <f t="shared" si="3"/>
        <v>0</v>
      </c>
    </row>
    <row r="31" spans="1:73" ht="13" hidden="1" x14ac:dyDescent="0.3">
      <c r="A31" s="364">
        <v>3302005</v>
      </c>
      <c r="B31" s="364" t="s">
        <v>193</v>
      </c>
      <c r="C31" s="365">
        <v>0</v>
      </c>
      <c r="D31" s="365">
        <v>0</v>
      </c>
      <c r="E31" s="365">
        <v>0</v>
      </c>
      <c r="F31" s="365">
        <v>17</v>
      </c>
      <c r="G31" s="365">
        <v>22</v>
      </c>
      <c r="H31" s="377">
        <v>0</v>
      </c>
      <c r="I31" s="377">
        <v>39</v>
      </c>
      <c r="J31" s="365">
        <v>5</v>
      </c>
      <c r="K31" s="365">
        <v>9</v>
      </c>
      <c r="L31" s="377">
        <v>14</v>
      </c>
      <c r="M31" s="365">
        <v>0</v>
      </c>
      <c r="N31" s="365">
        <v>0</v>
      </c>
      <c r="O31" s="365">
        <v>255</v>
      </c>
      <c r="P31" s="365">
        <v>327.5</v>
      </c>
      <c r="Q31" s="377">
        <v>582.5</v>
      </c>
      <c r="R31" s="365">
        <v>0</v>
      </c>
      <c r="S31" s="365">
        <v>0</v>
      </c>
      <c r="T31" s="365">
        <v>18.5</v>
      </c>
      <c r="U31" s="365">
        <v>30.5</v>
      </c>
      <c r="V31" s="377">
        <v>49</v>
      </c>
      <c r="W31" s="365">
        <v>1</v>
      </c>
      <c r="X31" s="365">
        <v>15</v>
      </c>
      <c r="Y31" s="378">
        <v>0</v>
      </c>
      <c r="Z31" s="365">
        <v>1</v>
      </c>
      <c r="AA31" s="365">
        <v>15</v>
      </c>
      <c r="AB31" s="378">
        <v>0</v>
      </c>
      <c r="AC31" s="365">
        <v>1</v>
      </c>
      <c r="AD31" s="365">
        <v>15</v>
      </c>
      <c r="AE31" s="378">
        <v>0</v>
      </c>
      <c r="AF31" s="379">
        <v>0</v>
      </c>
      <c r="AG31" s="379">
        <v>0</v>
      </c>
      <c r="AH31" s="378">
        <v>0</v>
      </c>
      <c r="AI31" s="379">
        <v>8</v>
      </c>
      <c r="AJ31" s="379">
        <v>120</v>
      </c>
      <c r="AK31" s="378">
        <v>3</v>
      </c>
      <c r="AL31" s="365">
        <v>8</v>
      </c>
      <c r="AM31" s="365">
        <v>120</v>
      </c>
      <c r="AN31" s="378">
        <v>3</v>
      </c>
      <c r="AO31" s="378"/>
      <c r="AP31" s="378">
        <f t="shared" si="4"/>
        <v>8</v>
      </c>
      <c r="AQ31" s="465">
        <v>0</v>
      </c>
      <c r="AR31" s="379">
        <v>0</v>
      </c>
      <c r="AS31" s="378">
        <v>0</v>
      </c>
      <c r="AT31" s="466">
        <v>7</v>
      </c>
      <c r="AU31" s="466">
        <v>1</v>
      </c>
      <c r="AV31" s="379">
        <v>8</v>
      </c>
      <c r="AW31" s="379">
        <v>120</v>
      </c>
      <c r="AX31" s="378">
        <v>3</v>
      </c>
      <c r="AY31" s="365">
        <v>8</v>
      </c>
      <c r="AZ31" s="365">
        <v>120</v>
      </c>
      <c r="BA31" s="378">
        <v>3</v>
      </c>
      <c r="BB31" s="378"/>
      <c r="BC31" s="378">
        <f t="shared" si="5"/>
        <v>8</v>
      </c>
      <c r="BD31" s="379">
        <v>0</v>
      </c>
      <c r="BE31" s="379">
        <v>0</v>
      </c>
      <c r="BF31" s="365">
        <v>0</v>
      </c>
      <c r="BO31" s="381">
        <f t="shared" si="0"/>
        <v>7</v>
      </c>
      <c r="BP31" s="381">
        <f t="shared" si="1"/>
        <v>1</v>
      </c>
      <c r="BQ31" s="381"/>
      <c r="BR31" s="381">
        <f>_xlfn.XLOOKUP(A31,'Summer data team '!B:B,'Summer data team '!BV:BV,0)</f>
        <v>7</v>
      </c>
      <c r="BS31" s="381">
        <f>_xlfn.XLOOKUP(A31,'Summer data team '!B:B,'Summer data team '!BW:BW,0)</f>
        <v>1</v>
      </c>
      <c r="BT31" s="381">
        <f t="shared" si="2"/>
        <v>0</v>
      </c>
      <c r="BU31" s="381">
        <f t="shared" si="3"/>
        <v>0</v>
      </c>
    </row>
    <row r="32" spans="1:73" ht="13" hidden="1" x14ac:dyDescent="0.3">
      <c r="A32" s="364">
        <v>3302008</v>
      </c>
      <c r="B32" s="364" t="s">
        <v>133</v>
      </c>
      <c r="C32" s="365">
        <v>0</v>
      </c>
      <c r="D32" s="365">
        <v>0</v>
      </c>
      <c r="E32" s="365">
        <v>0</v>
      </c>
      <c r="F32" s="365">
        <v>24</v>
      </c>
      <c r="G32" s="365">
        <v>24</v>
      </c>
      <c r="H32" s="377">
        <v>0</v>
      </c>
      <c r="I32" s="377">
        <v>48</v>
      </c>
      <c r="J32" s="365">
        <v>3</v>
      </c>
      <c r="K32" s="365">
        <v>2</v>
      </c>
      <c r="L32" s="377">
        <v>5</v>
      </c>
      <c r="M32" s="365">
        <v>0</v>
      </c>
      <c r="N32" s="365">
        <v>0</v>
      </c>
      <c r="O32" s="365">
        <v>360</v>
      </c>
      <c r="P32" s="365">
        <v>360</v>
      </c>
      <c r="Q32" s="377">
        <v>720</v>
      </c>
      <c r="R32" s="365">
        <v>0</v>
      </c>
      <c r="S32" s="365">
        <v>0</v>
      </c>
      <c r="T32" s="365">
        <v>45</v>
      </c>
      <c r="U32" s="365">
        <v>30</v>
      </c>
      <c r="V32" s="377">
        <v>75</v>
      </c>
      <c r="W32" s="365">
        <v>7</v>
      </c>
      <c r="X32" s="365">
        <v>105</v>
      </c>
      <c r="Y32" s="378">
        <v>15</v>
      </c>
      <c r="Z32" s="365">
        <v>0</v>
      </c>
      <c r="AA32" s="365">
        <v>0</v>
      </c>
      <c r="AB32" s="378">
        <v>0</v>
      </c>
      <c r="AC32" s="365">
        <v>24</v>
      </c>
      <c r="AD32" s="365">
        <v>360</v>
      </c>
      <c r="AE32" s="378">
        <v>30</v>
      </c>
      <c r="AF32" s="379">
        <v>0</v>
      </c>
      <c r="AG32" s="379">
        <v>0</v>
      </c>
      <c r="AH32" s="378">
        <v>0</v>
      </c>
      <c r="AI32" s="379">
        <v>22</v>
      </c>
      <c r="AJ32" s="379">
        <v>330</v>
      </c>
      <c r="AK32" s="378">
        <v>45</v>
      </c>
      <c r="AL32" s="365">
        <v>22</v>
      </c>
      <c r="AM32" s="365">
        <v>330</v>
      </c>
      <c r="AN32" s="378">
        <v>45</v>
      </c>
      <c r="AO32" s="378"/>
      <c r="AP32" s="378">
        <f t="shared" si="4"/>
        <v>22</v>
      </c>
      <c r="AQ32" s="465">
        <v>0</v>
      </c>
      <c r="AR32" s="379">
        <v>0</v>
      </c>
      <c r="AS32" s="378">
        <v>0</v>
      </c>
      <c r="AT32" s="466">
        <v>1</v>
      </c>
      <c r="AU32" s="466">
        <v>3</v>
      </c>
      <c r="AV32" s="379">
        <v>4</v>
      </c>
      <c r="AW32" s="379">
        <v>60</v>
      </c>
      <c r="AX32" s="378">
        <v>45</v>
      </c>
      <c r="AY32" s="365">
        <v>4</v>
      </c>
      <c r="AZ32" s="365">
        <v>60</v>
      </c>
      <c r="BA32" s="378">
        <v>45</v>
      </c>
      <c r="BB32" s="378"/>
      <c r="BC32" s="378">
        <f t="shared" si="5"/>
        <v>4</v>
      </c>
      <c r="BD32" s="379">
        <v>0</v>
      </c>
      <c r="BE32" s="379">
        <v>0</v>
      </c>
      <c r="BF32" s="365">
        <v>0</v>
      </c>
      <c r="BO32" s="381">
        <f t="shared" si="0"/>
        <v>1</v>
      </c>
      <c r="BP32" s="381">
        <f t="shared" si="1"/>
        <v>3</v>
      </c>
      <c r="BQ32" s="381"/>
      <c r="BR32" s="381">
        <f>_xlfn.XLOOKUP(A32,'Summer data team '!B:B,'Summer data team '!BV:BV,0)</f>
        <v>1</v>
      </c>
      <c r="BS32" s="381">
        <f>_xlfn.XLOOKUP(A32,'Summer data team '!B:B,'Summer data team '!BW:BW,0)</f>
        <v>3</v>
      </c>
      <c r="BT32" s="381">
        <f t="shared" si="2"/>
        <v>0</v>
      </c>
      <c r="BU32" s="381">
        <f t="shared" si="3"/>
        <v>0</v>
      </c>
    </row>
    <row r="33" spans="1:73" ht="13" hidden="1" x14ac:dyDescent="0.3">
      <c r="A33" s="364">
        <v>3302011</v>
      </c>
      <c r="B33" s="364" t="s">
        <v>169</v>
      </c>
      <c r="C33" s="365">
        <v>0</v>
      </c>
      <c r="D33" s="365">
        <v>0</v>
      </c>
      <c r="E33" s="365">
        <v>0</v>
      </c>
      <c r="F33" s="365">
        <v>18</v>
      </c>
      <c r="G33" s="365">
        <v>21</v>
      </c>
      <c r="H33" s="377">
        <v>0</v>
      </c>
      <c r="I33" s="377">
        <v>39</v>
      </c>
      <c r="J33" s="365">
        <v>0</v>
      </c>
      <c r="K33" s="365">
        <v>0</v>
      </c>
      <c r="L33" s="377">
        <v>0</v>
      </c>
      <c r="M33" s="365">
        <v>0</v>
      </c>
      <c r="N33" s="365">
        <v>0</v>
      </c>
      <c r="O33" s="365">
        <v>270</v>
      </c>
      <c r="P33" s="365">
        <v>315</v>
      </c>
      <c r="Q33" s="377">
        <v>585</v>
      </c>
      <c r="R33" s="365">
        <v>0</v>
      </c>
      <c r="S33" s="365">
        <v>0</v>
      </c>
      <c r="T33" s="365">
        <v>0</v>
      </c>
      <c r="U33" s="365">
        <v>0</v>
      </c>
      <c r="V33" s="377">
        <v>0</v>
      </c>
      <c r="W33" s="365">
        <v>11</v>
      </c>
      <c r="X33" s="365">
        <v>165</v>
      </c>
      <c r="Y33" s="378">
        <v>0</v>
      </c>
      <c r="Z33" s="365">
        <v>2</v>
      </c>
      <c r="AA33" s="365">
        <v>30</v>
      </c>
      <c r="AB33" s="378">
        <v>0</v>
      </c>
      <c r="AC33" s="365">
        <v>3</v>
      </c>
      <c r="AD33" s="365">
        <v>45</v>
      </c>
      <c r="AE33" s="378">
        <v>0</v>
      </c>
      <c r="AF33" s="379">
        <v>0</v>
      </c>
      <c r="AG33" s="379">
        <v>0</v>
      </c>
      <c r="AH33" s="378">
        <v>0</v>
      </c>
      <c r="AI33" s="379">
        <v>16</v>
      </c>
      <c r="AJ33" s="379">
        <v>240</v>
      </c>
      <c r="AK33" s="378">
        <v>0</v>
      </c>
      <c r="AL33" s="365">
        <v>16</v>
      </c>
      <c r="AM33" s="365">
        <v>240</v>
      </c>
      <c r="AN33" s="378">
        <v>0</v>
      </c>
      <c r="AO33" s="378"/>
      <c r="AP33" s="378">
        <f t="shared" si="4"/>
        <v>16</v>
      </c>
      <c r="AQ33" s="465">
        <v>0</v>
      </c>
      <c r="AR33" s="379">
        <v>0</v>
      </c>
      <c r="AS33" s="378">
        <v>0</v>
      </c>
      <c r="AT33" s="466">
        <v>0</v>
      </c>
      <c r="AU33" s="466">
        <v>0</v>
      </c>
      <c r="AV33" s="379">
        <v>0</v>
      </c>
      <c r="AW33" s="379">
        <v>0</v>
      </c>
      <c r="AX33" s="378">
        <v>0</v>
      </c>
      <c r="AY33" s="365">
        <v>0</v>
      </c>
      <c r="AZ33" s="365">
        <v>0</v>
      </c>
      <c r="BA33" s="378">
        <v>0</v>
      </c>
      <c r="BB33" s="378"/>
      <c r="BC33" s="378">
        <f t="shared" si="5"/>
        <v>0</v>
      </c>
      <c r="BD33" s="379">
        <v>0</v>
      </c>
      <c r="BE33" s="379">
        <v>0</v>
      </c>
      <c r="BF33" s="365">
        <v>0</v>
      </c>
      <c r="BO33" s="381">
        <f t="shared" si="0"/>
        <v>0</v>
      </c>
      <c r="BP33" s="381">
        <f t="shared" si="1"/>
        <v>0</v>
      </c>
      <c r="BQ33" s="381"/>
      <c r="BR33" s="381">
        <f>_xlfn.XLOOKUP(A33,'Summer data team '!B:B,'Summer data team '!BV:BV,0)</f>
        <v>0</v>
      </c>
      <c r="BS33" s="381">
        <f>_xlfn.XLOOKUP(A33,'Summer data team '!B:B,'Summer data team '!BW:BW,0)</f>
        <v>0</v>
      </c>
      <c r="BT33" s="381">
        <f t="shared" si="2"/>
        <v>0</v>
      </c>
      <c r="BU33" s="381">
        <f t="shared" si="3"/>
        <v>0</v>
      </c>
    </row>
    <row r="34" spans="1:73" ht="13" hidden="1" x14ac:dyDescent="0.3">
      <c r="A34" s="364">
        <v>3302014</v>
      </c>
      <c r="B34" s="364" t="s">
        <v>187</v>
      </c>
      <c r="C34" s="365">
        <v>0</v>
      </c>
      <c r="D34" s="365">
        <v>0</v>
      </c>
      <c r="E34" s="365">
        <v>0</v>
      </c>
      <c r="F34" s="365">
        <v>10</v>
      </c>
      <c r="G34" s="365">
        <v>22</v>
      </c>
      <c r="H34" s="377">
        <v>0</v>
      </c>
      <c r="I34" s="377">
        <v>32</v>
      </c>
      <c r="J34" s="365">
        <v>0</v>
      </c>
      <c r="K34" s="365">
        <v>0</v>
      </c>
      <c r="L34" s="377">
        <v>0</v>
      </c>
      <c r="M34" s="365">
        <v>0</v>
      </c>
      <c r="N34" s="365">
        <v>0</v>
      </c>
      <c r="O34" s="365">
        <v>150</v>
      </c>
      <c r="P34" s="365">
        <v>330</v>
      </c>
      <c r="Q34" s="377">
        <v>480</v>
      </c>
      <c r="R34" s="365">
        <v>0</v>
      </c>
      <c r="S34" s="365">
        <v>0</v>
      </c>
      <c r="T34" s="365">
        <v>0</v>
      </c>
      <c r="U34" s="365">
        <v>0</v>
      </c>
      <c r="V34" s="377">
        <v>0</v>
      </c>
      <c r="W34" s="365">
        <v>6</v>
      </c>
      <c r="X34" s="365">
        <v>90</v>
      </c>
      <c r="Y34" s="378">
        <v>0</v>
      </c>
      <c r="Z34" s="365">
        <v>16</v>
      </c>
      <c r="AA34" s="365">
        <v>240</v>
      </c>
      <c r="AB34" s="378">
        <v>0</v>
      </c>
      <c r="AC34" s="365">
        <v>2</v>
      </c>
      <c r="AD34" s="365">
        <v>30</v>
      </c>
      <c r="AE34" s="378">
        <v>0</v>
      </c>
      <c r="AF34" s="379">
        <v>0</v>
      </c>
      <c r="AG34" s="379">
        <v>0</v>
      </c>
      <c r="AH34" s="378">
        <v>0</v>
      </c>
      <c r="AI34" s="379">
        <v>17</v>
      </c>
      <c r="AJ34" s="379">
        <v>255</v>
      </c>
      <c r="AK34" s="378">
        <v>0</v>
      </c>
      <c r="AL34" s="365">
        <v>17</v>
      </c>
      <c r="AM34" s="365">
        <v>255</v>
      </c>
      <c r="AN34" s="378">
        <v>0</v>
      </c>
      <c r="AO34" s="378"/>
      <c r="AP34" s="378">
        <f t="shared" si="4"/>
        <v>17</v>
      </c>
      <c r="AQ34" s="465">
        <v>0</v>
      </c>
      <c r="AR34" s="379">
        <v>0</v>
      </c>
      <c r="AS34" s="378">
        <v>0</v>
      </c>
      <c r="AT34" s="466">
        <v>17</v>
      </c>
      <c r="AU34" s="466">
        <v>0</v>
      </c>
      <c r="AV34" s="379">
        <v>17</v>
      </c>
      <c r="AW34" s="379">
        <v>255</v>
      </c>
      <c r="AX34" s="378">
        <v>0</v>
      </c>
      <c r="AY34" s="365">
        <v>17</v>
      </c>
      <c r="AZ34" s="365">
        <v>255</v>
      </c>
      <c r="BA34" s="378">
        <v>0</v>
      </c>
      <c r="BB34" s="378"/>
      <c r="BC34" s="378">
        <f t="shared" si="5"/>
        <v>17</v>
      </c>
      <c r="BD34" s="379">
        <v>0</v>
      </c>
      <c r="BE34" s="379">
        <v>0</v>
      </c>
      <c r="BF34" s="365">
        <v>0</v>
      </c>
      <c r="BO34" s="381">
        <f t="shared" ref="BO34:BO65" si="6">AQ34+AT34</f>
        <v>17</v>
      </c>
      <c r="BP34" s="381">
        <f t="shared" ref="BP34:BP65" si="7">AU34</f>
        <v>0</v>
      </c>
      <c r="BQ34" s="381"/>
      <c r="BR34" s="381">
        <f>_xlfn.XLOOKUP(A34,'Summer data team '!B:B,'Summer data team '!BV:BV,0)</f>
        <v>17</v>
      </c>
      <c r="BS34" s="381">
        <f>_xlfn.XLOOKUP(A34,'Summer data team '!B:B,'Summer data team '!BW:BW,0)</f>
        <v>0</v>
      </c>
      <c r="BT34" s="381">
        <f t="shared" ref="BT34:BT65" si="8">BO34-BR34</f>
        <v>0</v>
      </c>
      <c r="BU34" s="381">
        <f t="shared" ref="BU34:BU65" si="9">BP34-BS34</f>
        <v>0</v>
      </c>
    </row>
    <row r="35" spans="1:73" ht="13" hidden="1" x14ac:dyDescent="0.3">
      <c r="A35" s="364">
        <v>3302015</v>
      </c>
      <c r="B35" s="364" t="s">
        <v>99</v>
      </c>
      <c r="C35" s="365">
        <v>0</v>
      </c>
      <c r="D35" s="365">
        <v>0</v>
      </c>
      <c r="E35" s="365">
        <v>0</v>
      </c>
      <c r="F35" s="365">
        <v>17</v>
      </c>
      <c r="G35" s="365">
        <v>27</v>
      </c>
      <c r="H35" s="377">
        <v>0</v>
      </c>
      <c r="I35" s="377">
        <v>44</v>
      </c>
      <c r="J35" s="365">
        <v>0</v>
      </c>
      <c r="K35" s="365">
        <v>0</v>
      </c>
      <c r="L35" s="377">
        <v>0</v>
      </c>
      <c r="M35" s="365">
        <v>0</v>
      </c>
      <c r="N35" s="365">
        <v>0</v>
      </c>
      <c r="O35" s="365">
        <v>255</v>
      </c>
      <c r="P35" s="365">
        <v>405</v>
      </c>
      <c r="Q35" s="377">
        <v>660</v>
      </c>
      <c r="R35" s="365">
        <v>0</v>
      </c>
      <c r="S35" s="365">
        <v>0</v>
      </c>
      <c r="T35" s="365">
        <v>0</v>
      </c>
      <c r="U35" s="365">
        <v>0</v>
      </c>
      <c r="V35" s="377">
        <v>0</v>
      </c>
      <c r="W35" s="365">
        <v>13</v>
      </c>
      <c r="X35" s="365">
        <v>195</v>
      </c>
      <c r="Y35" s="378">
        <v>0</v>
      </c>
      <c r="Z35" s="365">
        <v>12</v>
      </c>
      <c r="AA35" s="365">
        <v>180</v>
      </c>
      <c r="AB35" s="378">
        <v>0</v>
      </c>
      <c r="AC35" s="365">
        <v>18</v>
      </c>
      <c r="AD35" s="365">
        <v>270</v>
      </c>
      <c r="AE35" s="378">
        <v>0</v>
      </c>
      <c r="AF35" s="379">
        <v>0</v>
      </c>
      <c r="AG35" s="379">
        <v>0</v>
      </c>
      <c r="AH35" s="378">
        <v>0</v>
      </c>
      <c r="AI35" s="379">
        <v>20</v>
      </c>
      <c r="AJ35" s="379">
        <v>300</v>
      </c>
      <c r="AK35" s="378">
        <v>0</v>
      </c>
      <c r="AL35" s="365">
        <v>20</v>
      </c>
      <c r="AM35" s="365">
        <v>300</v>
      </c>
      <c r="AN35" s="378">
        <v>0</v>
      </c>
      <c r="AO35" s="378"/>
      <c r="AP35" s="378">
        <f t="shared" si="4"/>
        <v>20</v>
      </c>
      <c r="AQ35" s="465">
        <v>0</v>
      </c>
      <c r="AR35" s="379">
        <v>0</v>
      </c>
      <c r="AS35" s="378">
        <v>0</v>
      </c>
      <c r="AT35" s="466">
        <v>20</v>
      </c>
      <c r="AU35" s="466">
        <v>0</v>
      </c>
      <c r="AV35" s="379">
        <v>20</v>
      </c>
      <c r="AW35" s="379">
        <v>300</v>
      </c>
      <c r="AX35" s="378">
        <v>0</v>
      </c>
      <c r="AY35" s="365">
        <v>20</v>
      </c>
      <c r="AZ35" s="365">
        <v>300</v>
      </c>
      <c r="BA35" s="378">
        <v>0</v>
      </c>
      <c r="BB35" s="378"/>
      <c r="BC35" s="378">
        <f t="shared" si="5"/>
        <v>20</v>
      </c>
      <c r="BD35" s="379">
        <v>0</v>
      </c>
      <c r="BE35" s="379">
        <v>0</v>
      </c>
      <c r="BF35" s="365">
        <v>0</v>
      </c>
      <c r="BO35" s="381">
        <f t="shared" si="6"/>
        <v>20</v>
      </c>
      <c r="BP35" s="381">
        <f t="shared" si="7"/>
        <v>0</v>
      </c>
      <c r="BQ35" s="381"/>
      <c r="BR35" s="381">
        <f>_xlfn.XLOOKUP(A35,'Summer data team '!B:B,'Summer data team '!BV:BV,0)</f>
        <v>20</v>
      </c>
      <c r="BS35" s="381">
        <f>_xlfn.XLOOKUP(A35,'Summer data team '!B:B,'Summer data team '!BW:BW,0)</f>
        <v>0</v>
      </c>
      <c r="BT35" s="381">
        <f t="shared" si="8"/>
        <v>0</v>
      </c>
      <c r="BU35" s="381">
        <f t="shared" si="9"/>
        <v>0</v>
      </c>
    </row>
    <row r="36" spans="1:73" ht="13" hidden="1" x14ac:dyDescent="0.3">
      <c r="A36" s="364">
        <v>3302018</v>
      </c>
      <c r="B36" s="364" t="s">
        <v>254</v>
      </c>
      <c r="C36" s="365">
        <v>0</v>
      </c>
      <c r="D36" s="365">
        <v>16</v>
      </c>
      <c r="E36" s="365">
        <v>0</v>
      </c>
      <c r="F36" s="365">
        <v>24</v>
      </c>
      <c r="G36" s="365">
        <v>17</v>
      </c>
      <c r="H36" s="377">
        <v>16</v>
      </c>
      <c r="I36" s="377">
        <v>41</v>
      </c>
      <c r="J36" s="365">
        <v>4</v>
      </c>
      <c r="K36" s="365">
        <v>2</v>
      </c>
      <c r="L36" s="377">
        <v>6</v>
      </c>
      <c r="M36" s="365">
        <v>0</v>
      </c>
      <c r="N36" s="365">
        <v>240</v>
      </c>
      <c r="O36" s="365">
        <v>360</v>
      </c>
      <c r="P36" s="365">
        <v>255</v>
      </c>
      <c r="Q36" s="377">
        <v>615</v>
      </c>
      <c r="R36" s="365">
        <v>0</v>
      </c>
      <c r="S36" s="365">
        <v>240</v>
      </c>
      <c r="T36" s="365">
        <v>60</v>
      </c>
      <c r="U36" s="365">
        <v>30</v>
      </c>
      <c r="V36" s="377">
        <v>90</v>
      </c>
      <c r="W36" s="365">
        <v>42</v>
      </c>
      <c r="X36" s="365">
        <v>630</v>
      </c>
      <c r="Y36" s="378">
        <v>60</v>
      </c>
      <c r="Z36" s="365">
        <v>8</v>
      </c>
      <c r="AA36" s="365">
        <v>120</v>
      </c>
      <c r="AB36" s="378">
        <v>15</v>
      </c>
      <c r="AC36" s="365">
        <v>1</v>
      </c>
      <c r="AD36" s="365">
        <v>15</v>
      </c>
      <c r="AE36" s="378">
        <v>0</v>
      </c>
      <c r="AF36" s="379">
        <v>11</v>
      </c>
      <c r="AG36" s="379">
        <v>165</v>
      </c>
      <c r="AH36" s="378">
        <v>0</v>
      </c>
      <c r="AI36" s="379">
        <v>32</v>
      </c>
      <c r="AJ36" s="379">
        <v>480</v>
      </c>
      <c r="AK36" s="378">
        <v>30</v>
      </c>
      <c r="AL36" s="365">
        <v>43</v>
      </c>
      <c r="AM36" s="365">
        <v>645</v>
      </c>
      <c r="AN36" s="378">
        <v>30</v>
      </c>
      <c r="AO36" s="378"/>
      <c r="AP36" s="378">
        <f t="shared" si="4"/>
        <v>43</v>
      </c>
      <c r="AQ36" s="465">
        <v>0</v>
      </c>
      <c r="AR36" s="379">
        <v>0</v>
      </c>
      <c r="AS36" s="378">
        <v>0</v>
      </c>
      <c r="AT36" s="466">
        <v>2</v>
      </c>
      <c r="AU36" s="466">
        <v>0</v>
      </c>
      <c r="AV36" s="379">
        <v>2</v>
      </c>
      <c r="AW36" s="379">
        <v>30</v>
      </c>
      <c r="AX36" s="378">
        <v>0</v>
      </c>
      <c r="AY36" s="365">
        <v>2</v>
      </c>
      <c r="AZ36" s="365">
        <v>30</v>
      </c>
      <c r="BA36" s="378">
        <v>0</v>
      </c>
      <c r="BB36" s="378"/>
      <c r="BC36" s="378">
        <f t="shared" si="5"/>
        <v>2</v>
      </c>
      <c r="BD36" s="379">
        <v>0</v>
      </c>
      <c r="BE36" s="379">
        <v>0</v>
      </c>
      <c r="BF36" s="365">
        <v>0</v>
      </c>
      <c r="BO36" s="381">
        <f t="shared" si="6"/>
        <v>2</v>
      </c>
      <c r="BP36" s="381">
        <f t="shared" si="7"/>
        <v>0</v>
      </c>
      <c r="BQ36" s="381"/>
      <c r="BR36" s="381">
        <f>_xlfn.XLOOKUP(A36,'Summer data team '!B:B,'Summer data team '!BV:BV,0)</f>
        <v>2</v>
      </c>
      <c r="BS36" s="381">
        <f>_xlfn.XLOOKUP(A36,'Summer data team '!B:B,'Summer data team '!BW:BW,0)</f>
        <v>0</v>
      </c>
      <c r="BT36" s="381">
        <f t="shared" si="8"/>
        <v>0</v>
      </c>
      <c r="BU36" s="381">
        <f t="shared" si="9"/>
        <v>0</v>
      </c>
    </row>
    <row r="37" spans="1:73" ht="13" hidden="1" x14ac:dyDescent="0.3">
      <c r="A37" s="364">
        <v>3302020</v>
      </c>
      <c r="B37" s="364" t="s">
        <v>255</v>
      </c>
      <c r="C37" s="365">
        <v>0</v>
      </c>
      <c r="D37" s="365">
        <v>0</v>
      </c>
      <c r="E37" s="365">
        <v>0</v>
      </c>
      <c r="F37" s="365">
        <v>39</v>
      </c>
      <c r="G37" s="365">
        <v>21</v>
      </c>
      <c r="H37" s="377">
        <v>0</v>
      </c>
      <c r="I37" s="377">
        <v>60</v>
      </c>
      <c r="J37" s="365">
        <v>10</v>
      </c>
      <c r="K37" s="365">
        <v>6</v>
      </c>
      <c r="L37" s="377">
        <v>16</v>
      </c>
      <c r="M37" s="365">
        <v>0</v>
      </c>
      <c r="N37" s="365">
        <v>0</v>
      </c>
      <c r="O37" s="365">
        <v>585</v>
      </c>
      <c r="P37" s="365">
        <v>315</v>
      </c>
      <c r="Q37" s="377">
        <v>900</v>
      </c>
      <c r="R37" s="365">
        <v>0</v>
      </c>
      <c r="S37" s="365">
        <v>0</v>
      </c>
      <c r="T37" s="365">
        <v>150</v>
      </c>
      <c r="U37" s="365">
        <v>90</v>
      </c>
      <c r="V37" s="377">
        <v>240</v>
      </c>
      <c r="W37" s="365">
        <v>1</v>
      </c>
      <c r="X37" s="365">
        <v>15</v>
      </c>
      <c r="Y37" s="378">
        <v>0</v>
      </c>
      <c r="Z37" s="365">
        <v>8</v>
      </c>
      <c r="AA37" s="365">
        <v>120</v>
      </c>
      <c r="AB37" s="378">
        <v>15</v>
      </c>
      <c r="AC37" s="365">
        <v>20</v>
      </c>
      <c r="AD37" s="365">
        <v>300</v>
      </c>
      <c r="AE37" s="378">
        <v>120</v>
      </c>
      <c r="AF37" s="379">
        <v>0</v>
      </c>
      <c r="AG37" s="379">
        <v>0</v>
      </c>
      <c r="AH37" s="378">
        <v>0</v>
      </c>
      <c r="AI37" s="379">
        <v>18</v>
      </c>
      <c r="AJ37" s="379">
        <v>270</v>
      </c>
      <c r="AK37" s="378">
        <v>30</v>
      </c>
      <c r="AL37" s="365">
        <v>18</v>
      </c>
      <c r="AM37" s="365">
        <v>270</v>
      </c>
      <c r="AN37" s="378">
        <v>30</v>
      </c>
      <c r="AO37" s="378"/>
      <c r="AP37" s="378">
        <f t="shared" si="4"/>
        <v>18</v>
      </c>
      <c r="AQ37" s="465">
        <v>0</v>
      </c>
      <c r="AR37" s="379">
        <v>0</v>
      </c>
      <c r="AS37" s="378">
        <v>0</v>
      </c>
      <c r="AT37" s="466">
        <v>16</v>
      </c>
      <c r="AU37" s="466">
        <v>2</v>
      </c>
      <c r="AV37" s="379">
        <v>18</v>
      </c>
      <c r="AW37" s="379">
        <v>270</v>
      </c>
      <c r="AX37" s="378">
        <v>30</v>
      </c>
      <c r="AY37" s="365">
        <v>18</v>
      </c>
      <c r="AZ37" s="365">
        <v>270</v>
      </c>
      <c r="BA37" s="378">
        <v>30</v>
      </c>
      <c r="BB37" s="378"/>
      <c r="BC37" s="378">
        <f t="shared" si="5"/>
        <v>18</v>
      </c>
      <c r="BD37" s="379">
        <v>0</v>
      </c>
      <c r="BE37" s="379">
        <v>0</v>
      </c>
      <c r="BF37" s="365">
        <v>0</v>
      </c>
      <c r="BO37" s="381">
        <f t="shared" si="6"/>
        <v>16</v>
      </c>
      <c r="BP37" s="381">
        <f t="shared" si="7"/>
        <v>2</v>
      </c>
      <c r="BQ37" s="381"/>
      <c r="BR37" s="381">
        <f>_xlfn.XLOOKUP(A37,'Summer data team '!B:B,'Summer data team '!BV:BV,0)</f>
        <v>16</v>
      </c>
      <c r="BS37" s="381">
        <f>_xlfn.XLOOKUP(A37,'Summer data team '!B:B,'Summer data team '!BW:BW,0)</f>
        <v>2</v>
      </c>
      <c r="BT37" s="381">
        <f t="shared" si="8"/>
        <v>0</v>
      </c>
      <c r="BU37" s="381">
        <f t="shared" si="9"/>
        <v>0</v>
      </c>
    </row>
    <row r="38" spans="1:73" ht="13" hidden="1" x14ac:dyDescent="0.3">
      <c r="A38" s="364">
        <v>3302021</v>
      </c>
      <c r="B38" s="364" t="s">
        <v>846</v>
      </c>
      <c r="C38" s="365">
        <v>0</v>
      </c>
      <c r="D38" s="365">
        <v>0</v>
      </c>
      <c r="E38" s="365">
        <v>0</v>
      </c>
      <c r="F38" s="365">
        <v>12</v>
      </c>
      <c r="G38" s="365">
        <v>14</v>
      </c>
      <c r="H38" s="377">
        <v>0</v>
      </c>
      <c r="I38" s="377">
        <v>26</v>
      </c>
      <c r="J38" s="365">
        <v>0</v>
      </c>
      <c r="K38" s="365">
        <v>0</v>
      </c>
      <c r="L38" s="377">
        <v>0</v>
      </c>
      <c r="M38" s="365">
        <v>0</v>
      </c>
      <c r="N38" s="365">
        <v>0</v>
      </c>
      <c r="O38" s="365">
        <v>180</v>
      </c>
      <c r="P38" s="365">
        <v>210</v>
      </c>
      <c r="Q38" s="377">
        <v>390</v>
      </c>
      <c r="R38" s="365">
        <v>0</v>
      </c>
      <c r="S38" s="365">
        <v>0</v>
      </c>
      <c r="T38" s="365">
        <v>0</v>
      </c>
      <c r="U38" s="365">
        <v>0</v>
      </c>
      <c r="V38" s="377">
        <v>0</v>
      </c>
      <c r="W38" s="365">
        <v>1</v>
      </c>
      <c r="X38" s="365">
        <v>15</v>
      </c>
      <c r="Y38" s="378">
        <v>0</v>
      </c>
      <c r="Z38" s="365">
        <v>15</v>
      </c>
      <c r="AA38" s="365">
        <v>225</v>
      </c>
      <c r="AB38" s="378">
        <v>0</v>
      </c>
      <c r="AC38" s="365">
        <v>2</v>
      </c>
      <c r="AD38" s="365">
        <v>30</v>
      </c>
      <c r="AE38" s="378">
        <v>0</v>
      </c>
      <c r="AF38" s="379">
        <v>0</v>
      </c>
      <c r="AG38" s="379">
        <v>0</v>
      </c>
      <c r="AH38" s="378">
        <v>0</v>
      </c>
      <c r="AI38" s="379">
        <v>14</v>
      </c>
      <c r="AJ38" s="379">
        <v>210</v>
      </c>
      <c r="AK38" s="378">
        <v>0</v>
      </c>
      <c r="AL38" s="365">
        <v>14</v>
      </c>
      <c r="AM38" s="365">
        <v>210</v>
      </c>
      <c r="AN38" s="378">
        <v>0</v>
      </c>
      <c r="AO38" s="378"/>
      <c r="AP38" s="378">
        <f t="shared" si="4"/>
        <v>14</v>
      </c>
      <c r="AQ38" s="465">
        <v>0</v>
      </c>
      <c r="AR38" s="379">
        <v>0</v>
      </c>
      <c r="AS38" s="378">
        <v>0</v>
      </c>
      <c r="AT38" s="466">
        <v>9</v>
      </c>
      <c r="AU38" s="466">
        <v>0</v>
      </c>
      <c r="AV38" s="379">
        <v>9</v>
      </c>
      <c r="AW38" s="379">
        <v>135</v>
      </c>
      <c r="AX38" s="378">
        <v>0</v>
      </c>
      <c r="AY38" s="365">
        <v>9</v>
      </c>
      <c r="AZ38" s="365">
        <v>135</v>
      </c>
      <c r="BA38" s="378">
        <v>0</v>
      </c>
      <c r="BB38" s="378"/>
      <c r="BC38" s="378">
        <f t="shared" si="5"/>
        <v>9</v>
      </c>
      <c r="BD38" s="379">
        <v>0</v>
      </c>
      <c r="BE38" s="379">
        <v>0</v>
      </c>
      <c r="BF38" s="365">
        <v>0</v>
      </c>
      <c r="BO38" s="381">
        <f t="shared" si="6"/>
        <v>9</v>
      </c>
      <c r="BP38" s="381">
        <f t="shared" si="7"/>
        <v>0</v>
      </c>
      <c r="BQ38" s="381"/>
      <c r="BR38" s="381">
        <f>_xlfn.XLOOKUP(A38,'Summer data team '!B:B,'Summer data team '!BV:BV,0)</f>
        <v>9</v>
      </c>
      <c r="BS38" s="381">
        <f>_xlfn.XLOOKUP(A38,'Summer data team '!B:B,'Summer data team '!BW:BW,0)</f>
        <v>0</v>
      </c>
      <c r="BT38" s="381">
        <f t="shared" si="8"/>
        <v>0</v>
      </c>
      <c r="BU38" s="381">
        <f t="shared" si="9"/>
        <v>0</v>
      </c>
    </row>
    <row r="39" spans="1:73" ht="13" hidden="1" x14ac:dyDescent="0.3">
      <c r="A39" s="364">
        <v>3302030</v>
      </c>
      <c r="B39" s="364" t="s">
        <v>44</v>
      </c>
      <c r="C39" s="365">
        <v>0</v>
      </c>
      <c r="D39" s="365">
        <v>0</v>
      </c>
      <c r="E39" s="365">
        <v>0</v>
      </c>
      <c r="F39" s="365">
        <v>26</v>
      </c>
      <c r="G39" s="365">
        <v>26</v>
      </c>
      <c r="H39" s="377">
        <v>0</v>
      </c>
      <c r="I39" s="377">
        <v>52</v>
      </c>
      <c r="J39" s="365">
        <v>0</v>
      </c>
      <c r="K39" s="365">
        <v>0</v>
      </c>
      <c r="L39" s="377">
        <v>0</v>
      </c>
      <c r="M39" s="365">
        <v>0</v>
      </c>
      <c r="N39" s="365">
        <v>0</v>
      </c>
      <c r="O39" s="365">
        <v>390</v>
      </c>
      <c r="P39" s="365">
        <v>390</v>
      </c>
      <c r="Q39" s="377">
        <v>780</v>
      </c>
      <c r="R39" s="365">
        <v>0</v>
      </c>
      <c r="S39" s="365">
        <v>0</v>
      </c>
      <c r="T39" s="365">
        <v>0</v>
      </c>
      <c r="U39" s="365">
        <v>0</v>
      </c>
      <c r="V39" s="377">
        <v>0</v>
      </c>
      <c r="W39" s="365">
        <v>2</v>
      </c>
      <c r="X39" s="365">
        <v>30</v>
      </c>
      <c r="Y39" s="378">
        <v>0</v>
      </c>
      <c r="Z39" s="365">
        <v>2</v>
      </c>
      <c r="AA39" s="365">
        <v>30</v>
      </c>
      <c r="AB39" s="378">
        <v>0</v>
      </c>
      <c r="AC39" s="365">
        <v>37</v>
      </c>
      <c r="AD39" s="365">
        <v>555</v>
      </c>
      <c r="AE39" s="378">
        <v>0</v>
      </c>
      <c r="AF39" s="379">
        <v>0</v>
      </c>
      <c r="AG39" s="379">
        <v>0</v>
      </c>
      <c r="AH39" s="378">
        <v>0</v>
      </c>
      <c r="AI39" s="379">
        <v>23</v>
      </c>
      <c r="AJ39" s="379">
        <v>345</v>
      </c>
      <c r="AK39" s="378">
        <v>0</v>
      </c>
      <c r="AL39" s="365">
        <v>23</v>
      </c>
      <c r="AM39" s="365">
        <v>345</v>
      </c>
      <c r="AN39" s="378">
        <v>0</v>
      </c>
      <c r="AO39" s="378"/>
      <c r="AP39" s="378">
        <f t="shared" si="4"/>
        <v>23</v>
      </c>
      <c r="AQ39" s="465">
        <v>0</v>
      </c>
      <c r="AR39" s="379">
        <v>0</v>
      </c>
      <c r="AS39" s="378">
        <v>0</v>
      </c>
      <c r="AT39" s="466">
        <v>0</v>
      </c>
      <c r="AU39" s="466">
        <v>0</v>
      </c>
      <c r="AV39" s="379">
        <v>0</v>
      </c>
      <c r="AW39" s="379">
        <v>0</v>
      </c>
      <c r="AX39" s="378">
        <v>0</v>
      </c>
      <c r="AY39" s="365">
        <v>0</v>
      </c>
      <c r="AZ39" s="365">
        <v>0</v>
      </c>
      <c r="BA39" s="378">
        <v>0</v>
      </c>
      <c r="BB39" s="378"/>
      <c r="BC39" s="378">
        <f t="shared" si="5"/>
        <v>0</v>
      </c>
      <c r="BD39" s="379">
        <v>0</v>
      </c>
      <c r="BE39" s="379">
        <v>0</v>
      </c>
      <c r="BF39" s="365">
        <v>0</v>
      </c>
      <c r="BO39" s="381">
        <f t="shared" si="6"/>
        <v>0</v>
      </c>
      <c r="BP39" s="381">
        <f t="shared" si="7"/>
        <v>0</v>
      </c>
      <c r="BQ39" s="381"/>
      <c r="BR39" s="381">
        <f>_xlfn.XLOOKUP(A39,'Summer data team '!B:B,'Summer data team '!BV:BV,0)</f>
        <v>0</v>
      </c>
      <c r="BS39" s="381">
        <f>_xlfn.XLOOKUP(A39,'Summer data team '!B:B,'Summer data team '!BW:BW,0)</f>
        <v>0</v>
      </c>
      <c r="BT39" s="381">
        <f t="shared" si="8"/>
        <v>0</v>
      </c>
      <c r="BU39" s="381">
        <f t="shared" si="9"/>
        <v>0</v>
      </c>
    </row>
    <row r="40" spans="1:73" ht="13" hidden="1" x14ac:dyDescent="0.3">
      <c r="A40" s="364">
        <v>3302036</v>
      </c>
      <c r="B40" s="364" t="s">
        <v>847</v>
      </c>
      <c r="C40" s="365">
        <v>0</v>
      </c>
      <c r="D40" s="365">
        <v>0</v>
      </c>
      <c r="E40" s="365">
        <v>0</v>
      </c>
      <c r="F40" s="365">
        <v>18</v>
      </c>
      <c r="G40" s="365">
        <v>8</v>
      </c>
      <c r="H40" s="377">
        <v>0</v>
      </c>
      <c r="I40" s="377">
        <v>26</v>
      </c>
      <c r="J40" s="365">
        <v>0</v>
      </c>
      <c r="K40" s="365">
        <v>0</v>
      </c>
      <c r="L40" s="377">
        <v>0</v>
      </c>
      <c r="M40" s="365">
        <v>0</v>
      </c>
      <c r="N40" s="365">
        <v>0</v>
      </c>
      <c r="O40" s="365">
        <v>270</v>
      </c>
      <c r="P40" s="365">
        <v>120</v>
      </c>
      <c r="Q40" s="377">
        <v>390</v>
      </c>
      <c r="R40" s="365">
        <v>0</v>
      </c>
      <c r="S40" s="365">
        <v>0</v>
      </c>
      <c r="T40" s="365">
        <v>0</v>
      </c>
      <c r="U40" s="365">
        <v>0</v>
      </c>
      <c r="V40" s="377">
        <v>0</v>
      </c>
      <c r="W40" s="365">
        <v>2</v>
      </c>
      <c r="X40" s="365">
        <v>30</v>
      </c>
      <c r="Y40" s="378">
        <v>0</v>
      </c>
      <c r="Z40" s="365">
        <v>14</v>
      </c>
      <c r="AA40" s="365">
        <v>210</v>
      </c>
      <c r="AB40" s="378">
        <v>0</v>
      </c>
      <c r="AC40" s="365">
        <v>5</v>
      </c>
      <c r="AD40" s="365">
        <v>75</v>
      </c>
      <c r="AE40" s="378">
        <v>0</v>
      </c>
      <c r="AF40" s="379">
        <v>0</v>
      </c>
      <c r="AG40" s="379">
        <v>0</v>
      </c>
      <c r="AH40" s="378">
        <v>0</v>
      </c>
      <c r="AI40" s="379">
        <v>6</v>
      </c>
      <c r="AJ40" s="379">
        <v>90</v>
      </c>
      <c r="AK40" s="378">
        <v>0</v>
      </c>
      <c r="AL40" s="365">
        <v>6</v>
      </c>
      <c r="AM40" s="365">
        <v>90</v>
      </c>
      <c r="AN40" s="378">
        <v>0</v>
      </c>
      <c r="AO40" s="378"/>
      <c r="AP40" s="378">
        <f t="shared" si="4"/>
        <v>6</v>
      </c>
      <c r="AQ40" s="465">
        <v>0</v>
      </c>
      <c r="AR40" s="379">
        <v>0</v>
      </c>
      <c r="AS40" s="378">
        <v>0</v>
      </c>
      <c r="AT40" s="466">
        <v>4</v>
      </c>
      <c r="AU40" s="466">
        <v>0</v>
      </c>
      <c r="AV40" s="379">
        <v>4</v>
      </c>
      <c r="AW40" s="379">
        <v>60</v>
      </c>
      <c r="AX40" s="378">
        <v>0</v>
      </c>
      <c r="AY40" s="365">
        <v>4</v>
      </c>
      <c r="AZ40" s="365">
        <v>60</v>
      </c>
      <c r="BA40" s="378">
        <v>0</v>
      </c>
      <c r="BB40" s="378"/>
      <c r="BC40" s="378">
        <f t="shared" si="5"/>
        <v>4</v>
      </c>
      <c r="BD40" s="379">
        <v>0</v>
      </c>
      <c r="BE40" s="379">
        <v>0</v>
      </c>
      <c r="BF40" s="365">
        <v>0</v>
      </c>
      <c r="BO40" s="381">
        <f t="shared" si="6"/>
        <v>4</v>
      </c>
      <c r="BP40" s="381">
        <f t="shared" si="7"/>
        <v>0</v>
      </c>
      <c r="BQ40" s="381"/>
      <c r="BR40" s="381">
        <f>_xlfn.XLOOKUP(A40,'Summer data team '!B:B,'Summer data team '!BV:BV,0)</f>
        <v>4</v>
      </c>
      <c r="BS40" s="381">
        <f>_xlfn.XLOOKUP(A40,'Summer data team '!B:B,'Summer data team '!BW:BW,0)</f>
        <v>0</v>
      </c>
      <c r="BT40" s="381">
        <f t="shared" si="8"/>
        <v>0</v>
      </c>
      <c r="BU40" s="381">
        <f t="shared" si="9"/>
        <v>0</v>
      </c>
    </row>
    <row r="41" spans="1:73" ht="13" hidden="1" x14ac:dyDescent="0.3">
      <c r="A41" s="364">
        <v>3302037</v>
      </c>
      <c r="B41" s="364" t="s">
        <v>258</v>
      </c>
      <c r="C41" s="365">
        <v>0</v>
      </c>
      <c r="D41" s="365">
        <v>0</v>
      </c>
      <c r="E41" s="365">
        <v>0</v>
      </c>
      <c r="F41" s="365">
        <v>14</v>
      </c>
      <c r="G41" s="365">
        <v>18</v>
      </c>
      <c r="H41" s="377">
        <v>0</v>
      </c>
      <c r="I41" s="377">
        <v>32</v>
      </c>
      <c r="J41" s="365">
        <v>3</v>
      </c>
      <c r="K41" s="365">
        <v>5</v>
      </c>
      <c r="L41" s="377">
        <v>8</v>
      </c>
      <c r="M41" s="365">
        <v>0</v>
      </c>
      <c r="N41" s="365">
        <v>0</v>
      </c>
      <c r="O41" s="365">
        <v>210</v>
      </c>
      <c r="P41" s="365">
        <v>270</v>
      </c>
      <c r="Q41" s="377">
        <v>480</v>
      </c>
      <c r="R41" s="365">
        <v>0</v>
      </c>
      <c r="S41" s="365">
        <v>0</v>
      </c>
      <c r="T41" s="365">
        <v>45</v>
      </c>
      <c r="U41" s="365">
        <v>75</v>
      </c>
      <c r="V41" s="377">
        <v>120</v>
      </c>
      <c r="W41" s="365">
        <v>0</v>
      </c>
      <c r="X41" s="365">
        <v>0</v>
      </c>
      <c r="Y41" s="378">
        <v>0</v>
      </c>
      <c r="Z41" s="365">
        <v>5</v>
      </c>
      <c r="AA41" s="365">
        <v>75</v>
      </c>
      <c r="AB41" s="378">
        <v>15</v>
      </c>
      <c r="AC41" s="365">
        <v>10</v>
      </c>
      <c r="AD41" s="365">
        <v>150</v>
      </c>
      <c r="AE41" s="378">
        <v>30</v>
      </c>
      <c r="AF41" s="379">
        <v>0</v>
      </c>
      <c r="AG41" s="379">
        <v>0</v>
      </c>
      <c r="AH41" s="378">
        <v>0</v>
      </c>
      <c r="AI41" s="379">
        <v>7</v>
      </c>
      <c r="AJ41" s="379">
        <v>105</v>
      </c>
      <c r="AK41" s="378">
        <v>15</v>
      </c>
      <c r="AL41" s="365">
        <v>7</v>
      </c>
      <c r="AM41" s="365">
        <v>105</v>
      </c>
      <c r="AN41" s="378">
        <v>15</v>
      </c>
      <c r="AO41" s="378"/>
      <c r="AP41" s="378">
        <f t="shared" si="4"/>
        <v>7</v>
      </c>
      <c r="AQ41" s="465">
        <v>0</v>
      </c>
      <c r="AR41" s="379">
        <v>0</v>
      </c>
      <c r="AS41" s="378">
        <v>0</v>
      </c>
      <c r="AT41" s="466">
        <v>0</v>
      </c>
      <c r="AU41" s="466">
        <v>1</v>
      </c>
      <c r="AV41" s="379">
        <v>1</v>
      </c>
      <c r="AW41" s="379">
        <v>15</v>
      </c>
      <c r="AX41" s="378">
        <v>15</v>
      </c>
      <c r="AY41" s="365">
        <v>1</v>
      </c>
      <c r="AZ41" s="365">
        <v>15</v>
      </c>
      <c r="BA41" s="378">
        <v>15</v>
      </c>
      <c r="BB41" s="378"/>
      <c r="BC41" s="378">
        <f t="shared" si="5"/>
        <v>1</v>
      </c>
      <c r="BD41" s="379">
        <v>0</v>
      </c>
      <c r="BE41" s="379">
        <v>0</v>
      </c>
      <c r="BF41" s="365">
        <v>0</v>
      </c>
      <c r="BO41" s="381">
        <f t="shared" si="6"/>
        <v>0</v>
      </c>
      <c r="BP41" s="381">
        <f t="shared" si="7"/>
        <v>1</v>
      </c>
      <c r="BQ41" s="381"/>
      <c r="BR41" s="381">
        <f>_xlfn.XLOOKUP(A41,'Summer data team '!B:B,'Summer data team '!BV:BV,0)</f>
        <v>0</v>
      </c>
      <c r="BS41" s="381">
        <f>_xlfn.XLOOKUP(A41,'Summer data team '!B:B,'Summer data team '!BW:BW,0)</f>
        <v>1</v>
      </c>
      <c r="BT41" s="381">
        <f t="shared" si="8"/>
        <v>0</v>
      </c>
      <c r="BU41" s="381">
        <f t="shared" si="9"/>
        <v>0</v>
      </c>
    </row>
    <row r="42" spans="1:73" ht="13" hidden="1" x14ac:dyDescent="0.3">
      <c r="A42" s="364">
        <v>3302039</v>
      </c>
      <c r="B42" s="364" t="s">
        <v>260</v>
      </c>
      <c r="C42" s="365">
        <v>0</v>
      </c>
      <c r="D42" s="365">
        <v>0</v>
      </c>
      <c r="E42" s="365">
        <v>0</v>
      </c>
      <c r="F42" s="365">
        <v>17</v>
      </c>
      <c r="G42" s="365">
        <v>29</v>
      </c>
      <c r="H42" s="377">
        <v>0</v>
      </c>
      <c r="I42" s="377">
        <v>46</v>
      </c>
      <c r="J42" s="365">
        <v>0</v>
      </c>
      <c r="K42" s="365">
        <v>0</v>
      </c>
      <c r="L42" s="377">
        <v>0</v>
      </c>
      <c r="M42" s="365">
        <v>0</v>
      </c>
      <c r="N42" s="365">
        <v>0</v>
      </c>
      <c r="O42" s="365">
        <v>255</v>
      </c>
      <c r="P42" s="365">
        <v>435</v>
      </c>
      <c r="Q42" s="377">
        <v>690</v>
      </c>
      <c r="R42" s="365">
        <v>0</v>
      </c>
      <c r="S42" s="365">
        <v>0</v>
      </c>
      <c r="T42" s="365">
        <v>0</v>
      </c>
      <c r="U42" s="365">
        <v>0</v>
      </c>
      <c r="V42" s="377">
        <v>0</v>
      </c>
      <c r="W42" s="365">
        <v>0</v>
      </c>
      <c r="X42" s="365">
        <v>0</v>
      </c>
      <c r="Y42" s="378">
        <v>0</v>
      </c>
      <c r="Z42" s="365">
        <v>2</v>
      </c>
      <c r="AA42" s="365">
        <v>30</v>
      </c>
      <c r="AB42" s="378">
        <v>0</v>
      </c>
      <c r="AC42" s="365">
        <v>27</v>
      </c>
      <c r="AD42" s="365">
        <v>405</v>
      </c>
      <c r="AE42" s="378">
        <v>0</v>
      </c>
      <c r="AF42" s="379">
        <v>0</v>
      </c>
      <c r="AG42" s="379">
        <v>0</v>
      </c>
      <c r="AH42" s="378">
        <v>0</v>
      </c>
      <c r="AI42" s="379">
        <v>13</v>
      </c>
      <c r="AJ42" s="379">
        <v>195</v>
      </c>
      <c r="AK42" s="378">
        <v>0</v>
      </c>
      <c r="AL42" s="365">
        <v>13</v>
      </c>
      <c r="AM42" s="365">
        <v>195</v>
      </c>
      <c r="AN42" s="378">
        <v>0</v>
      </c>
      <c r="AO42" s="378"/>
      <c r="AP42" s="378">
        <f t="shared" si="4"/>
        <v>13</v>
      </c>
      <c r="AQ42" s="465">
        <v>0</v>
      </c>
      <c r="AR42" s="379">
        <v>0</v>
      </c>
      <c r="AS42" s="378">
        <v>0</v>
      </c>
      <c r="AT42" s="466">
        <v>13</v>
      </c>
      <c r="AU42" s="466">
        <v>0</v>
      </c>
      <c r="AV42" s="379">
        <v>13</v>
      </c>
      <c r="AW42" s="379">
        <v>195</v>
      </c>
      <c r="AX42" s="378">
        <v>0</v>
      </c>
      <c r="AY42" s="365">
        <v>13</v>
      </c>
      <c r="AZ42" s="365">
        <v>195</v>
      </c>
      <c r="BA42" s="378">
        <v>0</v>
      </c>
      <c r="BB42" s="378"/>
      <c r="BC42" s="378">
        <f t="shared" si="5"/>
        <v>13</v>
      </c>
      <c r="BD42" s="379">
        <v>0</v>
      </c>
      <c r="BE42" s="379">
        <v>0</v>
      </c>
      <c r="BF42" s="365">
        <v>0</v>
      </c>
      <c r="BO42" s="381">
        <f t="shared" si="6"/>
        <v>13</v>
      </c>
      <c r="BP42" s="381">
        <f t="shared" si="7"/>
        <v>0</v>
      </c>
      <c r="BQ42" s="381"/>
      <c r="BR42" s="381">
        <f>_xlfn.XLOOKUP(A42,'Summer data team '!B:B,'Summer data team '!BV:BV,0)</f>
        <v>13</v>
      </c>
      <c r="BS42" s="381">
        <f>_xlfn.XLOOKUP(A42,'Summer data team '!B:B,'Summer data team '!BW:BW,0)</f>
        <v>0</v>
      </c>
      <c r="BT42" s="381">
        <f t="shared" si="8"/>
        <v>0</v>
      </c>
      <c r="BU42" s="381">
        <f t="shared" si="9"/>
        <v>0</v>
      </c>
    </row>
    <row r="43" spans="1:73" ht="13" hidden="1" x14ac:dyDescent="0.3">
      <c r="A43" s="364">
        <v>3302040</v>
      </c>
      <c r="B43" s="364" t="s">
        <v>55</v>
      </c>
      <c r="C43" s="365">
        <v>0</v>
      </c>
      <c r="D43" s="365">
        <v>0</v>
      </c>
      <c r="E43" s="365">
        <v>0</v>
      </c>
      <c r="F43" s="365">
        <v>14</v>
      </c>
      <c r="G43" s="365">
        <v>12</v>
      </c>
      <c r="H43" s="377">
        <v>0</v>
      </c>
      <c r="I43" s="377">
        <v>26</v>
      </c>
      <c r="J43" s="365">
        <v>0</v>
      </c>
      <c r="K43" s="365">
        <v>0</v>
      </c>
      <c r="L43" s="377">
        <v>0</v>
      </c>
      <c r="M43" s="365">
        <v>0</v>
      </c>
      <c r="N43" s="365">
        <v>0</v>
      </c>
      <c r="O43" s="365">
        <v>210</v>
      </c>
      <c r="P43" s="365">
        <v>180</v>
      </c>
      <c r="Q43" s="377">
        <v>390</v>
      </c>
      <c r="R43" s="365">
        <v>0</v>
      </c>
      <c r="S43" s="365">
        <v>0</v>
      </c>
      <c r="T43" s="365">
        <v>0</v>
      </c>
      <c r="U43" s="365">
        <v>0</v>
      </c>
      <c r="V43" s="377">
        <v>0</v>
      </c>
      <c r="W43" s="365">
        <v>0</v>
      </c>
      <c r="X43" s="365">
        <v>0</v>
      </c>
      <c r="Y43" s="378">
        <v>0</v>
      </c>
      <c r="Z43" s="365">
        <v>1</v>
      </c>
      <c r="AA43" s="365">
        <v>15</v>
      </c>
      <c r="AB43" s="378">
        <v>0</v>
      </c>
      <c r="AC43" s="365">
        <v>2</v>
      </c>
      <c r="AD43" s="365">
        <v>30</v>
      </c>
      <c r="AE43" s="378">
        <v>0</v>
      </c>
      <c r="AF43" s="379">
        <v>0</v>
      </c>
      <c r="AG43" s="379">
        <v>0</v>
      </c>
      <c r="AH43" s="378">
        <v>0</v>
      </c>
      <c r="AI43" s="379">
        <v>3</v>
      </c>
      <c r="AJ43" s="379">
        <v>45</v>
      </c>
      <c r="AK43" s="378">
        <v>0</v>
      </c>
      <c r="AL43" s="365">
        <v>3</v>
      </c>
      <c r="AM43" s="365">
        <v>45</v>
      </c>
      <c r="AN43" s="378">
        <v>0</v>
      </c>
      <c r="AO43" s="378"/>
      <c r="AP43" s="378">
        <f t="shared" si="4"/>
        <v>3</v>
      </c>
      <c r="AQ43" s="465">
        <v>0</v>
      </c>
      <c r="AR43" s="379">
        <v>0</v>
      </c>
      <c r="AS43" s="378">
        <v>0</v>
      </c>
      <c r="AT43" s="466">
        <v>2</v>
      </c>
      <c r="AU43" s="466">
        <v>0</v>
      </c>
      <c r="AV43" s="379">
        <v>2</v>
      </c>
      <c r="AW43" s="379">
        <v>30</v>
      </c>
      <c r="AX43" s="378">
        <v>0</v>
      </c>
      <c r="AY43" s="365">
        <v>2</v>
      </c>
      <c r="AZ43" s="365">
        <v>30</v>
      </c>
      <c r="BA43" s="378">
        <v>0</v>
      </c>
      <c r="BB43" s="378"/>
      <c r="BC43" s="378">
        <f t="shared" si="5"/>
        <v>2</v>
      </c>
      <c r="BD43" s="379">
        <v>0</v>
      </c>
      <c r="BE43" s="379">
        <v>0</v>
      </c>
      <c r="BF43" s="365">
        <v>0</v>
      </c>
      <c r="BO43" s="381">
        <f t="shared" si="6"/>
        <v>2</v>
      </c>
      <c r="BP43" s="381">
        <f t="shared" si="7"/>
        <v>0</v>
      </c>
      <c r="BQ43" s="381"/>
      <c r="BR43" s="381">
        <f>_xlfn.XLOOKUP(A43,'Summer data team '!B:B,'Summer data team '!BV:BV,0)</f>
        <v>2</v>
      </c>
      <c r="BS43" s="381">
        <f>_xlfn.XLOOKUP(A43,'Summer data team '!B:B,'Summer data team '!BW:BW,0)</f>
        <v>0</v>
      </c>
      <c r="BT43" s="381">
        <f t="shared" si="8"/>
        <v>0</v>
      </c>
      <c r="BU43" s="381">
        <f t="shared" si="9"/>
        <v>0</v>
      </c>
    </row>
    <row r="44" spans="1:73" ht="13" hidden="1" x14ac:dyDescent="0.3">
      <c r="A44" s="364">
        <v>3302048</v>
      </c>
      <c r="B44" s="364" t="s">
        <v>261</v>
      </c>
      <c r="C44" s="365">
        <v>0</v>
      </c>
      <c r="D44" s="365">
        <v>0</v>
      </c>
      <c r="E44" s="365">
        <v>0</v>
      </c>
      <c r="F44" s="365">
        <v>7</v>
      </c>
      <c r="G44" s="365">
        <v>5</v>
      </c>
      <c r="H44" s="377">
        <v>0</v>
      </c>
      <c r="I44" s="377">
        <v>12</v>
      </c>
      <c r="J44" s="365">
        <v>0</v>
      </c>
      <c r="K44" s="365">
        <v>0</v>
      </c>
      <c r="L44" s="377">
        <v>0</v>
      </c>
      <c r="M44" s="365">
        <v>0</v>
      </c>
      <c r="N44" s="365">
        <v>0</v>
      </c>
      <c r="O44" s="365">
        <v>105</v>
      </c>
      <c r="P44" s="365">
        <v>75</v>
      </c>
      <c r="Q44" s="377">
        <v>180</v>
      </c>
      <c r="R44" s="365">
        <v>0</v>
      </c>
      <c r="S44" s="365">
        <v>0</v>
      </c>
      <c r="T44" s="365">
        <v>0</v>
      </c>
      <c r="U44" s="365">
        <v>0</v>
      </c>
      <c r="V44" s="377">
        <v>0</v>
      </c>
      <c r="W44" s="365">
        <v>1</v>
      </c>
      <c r="X44" s="365">
        <v>15</v>
      </c>
      <c r="Y44" s="378">
        <v>0</v>
      </c>
      <c r="Z44" s="365">
        <v>10</v>
      </c>
      <c r="AA44" s="365">
        <v>150</v>
      </c>
      <c r="AB44" s="378">
        <v>0</v>
      </c>
      <c r="AC44" s="365">
        <v>1</v>
      </c>
      <c r="AD44" s="365">
        <v>15</v>
      </c>
      <c r="AE44" s="378">
        <v>0</v>
      </c>
      <c r="AF44" s="379">
        <v>0</v>
      </c>
      <c r="AG44" s="379">
        <v>0</v>
      </c>
      <c r="AH44" s="378">
        <v>0</v>
      </c>
      <c r="AI44" s="379">
        <v>8</v>
      </c>
      <c r="AJ44" s="379">
        <v>120</v>
      </c>
      <c r="AK44" s="378">
        <v>0</v>
      </c>
      <c r="AL44" s="365">
        <v>8</v>
      </c>
      <c r="AM44" s="365">
        <v>120</v>
      </c>
      <c r="AN44" s="378">
        <v>0</v>
      </c>
      <c r="AO44" s="378"/>
      <c r="AP44" s="378">
        <f t="shared" si="4"/>
        <v>8</v>
      </c>
      <c r="AQ44" s="465">
        <v>0</v>
      </c>
      <c r="AR44" s="379">
        <v>0</v>
      </c>
      <c r="AS44" s="378">
        <v>0</v>
      </c>
      <c r="AT44" s="466">
        <v>8</v>
      </c>
      <c r="AU44" s="466">
        <v>0</v>
      </c>
      <c r="AV44" s="379">
        <v>8</v>
      </c>
      <c r="AW44" s="379">
        <v>120</v>
      </c>
      <c r="AX44" s="378">
        <v>0</v>
      </c>
      <c r="AY44" s="365">
        <v>8</v>
      </c>
      <c r="AZ44" s="365">
        <v>120</v>
      </c>
      <c r="BA44" s="378">
        <v>0</v>
      </c>
      <c r="BB44" s="378"/>
      <c r="BC44" s="378">
        <f t="shared" si="5"/>
        <v>8</v>
      </c>
      <c r="BD44" s="379">
        <v>0</v>
      </c>
      <c r="BE44" s="379">
        <v>0</v>
      </c>
      <c r="BF44" s="365">
        <v>0</v>
      </c>
      <c r="BO44" s="381">
        <f t="shared" si="6"/>
        <v>8</v>
      </c>
      <c r="BP44" s="381">
        <f t="shared" si="7"/>
        <v>0</v>
      </c>
      <c r="BQ44" s="381"/>
      <c r="BR44" s="381">
        <f>_xlfn.XLOOKUP(A44,'Summer data team '!B:B,'Summer data team '!BV:BV,0)</f>
        <v>8</v>
      </c>
      <c r="BS44" s="381">
        <f>_xlfn.XLOOKUP(A44,'Summer data team '!B:B,'Summer data team '!BW:BW,0)</f>
        <v>0</v>
      </c>
      <c r="BT44" s="381">
        <f t="shared" si="8"/>
        <v>0</v>
      </c>
      <c r="BU44" s="381">
        <f t="shared" si="9"/>
        <v>0</v>
      </c>
    </row>
    <row r="45" spans="1:73" ht="13" hidden="1" x14ac:dyDescent="0.3">
      <c r="A45" s="364">
        <v>3302054</v>
      </c>
      <c r="B45" s="364" t="s">
        <v>67</v>
      </c>
      <c r="C45" s="365">
        <v>0</v>
      </c>
      <c r="D45" s="365">
        <v>0</v>
      </c>
      <c r="E45" s="365">
        <v>0</v>
      </c>
      <c r="F45" s="365">
        <v>22</v>
      </c>
      <c r="G45" s="365">
        <v>18</v>
      </c>
      <c r="H45" s="377">
        <v>0</v>
      </c>
      <c r="I45" s="377">
        <v>40</v>
      </c>
      <c r="J45" s="365">
        <v>5</v>
      </c>
      <c r="K45" s="365">
        <v>5</v>
      </c>
      <c r="L45" s="377">
        <v>10</v>
      </c>
      <c r="M45" s="365">
        <v>0</v>
      </c>
      <c r="N45" s="365">
        <v>0</v>
      </c>
      <c r="O45" s="365">
        <v>330</v>
      </c>
      <c r="P45" s="365">
        <v>270</v>
      </c>
      <c r="Q45" s="377">
        <v>600</v>
      </c>
      <c r="R45" s="365">
        <v>0</v>
      </c>
      <c r="S45" s="365">
        <v>0</v>
      </c>
      <c r="T45" s="365">
        <v>75</v>
      </c>
      <c r="U45" s="365">
        <v>75</v>
      </c>
      <c r="V45" s="377">
        <v>150</v>
      </c>
      <c r="W45" s="365">
        <v>7</v>
      </c>
      <c r="X45" s="365">
        <v>105</v>
      </c>
      <c r="Y45" s="378">
        <v>15</v>
      </c>
      <c r="Z45" s="365">
        <v>2</v>
      </c>
      <c r="AA45" s="365">
        <v>30</v>
      </c>
      <c r="AB45" s="378">
        <v>0</v>
      </c>
      <c r="AC45" s="365">
        <v>3</v>
      </c>
      <c r="AD45" s="365">
        <v>45</v>
      </c>
      <c r="AE45" s="378">
        <v>15</v>
      </c>
      <c r="AF45" s="379">
        <v>0</v>
      </c>
      <c r="AG45" s="379">
        <v>0</v>
      </c>
      <c r="AH45" s="378">
        <v>0</v>
      </c>
      <c r="AI45" s="379">
        <v>8</v>
      </c>
      <c r="AJ45" s="379">
        <v>120</v>
      </c>
      <c r="AK45" s="378">
        <v>45</v>
      </c>
      <c r="AL45" s="365">
        <v>8</v>
      </c>
      <c r="AM45" s="365">
        <v>120</v>
      </c>
      <c r="AN45" s="378">
        <v>45</v>
      </c>
      <c r="AO45" s="378"/>
      <c r="AP45" s="378">
        <f t="shared" si="4"/>
        <v>8</v>
      </c>
      <c r="AQ45" s="465">
        <v>0</v>
      </c>
      <c r="AR45" s="379">
        <v>0</v>
      </c>
      <c r="AS45" s="378">
        <v>0</v>
      </c>
      <c r="AT45" s="466">
        <v>1</v>
      </c>
      <c r="AU45" s="466">
        <v>1</v>
      </c>
      <c r="AV45" s="379">
        <v>2</v>
      </c>
      <c r="AW45" s="379">
        <v>30</v>
      </c>
      <c r="AX45" s="378">
        <v>15</v>
      </c>
      <c r="AY45" s="365">
        <v>2</v>
      </c>
      <c r="AZ45" s="365">
        <v>30</v>
      </c>
      <c r="BA45" s="378">
        <v>15</v>
      </c>
      <c r="BB45" s="378"/>
      <c r="BC45" s="378">
        <f t="shared" si="5"/>
        <v>2</v>
      </c>
      <c r="BD45" s="379">
        <v>0</v>
      </c>
      <c r="BE45" s="379">
        <v>0</v>
      </c>
      <c r="BF45" s="365">
        <v>0</v>
      </c>
      <c r="BO45" s="381">
        <f t="shared" si="6"/>
        <v>1</v>
      </c>
      <c r="BP45" s="381">
        <f t="shared" si="7"/>
        <v>1</v>
      </c>
      <c r="BQ45" s="381"/>
      <c r="BR45" s="381">
        <f>_xlfn.XLOOKUP(A45,'Summer data team '!B:B,'Summer data team '!BV:BV,0)</f>
        <v>1</v>
      </c>
      <c r="BS45" s="381">
        <f>_xlfn.XLOOKUP(A45,'Summer data team '!B:B,'Summer data team '!BW:BW,0)</f>
        <v>1</v>
      </c>
      <c r="BT45" s="381">
        <f t="shared" si="8"/>
        <v>0</v>
      </c>
      <c r="BU45" s="381">
        <f t="shared" si="9"/>
        <v>0</v>
      </c>
    </row>
    <row r="46" spans="1:73" ht="13" hidden="1" x14ac:dyDescent="0.3">
      <c r="A46" s="364">
        <v>3302055</v>
      </c>
      <c r="B46" s="364" t="s">
        <v>69</v>
      </c>
      <c r="C46" s="365">
        <v>0</v>
      </c>
      <c r="D46" s="365">
        <v>0</v>
      </c>
      <c r="E46" s="365">
        <v>0</v>
      </c>
      <c r="F46" s="365">
        <v>12</v>
      </c>
      <c r="G46" s="365">
        <v>19</v>
      </c>
      <c r="H46" s="377">
        <v>0</v>
      </c>
      <c r="I46" s="377">
        <v>31</v>
      </c>
      <c r="J46" s="365">
        <v>7</v>
      </c>
      <c r="K46" s="365">
        <v>11</v>
      </c>
      <c r="L46" s="377">
        <v>18</v>
      </c>
      <c r="M46" s="365">
        <v>0</v>
      </c>
      <c r="N46" s="365">
        <v>0</v>
      </c>
      <c r="O46" s="365">
        <v>180</v>
      </c>
      <c r="P46" s="365">
        <v>285</v>
      </c>
      <c r="Q46" s="377">
        <v>465</v>
      </c>
      <c r="R46" s="365">
        <v>0</v>
      </c>
      <c r="S46" s="365">
        <v>0</v>
      </c>
      <c r="T46" s="365">
        <v>105</v>
      </c>
      <c r="U46" s="365">
        <v>165</v>
      </c>
      <c r="V46" s="377">
        <v>270</v>
      </c>
      <c r="W46" s="365">
        <v>1</v>
      </c>
      <c r="X46" s="365">
        <v>15</v>
      </c>
      <c r="Y46" s="378">
        <v>0</v>
      </c>
      <c r="Z46" s="365">
        <v>3</v>
      </c>
      <c r="AA46" s="365">
        <v>45</v>
      </c>
      <c r="AB46" s="378">
        <v>15</v>
      </c>
      <c r="AC46" s="365">
        <v>8</v>
      </c>
      <c r="AD46" s="365">
        <v>120</v>
      </c>
      <c r="AE46" s="378">
        <v>75</v>
      </c>
      <c r="AF46" s="379">
        <v>0</v>
      </c>
      <c r="AG46" s="379">
        <v>0</v>
      </c>
      <c r="AH46" s="378">
        <v>0</v>
      </c>
      <c r="AI46" s="379">
        <v>2</v>
      </c>
      <c r="AJ46" s="379">
        <v>30</v>
      </c>
      <c r="AK46" s="378">
        <v>0</v>
      </c>
      <c r="AL46" s="365">
        <v>2</v>
      </c>
      <c r="AM46" s="365">
        <v>30</v>
      </c>
      <c r="AN46" s="378">
        <v>0</v>
      </c>
      <c r="AO46" s="378"/>
      <c r="AP46" s="378">
        <f t="shared" si="4"/>
        <v>2</v>
      </c>
      <c r="AQ46" s="465">
        <v>0</v>
      </c>
      <c r="AR46" s="379">
        <v>0</v>
      </c>
      <c r="AS46" s="378">
        <v>0</v>
      </c>
      <c r="AT46" s="466">
        <v>0</v>
      </c>
      <c r="AU46" s="466">
        <v>0</v>
      </c>
      <c r="AV46" s="379">
        <v>0</v>
      </c>
      <c r="AW46" s="379">
        <v>0</v>
      </c>
      <c r="AX46" s="378">
        <v>0</v>
      </c>
      <c r="AY46" s="365">
        <v>0</v>
      </c>
      <c r="AZ46" s="365">
        <v>0</v>
      </c>
      <c r="BA46" s="378">
        <v>0</v>
      </c>
      <c r="BB46" s="378"/>
      <c r="BC46" s="378">
        <f t="shared" si="5"/>
        <v>0</v>
      </c>
      <c r="BD46" s="379">
        <v>0</v>
      </c>
      <c r="BE46" s="379">
        <v>0</v>
      </c>
      <c r="BF46" s="365">
        <v>0</v>
      </c>
      <c r="BO46" s="381">
        <f t="shared" si="6"/>
        <v>0</v>
      </c>
      <c r="BP46" s="381">
        <f t="shared" si="7"/>
        <v>0</v>
      </c>
      <c r="BQ46" s="381"/>
      <c r="BR46" s="381">
        <f>_xlfn.XLOOKUP(A46,'Summer data team '!B:B,'Summer data team '!BV:BV,0)</f>
        <v>0</v>
      </c>
      <c r="BS46" s="381">
        <f>_xlfn.XLOOKUP(A46,'Summer data team '!B:B,'Summer data team '!BW:BW,0)</f>
        <v>0</v>
      </c>
      <c r="BT46" s="381">
        <f t="shared" si="8"/>
        <v>0</v>
      </c>
      <c r="BU46" s="381">
        <f t="shared" si="9"/>
        <v>0</v>
      </c>
    </row>
    <row r="47" spans="1:73" ht="13" hidden="1" x14ac:dyDescent="0.3">
      <c r="A47" s="364">
        <v>3302056</v>
      </c>
      <c r="B47" s="364" t="s">
        <v>262</v>
      </c>
      <c r="C47" s="365">
        <v>0</v>
      </c>
      <c r="D47" s="365">
        <v>0</v>
      </c>
      <c r="E47" s="365">
        <v>0</v>
      </c>
      <c r="F47" s="365">
        <v>15</v>
      </c>
      <c r="G47" s="365">
        <v>25</v>
      </c>
      <c r="H47" s="377">
        <v>0</v>
      </c>
      <c r="I47" s="377">
        <v>40</v>
      </c>
      <c r="J47" s="365">
        <v>1</v>
      </c>
      <c r="K47" s="365">
        <v>1</v>
      </c>
      <c r="L47" s="377">
        <v>2</v>
      </c>
      <c r="M47" s="365">
        <v>0</v>
      </c>
      <c r="N47" s="365">
        <v>0</v>
      </c>
      <c r="O47" s="365">
        <v>225</v>
      </c>
      <c r="P47" s="365">
        <v>375</v>
      </c>
      <c r="Q47" s="377">
        <v>600</v>
      </c>
      <c r="R47" s="365">
        <v>0</v>
      </c>
      <c r="S47" s="365">
        <v>0</v>
      </c>
      <c r="T47" s="365">
        <v>15</v>
      </c>
      <c r="U47" s="365">
        <v>15</v>
      </c>
      <c r="V47" s="377">
        <v>30</v>
      </c>
      <c r="W47" s="365">
        <v>12</v>
      </c>
      <c r="X47" s="365">
        <v>180</v>
      </c>
      <c r="Y47" s="378">
        <v>15</v>
      </c>
      <c r="Z47" s="365">
        <v>10</v>
      </c>
      <c r="AA47" s="365">
        <v>150</v>
      </c>
      <c r="AB47" s="378">
        <v>15</v>
      </c>
      <c r="AC47" s="365">
        <v>10</v>
      </c>
      <c r="AD47" s="365">
        <v>150</v>
      </c>
      <c r="AE47" s="378">
        <v>0</v>
      </c>
      <c r="AF47" s="379">
        <v>0</v>
      </c>
      <c r="AG47" s="379">
        <v>0</v>
      </c>
      <c r="AH47" s="378">
        <v>0</v>
      </c>
      <c r="AI47" s="379">
        <v>15</v>
      </c>
      <c r="AJ47" s="379">
        <v>225</v>
      </c>
      <c r="AK47" s="378">
        <v>0</v>
      </c>
      <c r="AL47" s="365">
        <v>15</v>
      </c>
      <c r="AM47" s="365">
        <v>225</v>
      </c>
      <c r="AN47" s="378">
        <v>0</v>
      </c>
      <c r="AO47" s="378"/>
      <c r="AP47" s="378">
        <f t="shared" si="4"/>
        <v>15</v>
      </c>
      <c r="AQ47" s="465">
        <v>0</v>
      </c>
      <c r="AR47" s="379">
        <v>0</v>
      </c>
      <c r="AS47" s="378">
        <v>0</v>
      </c>
      <c r="AT47" s="466">
        <v>13</v>
      </c>
      <c r="AU47" s="466">
        <v>0</v>
      </c>
      <c r="AV47" s="379">
        <v>13</v>
      </c>
      <c r="AW47" s="379">
        <v>195</v>
      </c>
      <c r="AX47" s="378">
        <v>0</v>
      </c>
      <c r="AY47" s="365">
        <v>13</v>
      </c>
      <c r="AZ47" s="365">
        <v>195</v>
      </c>
      <c r="BA47" s="378">
        <v>0</v>
      </c>
      <c r="BB47" s="378"/>
      <c r="BC47" s="378">
        <f t="shared" si="5"/>
        <v>13</v>
      </c>
      <c r="BD47" s="379">
        <v>0</v>
      </c>
      <c r="BE47" s="379">
        <v>0</v>
      </c>
      <c r="BF47" s="365">
        <v>0</v>
      </c>
      <c r="BO47" s="381">
        <f t="shared" si="6"/>
        <v>13</v>
      </c>
      <c r="BP47" s="381">
        <f t="shared" si="7"/>
        <v>0</v>
      </c>
      <c r="BQ47" s="381"/>
      <c r="BR47" s="381">
        <f>_xlfn.XLOOKUP(A47,'Summer data team '!B:B,'Summer data team '!BV:BV,0)</f>
        <v>13</v>
      </c>
      <c r="BS47" s="381">
        <f>_xlfn.XLOOKUP(A47,'Summer data team '!B:B,'Summer data team '!BW:BW,0)</f>
        <v>0</v>
      </c>
      <c r="BT47" s="381">
        <f t="shared" si="8"/>
        <v>0</v>
      </c>
      <c r="BU47" s="381">
        <f t="shared" si="9"/>
        <v>0</v>
      </c>
    </row>
    <row r="48" spans="1:73" ht="13" hidden="1" x14ac:dyDescent="0.3">
      <c r="A48" s="364">
        <v>3302057</v>
      </c>
      <c r="B48" s="364" t="s">
        <v>263</v>
      </c>
      <c r="C48" s="365">
        <v>0</v>
      </c>
      <c r="D48" s="365">
        <v>0</v>
      </c>
      <c r="E48" s="365">
        <v>0</v>
      </c>
      <c r="F48" s="365">
        <v>21</v>
      </c>
      <c r="G48" s="365">
        <v>18</v>
      </c>
      <c r="H48" s="377">
        <v>0</v>
      </c>
      <c r="I48" s="377">
        <v>39</v>
      </c>
      <c r="J48" s="365">
        <v>0</v>
      </c>
      <c r="K48" s="365">
        <v>0</v>
      </c>
      <c r="L48" s="377">
        <v>0</v>
      </c>
      <c r="M48" s="365">
        <v>0</v>
      </c>
      <c r="N48" s="365">
        <v>0</v>
      </c>
      <c r="O48" s="365">
        <v>315</v>
      </c>
      <c r="P48" s="365">
        <v>270</v>
      </c>
      <c r="Q48" s="377">
        <v>585</v>
      </c>
      <c r="R48" s="365">
        <v>0</v>
      </c>
      <c r="S48" s="365">
        <v>0</v>
      </c>
      <c r="T48" s="365">
        <v>0</v>
      </c>
      <c r="U48" s="365">
        <v>0</v>
      </c>
      <c r="V48" s="377">
        <v>0</v>
      </c>
      <c r="W48" s="365">
        <v>10</v>
      </c>
      <c r="X48" s="365">
        <v>150</v>
      </c>
      <c r="Y48" s="378">
        <v>0</v>
      </c>
      <c r="Z48" s="365">
        <v>12</v>
      </c>
      <c r="AA48" s="365">
        <v>180</v>
      </c>
      <c r="AB48" s="378">
        <v>0</v>
      </c>
      <c r="AC48" s="365">
        <v>13</v>
      </c>
      <c r="AD48" s="365">
        <v>195</v>
      </c>
      <c r="AE48" s="378">
        <v>0</v>
      </c>
      <c r="AF48" s="379">
        <v>0</v>
      </c>
      <c r="AG48" s="379">
        <v>0</v>
      </c>
      <c r="AH48" s="378">
        <v>0</v>
      </c>
      <c r="AI48" s="379">
        <v>21</v>
      </c>
      <c r="AJ48" s="379">
        <v>315</v>
      </c>
      <c r="AK48" s="378">
        <v>0</v>
      </c>
      <c r="AL48" s="365">
        <v>21</v>
      </c>
      <c r="AM48" s="365">
        <v>315</v>
      </c>
      <c r="AN48" s="378">
        <v>0</v>
      </c>
      <c r="AO48" s="378"/>
      <c r="AP48" s="378">
        <f t="shared" si="4"/>
        <v>21</v>
      </c>
      <c r="AQ48" s="465">
        <v>0</v>
      </c>
      <c r="AR48" s="379">
        <v>0</v>
      </c>
      <c r="AS48" s="378">
        <v>0</v>
      </c>
      <c r="AT48" s="466">
        <v>21</v>
      </c>
      <c r="AU48" s="466">
        <v>0</v>
      </c>
      <c r="AV48" s="379">
        <v>21</v>
      </c>
      <c r="AW48" s="379">
        <v>315</v>
      </c>
      <c r="AX48" s="378">
        <v>0</v>
      </c>
      <c r="AY48" s="365">
        <v>21</v>
      </c>
      <c r="AZ48" s="365">
        <v>315</v>
      </c>
      <c r="BA48" s="378">
        <v>0</v>
      </c>
      <c r="BB48" s="378"/>
      <c r="BC48" s="378">
        <f t="shared" si="5"/>
        <v>21</v>
      </c>
      <c r="BD48" s="379">
        <v>0</v>
      </c>
      <c r="BE48" s="379">
        <v>0</v>
      </c>
      <c r="BF48" s="365">
        <v>0</v>
      </c>
      <c r="BO48" s="381">
        <f t="shared" si="6"/>
        <v>21</v>
      </c>
      <c r="BP48" s="381">
        <f t="shared" si="7"/>
        <v>0</v>
      </c>
      <c r="BQ48" s="381"/>
      <c r="BR48" s="381">
        <f>_xlfn.XLOOKUP(A48,'Summer data team '!B:B,'Summer data team '!BV:BV,0)</f>
        <v>21</v>
      </c>
      <c r="BS48" s="381">
        <f>_xlfn.XLOOKUP(A48,'Summer data team '!B:B,'Summer data team '!BW:BW,0)</f>
        <v>0</v>
      </c>
      <c r="BT48" s="381">
        <f t="shared" si="8"/>
        <v>0</v>
      </c>
      <c r="BU48" s="381">
        <f t="shared" si="9"/>
        <v>0</v>
      </c>
    </row>
    <row r="49" spans="1:73" ht="13" hidden="1" x14ac:dyDescent="0.3">
      <c r="A49" s="364">
        <v>3302058</v>
      </c>
      <c r="B49" s="364" t="s">
        <v>264</v>
      </c>
      <c r="C49" s="365">
        <v>0</v>
      </c>
      <c r="D49" s="365">
        <v>0</v>
      </c>
      <c r="E49" s="365">
        <v>0</v>
      </c>
      <c r="F49" s="365">
        <v>17</v>
      </c>
      <c r="G49" s="365">
        <v>15</v>
      </c>
      <c r="H49" s="377">
        <v>0</v>
      </c>
      <c r="I49" s="377">
        <v>32</v>
      </c>
      <c r="J49" s="365">
        <v>7</v>
      </c>
      <c r="K49" s="365">
        <v>2</v>
      </c>
      <c r="L49" s="377">
        <v>9</v>
      </c>
      <c r="M49" s="365">
        <v>0</v>
      </c>
      <c r="N49" s="365">
        <v>0</v>
      </c>
      <c r="O49" s="365">
        <v>255</v>
      </c>
      <c r="P49" s="365">
        <v>225</v>
      </c>
      <c r="Q49" s="377">
        <v>480</v>
      </c>
      <c r="R49" s="365">
        <v>0</v>
      </c>
      <c r="S49" s="365">
        <v>0</v>
      </c>
      <c r="T49" s="365">
        <v>105</v>
      </c>
      <c r="U49" s="365">
        <v>30</v>
      </c>
      <c r="V49" s="377">
        <v>135</v>
      </c>
      <c r="W49" s="365">
        <v>5</v>
      </c>
      <c r="X49" s="365">
        <v>75</v>
      </c>
      <c r="Y49" s="378">
        <v>15</v>
      </c>
      <c r="Z49" s="365">
        <v>18</v>
      </c>
      <c r="AA49" s="365">
        <v>270</v>
      </c>
      <c r="AB49" s="378">
        <v>75</v>
      </c>
      <c r="AC49" s="365">
        <v>8</v>
      </c>
      <c r="AD49" s="365">
        <v>120</v>
      </c>
      <c r="AE49" s="378">
        <v>30</v>
      </c>
      <c r="AF49" s="379">
        <v>0</v>
      </c>
      <c r="AG49" s="379">
        <v>0</v>
      </c>
      <c r="AH49" s="378">
        <v>0</v>
      </c>
      <c r="AI49" s="379">
        <v>16</v>
      </c>
      <c r="AJ49" s="379">
        <v>240</v>
      </c>
      <c r="AK49" s="378">
        <v>15</v>
      </c>
      <c r="AL49" s="365">
        <v>16</v>
      </c>
      <c r="AM49" s="365">
        <v>240</v>
      </c>
      <c r="AN49" s="378">
        <v>15</v>
      </c>
      <c r="AO49" s="378"/>
      <c r="AP49" s="378">
        <f t="shared" si="4"/>
        <v>16</v>
      </c>
      <c r="AQ49" s="465">
        <v>0</v>
      </c>
      <c r="AR49" s="379">
        <v>0</v>
      </c>
      <c r="AS49" s="378">
        <v>0</v>
      </c>
      <c r="AT49" s="466">
        <v>15</v>
      </c>
      <c r="AU49" s="466">
        <v>1</v>
      </c>
      <c r="AV49" s="379">
        <v>16</v>
      </c>
      <c r="AW49" s="379">
        <v>240</v>
      </c>
      <c r="AX49" s="378">
        <v>15</v>
      </c>
      <c r="AY49" s="365">
        <v>16</v>
      </c>
      <c r="AZ49" s="365">
        <v>240</v>
      </c>
      <c r="BA49" s="378">
        <v>15</v>
      </c>
      <c r="BB49" s="378"/>
      <c r="BC49" s="378">
        <f t="shared" si="5"/>
        <v>16</v>
      </c>
      <c r="BD49" s="379">
        <v>0</v>
      </c>
      <c r="BE49" s="379">
        <v>0</v>
      </c>
      <c r="BF49" s="365">
        <v>0</v>
      </c>
      <c r="BO49" s="381">
        <f t="shared" si="6"/>
        <v>15</v>
      </c>
      <c r="BP49" s="381">
        <f t="shared" si="7"/>
        <v>1</v>
      </c>
      <c r="BQ49" s="381"/>
      <c r="BR49" s="381">
        <f>_xlfn.XLOOKUP(A49,'Summer data team '!B:B,'Summer data team '!BV:BV,0)</f>
        <v>15</v>
      </c>
      <c r="BS49" s="381">
        <f>_xlfn.XLOOKUP(A49,'Summer data team '!B:B,'Summer data team '!BW:BW,0)</f>
        <v>1</v>
      </c>
      <c r="BT49" s="381">
        <f t="shared" si="8"/>
        <v>0</v>
      </c>
      <c r="BU49" s="381">
        <f t="shared" si="9"/>
        <v>0</v>
      </c>
    </row>
    <row r="50" spans="1:73" ht="13" hidden="1" x14ac:dyDescent="0.3">
      <c r="A50" s="364">
        <v>3302059</v>
      </c>
      <c r="B50" s="364" t="s">
        <v>265</v>
      </c>
      <c r="C50" s="365">
        <v>0</v>
      </c>
      <c r="D50" s="365">
        <v>0</v>
      </c>
      <c r="E50" s="365">
        <v>0</v>
      </c>
      <c r="F50" s="365">
        <v>6</v>
      </c>
      <c r="G50" s="365">
        <v>4</v>
      </c>
      <c r="H50" s="377">
        <v>0</v>
      </c>
      <c r="I50" s="377">
        <v>10</v>
      </c>
      <c r="J50" s="365">
        <v>1</v>
      </c>
      <c r="K50" s="365">
        <v>2</v>
      </c>
      <c r="L50" s="377">
        <v>3</v>
      </c>
      <c r="M50" s="365">
        <v>0</v>
      </c>
      <c r="N50" s="365">
        <v>0</v>
      </c>
      <c r="O50" s="365">
        <v>90</v>
      </c>
      <c r="P50" s="365">
        <v>60</v>
      </c>
      <c r="Q50" s="377">
        <v>150</v>
      </c>
      <c r="R50" s="365">
        <v>0</v>
      </c>
      <c r="S50" s="365">
        <v>0</v>
      </c>
      <c r="T50" s="365">
        <v>15</v>
      </c>
      <c r="U50" s="365">
        <v>30</v>
      </c>
      <c r="V50" s="377">
        <v>45</v>
      </c>
      <c r="W50" s="365">
        <v>1</v>
      </c>
      <c r="X50" s="365">
        <v>15</v>
      </c>
      <c r="Y50" s="378">
        <v>0</v>
      </c>
      <c r="Z50" s="365">
        <v>9</v>
      </c>
      <c r="AA50" s="365">
        <v>135</v>
      </c>
      <c r="AB50" s="378">
        <v>45</v>
      </c>
      <c r="AC50" s="365">
        <v>0</v>
      </c>
      <c r="AD50" s="365">
        <v>0</v>
      </c>
      <c r="AE50" s="378">
        <v>0</v>
      </c>
      <c r="AF50" s="379">
        <v>0</v>
      </c>
      <c r="AG50" s="379">
        <v>0</v>
      </c>
      <c r="AH50" s="378">
        <v>0</v>
      </c>
      <c r="AI50" s="379">
        <v>3</v>
      </c>
      <c r="AJ50" s="379">
        <v>45</v>
      </c>
      <c r="AK50" s="378">
        <v>0</v>
      </c>
      <c r="AL50" s="365">
        <v>3</v>
      </c>
      <c r="AM50" s="365">
        <v>45</v>
      </c>
      <c r="AN50" s="378">
        <v>0</v>
      </c>
      <c r="AO50" s="378"/>
      <c r="AP50" s="378">
        <f t="shared" si="4"/>
        <v>3</v>
      </c>
      <c r="AQ50" s="465">
        <v>0</v>
      </c>
      <c r="AR50" s="379">
        <v>0</v>
      </c>
      <c r="AS50" s="378">
        <v>0</v>
      </c>
      <c r="AT50" s="466">
        <v>3</v>
      </c>
      <c r="AU50" s="466">
        <v>0</v>
      </c>
      <c r="AV50" s="379">
        <v>3</v>
      </c>
      <c r="AW50" s="379">
        <v>45</v>
      </c>
      <c r="AX50" s="378">
        <v>0</v>
      </c>
      <c r="AY50" s="365">
        <v>3</v>
      </c>
      <c r="AZ50" s="365">
        <v>45</v>
      </c>
      <c r="BA50" s="378">
        <v>0</v>
      </c>
      <c r="BB50" s="378"/>
      <c r="BC50" s="378">
        <f t="shared" si="5"/>
        <v>3</v>
      </c>
      <c r="BD50" s="379">
        <v>0</v>
      </c>
      <c r="BE50" s="379">
        <v>0</v>
      </c>
      <c r="BF50" s="365">
        <v>0</v>
      </c>
      <c r="BO50" s="381">
        <f t="shared" si="6"/>
        <v>3</v>
      </c>
      <c r="BP50" s="381">
        <f t="shared" si="7"/>
        <v>0</v>
      </c>
      <c r="BQ50" s="381"/>
      <c r="BR50" s="381">
        <f>_xlfn.XLOOKUP(A50,'Summer data team '!B:B,'Summer data team '!BV:BV,0)</f>
        <v>3</v>
      </c>
      <c r="BS50" s="381">
        <f>_xlfn.XLOOKUP(A50,'Summer data team '!B:B,'Summer data team '!BW:BW,0)</f>
        <v>0</v>
      </c>
      <c r="BT50" s="381">
        <f t="shared" si="8"/>
        <v>0</v>
      </c>
      <c r="BU50" s="381">
        <f t="shared" si="9"/>
        <v>0</v>
      </c>
    </row>
    <row r="51" spans="1:73" ht="13" hidden="1" x14ac:dyDescent="0.3">
      <c r="A51" s="364">
        <v>3302060</v>
      </c>
      <c r="B51" s="364" t="s">
        <v>266</v>
      </c>
      <c r="C51" s="365">
        <v>0</v>
      </c>
      <c r="D51" s="365">
        <v>0</v>
      </c>
      <c r="E51" s="365">
        <v>0</v>
      </c>
      <c r="F51" s="365">
        <v>6</v>
      </c>
      <c r="G51" s="365">
        <v>12</v>
      </c>
      <c r="H51" s="377">
        <v>0</v>
      </c>
      <c r="I51" s="377">
        <v>18</v>
      </c>
      <c r="J51" s="365">
        <v>0</v>
      </c>
      <c r="K51" s="365">
        <v>0</v>
      </c>
      <c r="L51" s="377">
        <v>0</v>
      </c>
      <c r="M51" s="365">
        <v>0</v>
      </c>
      <c r="N51" s="365">
        <v>0</v>
      </c>
      <c r="O51" s="365">
        <v>90</v>
      </c>
      <c r="P51" s="365">
        <v>180</v>
      </c>
      <c r="Q51" s="377">
        <v>270</v>
      </c>
      <c r="R51" s="365">
        <v>0</v>
      </c>
      <c r="S51" s="365">
        <v>0</v>
      </c>
      <c r="T51" s="365">
        <v>0</v>
      </c>
      <c r="U51" s="365">
        <v>0</v>
      </c>
      <c r="V51" s="377">
        <v>0</v>
      </c>
      <c r="W51" s="365">
        <v>16</v>
      </c>
      <c r="X51" s="365">
        <v>240</v>
      </c>
      <c r="Y51" s="378">
        <v>0</v>
      </c>
      <c r="Z51" s="365">
        <v>1</v>
      </c>
      <c r="AA51" s="365">
        <v>15</v>
      </c>
      <c r="AB51" s="378">
        <v>0</v>
      </c>
      <c r="AC51" s="365">
        <v>0</v>
      </c>
      <c r="AD51" s="365">
        <v>0</v>
      </c>
      <c r="AE51" s="378">
        <v>0</v>
      </c>
      <c r="AF51" s="379">
        <v>0</v>
      </c>
      <c r="AG51" s="379">
        <v>0</v>
      </c>
      <c r="AH51" s="378">
        <v>0</v>
      </c>
      <c r="AI51" s="379">
        <v>12</v>
      </c>
      <c r="AJ51" s="379">
        <v>180</v>
      </c>
      <c r="AK51" s="378">
        <v>0</v>
      </c>
      <c r="AL51" s="365">
        <v>12</v>
      </c>
      <c r="AM51" s="365">
        <v>180</v>
      </c>
      <c r="AN51" s="378">
        <v>0</v>
      </c>
      <c r="AO51" s="378"/>
      <c r="AP51" s="378">
        <f t="shared" si="4"/>
        <v>12</v>
      </c>
      <c r="AQ51" s="465">
        <v>0</v>
      </c>
      <c r="AR51" s="379">
        <v>0</v>
      </c>
      <c r="AS51" s="378">
        <v>0</v>
      </c>
      <c r="AT51" s="466">
        <v>12</v>
      </c>
      <c r="AU51" s="466">
        <v>0</v>
      </c>
      <c r="AV51" s="379">
        <v>12</v>
      </c>
      <c r="AW51" s="379">
        <v>180</v>
      </c>
      <c r="AX51" s="378">
        <v>0</v>
      </c>
      <c r="AY51" s="365">
        <v>12</v>
      </c>
      <c r="AZ51" s="365">
        <v>180</v>
      </c>
      <c r="BA51" s="378">
        <v>0</v>
      </c>
      <c r="BB51" s="378"/>
      <c r="BC51" s="378">
        <f t="shared" si="5"/>
        <v>12</v>
      </c>
      <c r="BD51" s="379">
        <v>0</v>
      </c>
      <c r="BE51" s="379">
        <v>0</v>
      </c>
      <c r="BF51" s="365">
        <v>0</v>
      </c>
      <c r="BO51" s="381">
        <f t="shared" si="6"/>
        <v>12</v>
      </c>
      <c r="BP51" s="381">
        <f t="shared" si="7"/>
        <v>0</v>
      </c>
      <c r="BQ51" s="381"/>
      <c r="BR51" s="381">
        <f>_xlfn.XLOOKUP(A51,'Summer data team '!B:B,'Summer data team '!BV:BV,0)</f>
        <v>12</v>
      </c>
      <c r="BS51" s="381">
        <f>_xlfn.XLOOKUP(A51,'Summer data team '!B:B,'Summer data team '!BW:BW,0)</f>
        <v>0</v>
      </c>
      <c r="BT51" s="381">
        <f t="shared" si="8"/>
        <v>0</v>
      </c>
      <c r="BU51" s="381">
        <f t="shared" si="9"/>
        <v>0</v>
      </c>
    </row>
    <row r="52" spans="1:73" ht="13" hidden="1" x14ac:dyDescent="0.3">
      <c r="A52" s="364">
        <v>3302062</v>
      </c>
      <c r="B52" s="364" t="s">
        <v>31</v>
      </c>
      <c r="C52" s="365">
        <v>0</v>
      </c>
      <c r="D52" s="365">
        <v>0</v>
      </c>
      <c r="E52" s="365">
        <v>0</v>
      </c>
      <c r="F52" s="365">
        <v>17</v>
      </c>
      <c r="G52" s="365">
        <v>21</v>
      </c>
      <c r="H52" s="377">
        <v>0</v>
      </c>
      <c r="I52" s="377">
        <v>38</v>
      </c>
      <c r="J52" s="365">
        <v>0</v>
      </c>
      <c r="K52" s="365">
        <v>0</v>
      </c>
      <c r="L52" s="377">
        <v>0</v>
      </c>
      <c r="M52" s="365">
        <v>0</v>
      </c>
      <c r="N52" s="365">
        <v>0</v>
      </c>
      <c r="O52" s="365">
        <v>255</v>
      </c>
      <c r="P52" s="365">
        <v>315</v>
      </c>
      <c r="Q52" s="377">
        <v>570</v>
      </c>
      <c r="R52" s="365">
        <v>0</v>
      </c>
      <c r="S52" s="365">
        <v>0</v>
      </c>
      <c r="T52" s="365">
        <v>0</v>
      </c>
      <c r="U52" s="365">
        <v>0</v>
      </c>
      <c r="V52" s="377">
        <v>0</v>
      </c>
      <c r="W52" s="365">
        <v>9</v>
      </c>
      <c r="X52" s="365">
        <v>135</v>
      </c>
      <c r="Y52" s="378">
        <v>0</v>
      </c>
      <c r="Z52" s="365">
        <v>9</v>
      </c>
      <c r="AA52" s="365">
        <v>135</v>
      </c>
      <c r="AB52" s="378">
        <v>0</v>
      </c>
      <c r="AC52" s="365">
        <v>7</v>
      </c>
      <c r="AD52" s="365">
        <v>105</v>
      </c>
      <c r="AE52" s="378">
        <v>0</v>
      </c>
      <c r="AF52" s="379">
        <v>0</v>
      </c>
      <c r="AG52" s="379">
        <v>0</v>
      </c>
      <c r="AH52" s="378">
        <v>0</v>
      </c>
      <c r="AI52" s="379">
        <v>15</v>
      </c>
      <c r="AJ52" s="379">
        <v>225</v>
      </c>
      <c r="AK52" s="378">
        <v>0</v>
      </c>
      <c r="AL52" s="365">
        <v>15</v>
      </c>
      <c r="AM52" s="365">
        <v>225</v>
      </c>
      <c r="AN52" s="378">
        <v>0</v>
      </c>
      <c r="AO52" s="378"/>
      <c r="AP52" s="378">
        <f t="shared" si="4"/>
        <v>15</v>
      </c>
      <c r="AQ52" s="465">
        <v>0</v>
      </c>
      <c r="AR52" s="379">
        <v>0</v>
      </c>
      <c r="AS52" s="378">
        <v>0</v>
      </c>
      <c r="AT52" s="466">
        <v>0</v>
      </c>
      <c r="AU52" s="466">
        <v>0</v>
      </c>
      <c r="AV52" s="379">
        <v>0</v>
      </c>
      <c r="AW52" s="379">
        <v>0</v>
      </c>
      <c r="AX52" s="378">
        <v>0</v>
      </c>
      <c r="AY52" s="365">
        <v>0</v>
      </c>
      <c r="AZ52" s="365">
        <v>0</v>
      </c>
      <c r="BA52" s="378">
        <v>0</v>
      </c>
      <c r="BB52" s="378"/>
      <c r="BC52" s="378">
        <f t="shared" si="5"/>
        <v>0</v>
      </c>
      <c r="BD52" s="379">
        <v>0</v>
      </c>
      <c r="BE52" s="379">
        <v>0</v>
      </c>
      <c r="BF52" s="365">
        <v>0</v>
      </c>
      <c r="BO52" s="381">
        <f t="shared" si="6"/>
        <v>0</v>
      </c>
      <c r="BP52" s="381">
        <f t="shared" si="7"/>
        <v>0</v>
      </c>
      <c r="BQ52" s="381"/>
      <c r="BR52" s="381">
        <f>_xlfn.XLOOKUP(A52,'Summer data team '!B:B,'Summer data team '!BV:BV,0)</f>
        <v>0</v>
      </c>
      <c r="BS52" s="381">
        <f>_xlfn.XLOOKUP(A52,'Summer data team '!B:B,'Summer data team '!BW:BW,0)</f>
        <v>0</v>
      </c>
      <c r="BT52" s="381">
        <f t="shared" si="8"/>
        <v>0</v>
      </c>
      <c r="BU52" s="381">
        <f t="shared" si="9"/>
        <v>0</v>
      </c>
    </row>
    <row r="53" spans="1:73" ht="13" hidden="1" x14ac:dyDescent="0.3">
      <c r="A53" s="364">
        <v>3302063</v>
      </c>
      <c r="B53" s="364" t="s">
        <v>127</v>
      </c>
      <c r="C53" s="365">
        <v>0</v>
      </c>
      <c r="D53" s="365">
        <v>0</v>
      </c>
      <c r="E53" s="365">
        <v>0</v>
      </c>
      <c r="F53" s="365">
        <v>7</v>
      </c>
      <c r="G53" s="365">
        <v>20</v>
      </c>
      <c r="H53" s="377">
        <v>0</v>
      </c>
      <c r="I53" s="377">
        <v>27</v>
      </c>
      <c r="J53" s="365">
        <v>0</v>
      </c>
      <c r="K53" s="365">
        <v>0</v>
      </c>
      <c r="L53" s="377">
        <v>0</v>
      </c>
      <c r="M53" s="365">
        <v>0</v>
      </c>
      <c r="N53" s="365">
        <v>0</v>
      </c>
      <c r="O53" s="365">
        <v>105</v>
      </c>
      <c r="P53" s="365">
        <v>300</v>
      </c>
      <c r="Q53" s="377">
        <v>405</v>
      </c>
      <c r="R53" s="365">
        <v>0</v>
      </c>
      <c r="S53" s="365">
        <v>0</v>
      </c>
      <c r="T53" s="365">
        <v>0</v>
      </c>
      <c r="U53" s="365">
        <v>0</v>
      </c>
      <c r="V53" s="377">
        <v>0</v>
      </c>
      <c r="W53" s="365">
        <v>13</v>
      </c>
      <c r="X53" s="365">
        <v>195</v>
      </c>
      <c r="Y53" s="378">
        <v>0</v>
      </c>
      <c r="Z53" s="365">
        <v>0</v>
      </c>
      <c r="AA53" s="365">
        <v>0</v>
      </c>
      <c r="AB53" s="378">
        <v>0</v>
      </c>
      <c r="AC53" s="365">
        <v>14</v>
      </c>
      <c r="AD53" s="365">
        <v>210</v>
      </c>
      <c r="AE53" s="378">
        <v>0</v>
      </c>
      <c r="AF53" s="379">
        <v>0</v>
      </c>
      <c r="AG53" s="379">
        <v>0</v>
      </c>
      <c r="AH53" s="378">
        <v>0</v>
      </c>
      <c r="AI53" s="379">
        <v>20</v>
      </c>
      <c r="AJ53" s="379">
        <v>300</v>
      </c>
      <c r="AK53" s="378">
        <v>0</v>
      </c>
      <c r="AL53" s="365">
        <v>20</v>
      </c>
      <c r="AM53" s="365">
        <v>300</v>
      </c>
      <c r="AN53" s="378">
        <v>0</v>
      </c>
      <c r="AO53" s="378"/>
      <c r="AP53" s="378">
        <f t="shared" si="4"/>
        <v>20</v>
      </c>
      <c r="AQ53" s="465">
        <v>0</v>
      </c>
      <c r="AR53" s="379">
        <v>0</v>
      </c>
      <c r="AS53" s="378">
        <v>0</v>
      </c>
      <c r="AT53" s="466">
        <v>0</v>
      </c>
      <c r="AU53" s="466">
        <v>0</v>
      </c>
      <c r="AV53" s="379">
        <v>0</v>
      </c>
      <c r="AW53" s="379">
        <v>0</v>
      </c>
      <c r="AX53" s="378">
        <v>0</v>
      </c>
      <c r="AY53" s="365">
        <v>0</v>
      </c>
      <c r="AZ53" s="365">
        <v>0</v>
      </c>
      <c r="BA53" s="378">
        <v>0</v>
      </c>
      <c r="BB53" s="378"/>
      <c r="BC53" s="378">
        <f t="shared" si="5"/>
        <v>0</v>
      </c>
      <c r="BD53" s="379">
        <v>0</v>
      </c>
      <c r="BE53" s="379">
        <v>0</v>
      </c>
      <c r="BF53" s="365">
        <v>0</v>
      </c>
      <c r="BO53" s="381">
        <f t="shared" si="6"/>
        <v>0</v>
      </c>
      <c r="BP53" s="381">
        <f t="shared" si="7"/>
        <v>0</v>
      </c>
      <c r="BQ53" s="381"/>
      <c r="BR53" s="381">
        <f>_xlfn.XLOOKUP(A53,'Summer data team '!B:B,'Summer data team '!BV:BV,0)</f>
        <v>0</v>
      </c>
      <c r="BS53" s="381">
        <f>_xlfn.XLOOKUP(A53,'Summer data team '!B:B,'Summer data team '!BW:BW,0)</f>
        <v>0</v>
      </c>
      <c r="BT53" s="381">
        <f t="shared" si="8"/>
        <v>0</v>
      </c>
      <c r="BU53" s="381">
        <f t="shared" si="9"/>
        <v>0</v>
      </c>
    </row>
    <row r="54" spans="1:73" ht="13" hidden="1" x14ac:dyDescent="0.3">
      <c r="A54" s="364">
        <v>3302064</v>
      </c>
      <c r="B54" s="364" t="s">
        <v>848</v>
      </c>
      <c r="C54" s="365">
        <v>0</v>
      </c>
      <c r="D54" s="365">
        <v>0</v>
      </c>
      <c r="E54" s="365">
        <v>0</v>
      </c>
      <c r="F54" s="365">
        <v>5</v>
      </c>
      <c r="G54" s="365">
        <v>19</v>
      </c>
      <c r="H54" s="377">
        <v>0</v>
      </c>
      <c r="I54" s="377">
        <v>24</v>
      </c>
      <c r="J54" s="365">
        <v>0</v>
      </c>
      <c r="K54" s="365">
        <v>0</v>
      </c>
      <c r="L54" s="377">
        <v>0</v>
      </c>
      <c r="M54" s="365">
        <v>0</v>
      </c>
      <c r="N54" s="365">
        <v>0</v>
      </c>
      <c r="O54" s="365">
        <v>75</v>
      </c>
      <c r="P54" s="365">
        <v>285</v>
      </c>
      <c r="Q54" s="377">
        <v>360</v>
      </c>
      <c r="R54" s="365">
        <v>0</v>
      </c>
      <c r="S54" s="365">
        <v>0</v>
      </c>
      <c r="T54" s="365">
        <v>0</v>
      </c>
      <c r="U54" s="365">
        <v>0</v>
      </c>
      <c r="V54" s="377">
        <v>0</v>
      </c>
      <c r="W54" s="365">
        <v>1</v>
      </c>
      <c r="X54" s="365">
        <v>15</v>
      </c>
      <c r="Y54" s="378">
        <v>0</v>
      </c>
      <c r="Z54" s="365">
        <v>17</v>
      </c>
      <c r="AA54" s="365">
        <v>255</v>
      </c>
      <c r="AB54" s="378">
        <v>0</v>
      </c>
      <c r="AC54" s="365">
        <v>1</v>
      </c>
      <c r="AD54" s="365">
        <v>15</v>
      </c>
      <c r="AE54" s="378">
        <v>0</v>
      </c>
      <c r="AF54" s="379">
        <v>0</v>
      </c>
      <c r="AG54" s="379">
        <v>0</v>
      </c>
      <c r="AH54" s="378">
        <v>0</v>
      </c>
      <c r="AI54" s="379">
        <v>11</v>
      </c>
      <c r="AJ54" s="379">
        <v>165</v>
      </c>
      <c r="AK54" s="378">
        <v>0</v>
      </c>
      <c r="AL54" s="365">
        <v>11</v>
      </c>
      <c r="AM54" s="365">
        <v>165</v>
      </c>
      <c r="AN54" s="378">
        <v>0</v>
      </c>
      <c r="AO54" s="378"/>
      <c r="AP54" s="378">
        <f t="shared" si="4"/>
        <v>11</v>
      </c>
      <c r="AQ54" s="465">
        <v>0</v>
      </c>
      <c r="AR54" s="379">
        <v>0</v>
      </c>
      <c r="AS54" s="378">
        <v>0</v>
      </c>
      <c r="AT54" s="466">
        <v>11</v>
      </c>
      <c r="AU54" s="466">
        <v>0</v>
      </c>
      <c r="AV54" s="379">
        <v>11</v>
      </c>
      <c r="AW54" s="379">
        <v>165</v>
      </c>
      <c r="AX54" s="378">
        <v>0</v>
      </c>
      <c r="AY54" s="365">
        <v>11</v>
      </c>
      <c r="AZ54" s="365">
        <v>165</v>
      </c>
      <c r="BA54" s="378">
        <v>0</v>
      </c>
      <c r="BB54" s="378"/>
      <c r="BC54" s="378">
        <f t="shared" si="5"/>
        <v>11</v>
      </c>
      <c r="BD54" s="379">
        <v>0</v>
      </c>
      <c r="BE54" s="379">
        <v>0</v>
      </c>
      <c r="BF54" s="365">
        <v>0</v>
      </c>
      <c r="BO54" s="381">
        <f t="shared" si="6"/>
        <v>11</v>
      </c>
      <c r="BP54" s="381">
        <f t="shared" si="7"/>
        <v>0</v>
      </c>
      <c r="BQ54" s="381"/>
      <c r="BR54" s="381">
        <f>_xlfn.XLOOKUP(A54,'Summer data team '!B:B,'Summer data team '!BV:BV,0)</f>
        <v>11</v>
      </c>
      <c r="BS54" s="381">
        <f>_xlfn.XLOOKUP(A54,'Summer data team '!B:B,'Summer data team '!BW:BW,0)</f>
        <v>0</v>
      </c>
      <c r="BT54" s="381">
        <f t="shared" si="8"/>
        <v>0</v>
      </c>
      <c r="BU54" s="381">
        <f t="shared" si="9"/>
        <v>0</v>
      </c>
    </row>
    <row r="55" spans="1:73" ht="13" hidden="1" x14ac:dyDescent="0.3">
      <c r="A55" s="364">
        <v>3302065</v>
      </c>
      <c r="B55" s="364" t="s">
        <v>268</v>
      </c>
      <c r="C55" s="365">
        <v>0</v>
      </c>
      <c r="D55" s="365">
        <v>0</v>
      </c>
      <c r="E55" s="365">
        <v>0</v>
      </c>
      <c r="F55" s="365">
        <v>14</v>
      </c>
      <c r="G55" s="365">
        <v>22</v>
      </c>
      <c r="H55" s="377">
        <v>0</v>
      </c>
      <c r="I55" s="377">
        <v>36</v>
      </c>
      <c r="J55" s="365">
        <v>0</v>
      </c>
      <c r="K55" s="365">
        <v>0</v>
      </c>
      <c r="L55" s="377">
        <v>0</v>
      </c>
      <c r="M55" s="365">
        <v>0</v>
      </c>
      <c r="N55" s="365">
        <v>0</v>
      </c>
      <c r="O55" s="365">
        <v>210</v>
      </c>
      <c r="P55" s="365">
        <v>330</v>
      </c>
      <c r="Q55" s="377">
        <v>540</v>
      </c>
      <c r="R55" s="365">
        <v>0</v>
      </c>
      <c r="S55" s="365">
        <v>0</v>
      </c>
      <c r="T55" s="365">
        <v>0</v>
      </c>
      <c r="U55" s="365">
        <v>0</v>
      </c>
      <c r="V55" s="377">
        <v>0</v>
      </c>
      <c r="W55" s="365">
        <v>0</v>
      </c>
      <c r="X55" s="365">
        <v>0</v>
      </c>
      <c r="Y55" s="378">
        <v>0</v>
      </c>
      <c r="Z55" s="365">
        <v>1</v>
      </c>
      <c r="AA55" s="365">
        <v>15</v>
      </c>
      <c r="AB55" s="378">
        <v>0</v>
      </c>
      <c r="AC55" s="365">
        <v>3</v>
      </c>
      <c r="AD55" s="365">
        <v>45</v>
      </c>
      <c r="AE55" s="378">
        <v>0</v>
      </c>
      <c r="AF55" s="379">
        <v>0</v>
      </c>
      <c r="AG55" s="379">
        <v>0</v>
      </c>
      <c r="AH55" s="378">
        <v>0</v>
      </c>
      <c r="AI55" s="379">
        <v>7</v>
      </c>
      <c r="AJ55" s="379">
        <v>105</v>
      </c>
      <c r="AK55" s="378">
        <v>0</v>
      </c>
      <c r="AL55" s="365">
        <v>7</v>
      </c>
      <c r="AM55" s="365">
        <v>105</v>
      </c>
      <c r="AN55" s="378">
        <v>0</v>
      </c>
      <c r="AO55" s="378"/>
      <c r="AP55" s="378">
        <f t="shared" si="4"/>
        <v>7</v>
      </c>
      <c r="AQ55" s="465">
        <v>0</v>
      </c>
      <c r="AR55" s="379">
        <v>0</v>
      </c>
      <c r="AS55" s="378">
        <v>0</v>
      </c>
      <c r="AT55" s="466">
        <v>7</v>
      </c>
      <c r="AU55" s="466">
        <v>0</v>
      </c>
      <c r="AV55" s="379">
        <v>7</v>
      </c>
      <c r="AW55" s="379">
        <v>105</v>
      </c>
      <c r="AX55" s="378">
        <v>0</v>
      </c>
      <c r="AY55" s="365">
        <v>7</v>
      </c>
      <c r="AZ55" s="365">
        <v>105</v>
      </c>
      <c r="BA55" s="378">
        <v>0</v>
      </c>
      <c r="BB55" s="378"/>
      <c r="BC55" s="378">
        <f t="shared" si="5"/>
        <v>7</v>
      </c>
      <c r="BD55" s="379">
        <v>0</v>
      </c>
      <c r="BE55" s="379">
        <v>0</v>
      </c>
      <c r="BF55" s="365">
        <v>0</v>
      </c>
      <c r="BO55" s="381">
        <f t="shared" si="6"/>
        <v>7</v>
      </c>
      <c r="BP55" s="381">
        <f t="shared" si="7"/>
        <v>0</v>
      </c>
      <c r="BQ55" s="381"/>
      <c r="BR55" s="381">
        <f>_xlfn.XLOOKUP(A55,'Summer data team '!B:B,'Summer data team '!BV:BV,0)</f>
        <v>7</v>
      </c>
      <c r="BS55" s="381">
        <f>_xlfn.XLOOKUP(A55,'Summer data team '!B:B,'Summer data team '!BW:BW,0)</f>
        <v>0</v>
      </c>
      <c r="BT55" s="381">
        <f t="shared" si="8"/>
        <v>0</v>
      </c>
      <c r="BU55" s="381">
        <f t="shared" si="9"/>
        <v>0</v>
      </c>
    </row>
    <row r="56" spans="1:73" ht="13" hidden="1" x14ac:dyDescent="0.3">
      <c r="A56" s="364">
        <v>3302068</v>
      </c>
      <c r="B56" s="364" t="s">
        <v>849</v>
      </c>
      <c r="C56" s="365">
        <v>0</v>
      </c>
      <c r="D56" s="365">
        <v>0</v>
      </c>
      <c r="E56" s="365">
        <v>0</v>
      </c>
      <c r="F56" s="365">
        <v>9</v>
      </c>
      <c r="G56" s="365">
        <v>19</v>
      </c>
      <c r="H56" s="377">
        <v>0</v>
      </c>
      <c r="I56" s="377">
        <v>28</v>
      </c>
      <c r="J56" s="365">
        <v>2</v>
      </c>
      <c r="K56" s="365">
        <v>5</v>
      </c>
      <c r="L56" s="377">
        <v>7</v>
      </c>
      <c r="M56" s="365">
        <v>0</v>
      </c>
      <c r="N56" s="365">
        <v>0</v>
      </c>
      <c r="O56" s="365">
        <v>135</v>
      </c>
      <c r="P56" s="365">
        <v>285</v>
      </c>
      <c r="Q56" s="377">
        <v>420</v>
      </c>
      <c r="R56" s="365">
        <v>0</v>
      </c>
      <c r="S56" s="365">
        <v>0</v>
      </c>
      <c r="T56" s="365">
        <v>30</v>
      </c>
      <c r="U56" s="365">
        <v>75</v>
      </c>
      <c r="V56" s="377">
        <v>105</v>
      </c>
      <c r="W56" s="365">
        <v>7</v>
      </c>
      <c r="X56" s="365">
        <v>105</v>
      </c>
      <c r="Y56" s="378">
        <v>0</v>
      </c>
      <c r="Z56" s="365">
        <v>16</v>
      </c>
      <c r="AA56" s="365">
        <v>240</v>
      </c>
      <c r="AB56" s="378">
        <v>75</v>
      </c>
      <c r="AC56" s="365">
        <v>2</v>
      </c>
      <c r="AD56" s="365">
        <v>30</v>
      </c>
      <c r="AE56" s="378">
        <v>0</v>
      </c>
      <c r="AF56" s="379">
        <v>0</v>
      </c>
      <c r="AG56" s="379">
        <v>0</v>
      </c>
      <c r="AH56" s="378">
        <v>0</v>
      </c>
      <c r="AI56" s="379">
        <v>10</v>
      </c>
      <c r="AJ56" s="379">
        <v>150</v>
      </c>
      <c r="AK56" s="378">
        <v>15</v>
      </c>
      <c r="AL56" s="365">
        <v>10</v>
      </c>
      <c r="AM56" s="365">
        <v>150</v>
      </c>
      <c r="AN56" s="378">
        <v>15</v>
      </c>
      <c r="AO56" s="378"/>
      <c r="AP56" s="378">
        <f t="shared" si="4"/>
        <v>10</v>
      </c>
      <c r="AQ56" s="465">
        <v>0</v>
      </c>
      <c r="AR56" s="379">
        <v>0</v>
      </c>
      <c r="AS56" s="378">
        <v>0</v>
      </c>
      <c r="AT56" s="466">
        <v>9</v>
      </c>
      <c r="AU56" s="466">
        <v>1</v>
      </c>
      <c r="AV56" s="379">
        <v>10</v>
      </c>
      <c r="AW56" s="379">
        <v>150</v>
      </c>
      <c r="AX56" s="378">
        <v>15</v>
      </c>
      <c r="AY56" s="365">
        <v>10</v>
      </c>
      <c r="AZ56" s="365">
        <v>150</v>
      </c>
      <c r="BA56" s="378">
        <v>15</v>
      </c>
      <c r="BB56" s="378"/>
      <c r="BC56" s="378">
        <f t="shared" si="5"/>
        <v>10</v>
      </c>
      <c r="BD56" s="379">
        <v>0</v>
      </c>
      <c r="BE56" s="379">
        <v>1</v>
      </c>
      <c r="BF56" s="365">
        <v>1</v>
      </c>
      <c r="BO56" s="381">
        <f t="shared" si="6"/>
        <v>9</v>
      </c>
      <c r="BP56" s="381">
        <f t="shared" si="7"/>
        <v>1</v>
      </c>
      <c r="BQ56" s="381"/>
      <c r="BR56" s="381">
        <f>_xlfn.XLOOKUP(A56,'Summer data team '!B:B,'Summer data team '!BV:BV,0)</f>
        <v>9</v>
      </c>
      <c r="BS56" s="381">
        <f>_xlfn.XLOOKUP(A56,'Summer data team '!B:B,'Summer data team '!BW:BW,0)</f>
        <v>1</v>
      </c>
      <c r="BT56" s="381">
        <f t="shared" si="8"/>
        <v>0</v>
      </c>
      <c r="BU56" s="381">
        <f t="shared" si="9"/>
        <v>0</v>
      </c>
    </row>
    <row r="57" spans="1:73" ht="13" hidden="1" x14ac:dyDescent="0.3">
      <c r="A57" s="364">
        <v>3302070</v>
      </c>
      <c r="B57" s="364" t="s">
        <v>271</v>
      </c>
      <c r="C57" s="365">
        <v>0</v>
      </c>
      <c r="D57" s="365">
        <v>0</v>
      </c>
      <c r="E57" s="365">
        <v>0</v>
      </c>
      <c r="F57" s="365">
        <v>15</v>
      </c>
      <c r="G57" s="365">
        <v>7</v>
      </c>
      <c r="H57" s="377">
        <v>0</v>
      </c>
      <c r="I57" s="377">
        <v>22</v>
      </c>
      <c r="J57" s="365">
        <v>0</v>
      </c>
      <c r="K57" s="365">
        <v>0</v>
      </c>
      <c r="L57" s="377">
        <v>0</v>
      </c>
      <c r="M57" s="365">
        <v>0</v>
      </c>
      <c r="N57" s="365">
        <v>0</v>
      </c>
      <c r="O57" s="365">
        <v>225</v>
      </c>
      <c r="P57" s="365">
        <v>105</v>
      </c>
      <c r="Q57" s="377">
        <v>330</v>
      </c>
      <c r="R57" s="365">
        <v>0</v>
      </c>
      <c r="S57" s="365">
        <v>0</v>
      </c>
      <c r="T57" s="365">
        <v>0</v>
      </c>
      <c r="U57" s="365">
        <v>0</v>
      </c>
      <c r="V57" s="377">
        <v>0</v>
      </c>
      <c r="W57" s="365">
        <v>8</v>
      </c>
      <c r="X57" s="365">
        <v>120</v>
      </c>
      <c r="Y57" s="378">
        <v>0</v>
      </c>
      <c r="Z57" s="365">
        <v>7</v>
      </c>
      <c r="AA57" s="365">
        <v>105</v>
      </c>
      <c r="AB57" s="378">
        <v>0</v>
      </c>
      <c r="AC57" s="365">
        <v>7</v>
      </c>
      <c r="AD57" s="365">
        <v>105</v>
      </c>
      <c r="AE57" s="378">
        <v>0</v>
      </c>
      <c r="AF57" s="379">
        <v>0</v>
      </c>
      <c r="AG57" s="379">
        <v>0</v>
      </c>
      <c r="AH57" s="378">
        <v>0</v>
      </c>
      <c r="AI57" s="379">
        <v>9</v>
      </c>
      <c r="AJ57" s="379">
        <v>135</v>
      </c>
      <c r="AK57" s="378">
        <v>0</v>
      </c>
      <c r="AL57" s="365">
        <v>9</v>
      </c>
      <c r="AM57" s="365">
        <v>135</v>
      </c>
      <c r="AN57" s="378">
        <v>0</v>
      </c>
      <c r="AO57" s="378"/>
      <c r="AP57" s="378">
        <f t="shared" si="4"/>
        <v>9</v>
      </c>
      <c r="AQ57" s="465">
        <v>0</v>
      </c>
      <c r="AR57" s="379">
        <v>0</v>
      </c>
      <c r="AS57" s="378">
        <v>0</v>
      </c>
      <c r="AT57" s="466">
        <v>9</v>
      </c>
      <c r="AU57" s="466">
        <v>0</v>
      </c>
      <c r="AV57" s="379">
        <v>9</v>
      </c>
      <c r="AW57" s="379">
        <v>135</v>
      </c>
      <c r="AX57" s="378">
        <v>0</v>
      </c>
      <c r="AY57" s="365">
        <v>9</v>
      </c>
      <c r="AZ57" s="365">
        <v>135</v>
      </c>
      <c r="BA57" s="378">
        <v>0</v>
      </c>
      <c r="BB57" s="378"/>
      <c r="BC57" s="378">
        <f t="shared" si="5"/>
        <v>9</v>
      </c>
      <c r="BD57" s="379">
        <v>0</v>
      </c>
      <c r="BE57" s="379">
        <v>0</v>
      </c>
      <c r="BF57" s="365">
        <v>0</v>
      </c>
      <c r="BO57" s="381">
        <f t="shared" si="6"/>
        <v>9</v>
      </c>
      <c r="BP57" s="381">
        <f t="shared" si="7"/>
        <v>0</v>
      </c>
      <c r="BQ57" s="381"/>
      <c r="BR57" s="381">
        <f>_xlfn.XLOOKUP(A57,'Summer data team '!B:B,'Summer data team '!BV:BV,0)</f>
        <v>9</v>
      </c>
      <c r="BS57" s="381">
        <f>_xlfn.XLOOKUP(A57,'Summer data team '!B:B,'Summer data team '!BW:BW,0)</f>
        <v>0</v>
      </c>
      <c r="BT57" s="381">
        <f t="shared" si="8"/>
        <v>0</v>
      </c>
      <c r="BU57" s="381">
        <f t="shared" si="9"/>
        <v>0</v>
      </c>
    </row>
    <row r="58" spans="1:73" ht="13" hidden="1" x14ac:dyDescent="0.3">
      <c r="A58" s="364">
        <v>3302072</v>
      </c>
      <c r="B58" s="364" t="s">
        <v>272</v>
      </c>
      <c r="C58" s="365">
        <v>0</v>
      </c>
      <c r="D58" s="365">
        <v>0</v>
      </c>
      <c r="E58" s="365">
        <v>0</v>
      </c>
      <c r="F58" s="365">
        <v>22</v>
      </c>
      <c r="G58" s="365">
        <v>31</v>
      </c>
      <c r="H58" s="377">
        <v>0</v>
      </c>
      <c r="I58" s="377">
        <v>53</v>
      </c>
      <c r="J58" s="365">
        <v>5</v>
      </c>
      <c r="K58" s="365">
        <v>7</v>
      </c>
      <c r="L58" s="377">
        <v>12</v>
      </c>
      <c r="M58" s="365">
        <v>0</v>
      </c>
      <c r="N58" s="365">
        <v>0</v>
      </c>
      <c r="O58" s="365">
        <v>330</v>
      </c>
      <c r="P58" s="365">
        <v>465</v>
      </c>
      <c r="Q58" s="377">
        <v>795</v>
      </c>
      <c r="R58" s="365">
        <v>0</v>
      </c>
      <c r="S58" s="365">
        <v>0</v>
      </c>
      <c r="T58" s="365">
        <v>75</v>
      </c>
      <c r="U58" s="365">
        <v>105</v>
      </c>
      <c r="V58" s="377">
        <v>180</v>
      </c>
      <c r="W58" s="365">
        <v>12</v>
      </c>
      <c r="X58" s="365">
        <v>180</v>
      </c>
      <c r="Y58" s="378">
        <v>15</v>
      </c>
      <c r="Z58" s="365">
        <v>11</v>
      </c>
      <c r="AA58" s="365">
        <v>165</v>
      </c>
      <c r="AB58" s="378">
        <v>45</v>
      </c>
      <c r="AC58" s="365">
        <v>14</v>
      </c>
      <c r="AD58" s="365">
        <v>210</v>
      </c>
      <c r="AE58" s="378">
        <v>45</v>
      </c>
      <c r="AF58" s="379">
        <v>0</v>
      </c>
      <c r="AG58" s="379">
        <v>0</v>
      </c>
      <c r="AH58" s="378">
        <v>0</v>
      </c>
      <c r="AI58" s="379">
        <v>21</v>
      </c>
      <c r="AJ58" s="379">
        <v>315</v>
      </c>
      <c r="AK58" s="378">
        <v>45</v>
      </c>
      <c r="AL58" s="365">
        <v>21</v>
      </c>
      <c r="AM58" s="365">
        <v>315</v>
      </c>
      <c r="AN58" s="378">
        <v>45</v>
      </c>
      <c r="AO58" s="378"/>
      <c r="AP58" s="378">
        <f t="shared" si="4"/>
        <v>21</v>
      </c>
      <c r="AQ58" s="465">
        <v>0</v>
      </c>
      <c r="AR58" s="379">
        <v>0</v>
      </c>
      <c r="AS58" s="378">
        <v>0</v>
      </c>
      <c r="AT58" s="466">
        <v>17</v>
      </c>
      <c r="AU58" s="466">
        <v>3</v>
      </c>
      <c r="AV58" s="379">
        <v>20</v>
      </c>
      <c r="AW58" s="379">
        <v>300</v>
      </c>
      <c r="AX58" s="378">
        <v>45</v>
      </c>
      <c r="AY58" s="365">
        <v>20</v>
      </c>
      <c r="AZ58" s="365">
        <v>300</v>
      </c>
      <c r="BA58" s="378">
        <v>45</v>
      </c>
      <c r="BB58" s="378"/>
      <c r="BC58" s="378">
        <f t="shared" si="5"/>
        <v>20</v>
      </c>
      <c r="BD58" s="379">
        <v>0</v>
      </c>
      <c r="BE58" s="379">
        <v>0</v>
      </c>
      <c r="BF58" s="365">
        <v>0</v>
      </c>
      <c r="BO58" s="381">
        <f t="shared" si="6"/>
        <v>17</v>
      </c>
      <c r="BP58" s="381">
        <f t="shared" si="7"/>
        <v>3</v>
      </c>
      <c r="BQ58" s="381"/>
      <c r="BR58" s="381">
        <f>_xlfn.XLOOKUP(A58,'Summer data team '!B:B,'Summer data team '!BV:BV,0)</f>
        <v>17</v>
      </c>
      <c r="BS58" s="381">
        <f>_xlfn.XLOOKUP(A58,'Summer data team '!B:B,'Summer data team '!BW:BW,0)</f>
        <v>3</v>
      </c>
      <c r="BT58" s="381">
        <f t="shared" si="8"/>
        <v>0</v>
      </c>
      <c r="BU58" s="381">
        <f t="shared" si="9"/>
        <v>0</v>
      </c>
    </row>
    <row r="59" spans="1:73" ht="13" hidden="1" x14ac:dyDescent="0.3">
      <c r="A59" s="364">
        <v>3302073</v>
      </c>
      <c r="B59" s="364" t="s">
        <v>273</v>
      </c>
      <c r="C59" s="365">
        <v>0</v>
      </c>
      <c r="D59" s="365">
        <v>0</v>
      </c>
      <c r="E59" s="365">
        <v>0</v>
      </c>
      <c r="F59" s="365">
        <v>21</v>
      </c>
      <c r="G59" s="365">
        <v>26</v>
      </c>
      <c r="H59" s="377">
        <v>0</v>
      </c>
      <c r="I59" s="377">
        <v>47</v>
      </c>
      <c r="J59" s="365">
        <v>5</v>
      </c>
      <c r="K59" s="365">
        <v>7</v>
      </c>
      <c r="L59" s="377">
        <v>12</v>
      </c>
      <c r="M59" s="365">
        <v>0</v>
      </c>
      <c r="N59" s="365">
        <v>0</v>
      </c>
      <c r="O59" s="365">
        <v>315</v>
      </c>
      <c r="P59" s="365">
        <v>390</v>
      </c>
      <c r="Q59" s="377">
        <v>705</v>
      </c>
      <c r="R59" s="365">
        <v>0</v>
      </c>
      <c r="S59" s="365">
        <v>0</v>
      </c>
      <c r="T59" s="365">
        <v>75</v>
      </c>
      <c r="U59" s="365">
        <v>105</v>
      </c>
      <c r="V59" s="377">
        <v>180</v>
      </c>
      <c r="W59" s="365">
        <v>27</v>
      </c>
      <c r="X59" s="365">
        <v>405</v>
      </c>
      <c r="Y59" s="378">
        <v>90</v>
      </c>
      <c r="Z59" s="365">
        <v>11</v>
      </c>
      <c r="AA59" s="365">
        <v>165</v>
      </c>
      <c r="AB59" s="378">
        <v>45</v>
      </c>
      <c r="AC59" s="365">
        <v>1</v>
      </c>
      <c r="AD59" s="365">
        <v>15</v>
      </c>
      <c r="AE59" s="378">
        <v>0</v>
      </c>
      <c r="AF59" s="379">
        <v>0</v>
      </c>
      <c r="AG59" s="379">
        <v>0</v>
      </c>
      <c r="AH59" s="378">
        <v>0</v>
      </c>
      <c r="AI59" s="379">
        <v>25</v>
      </c>
      <c r="AJ59" s="379">
        <v>375</v>
      </c>
      <c r="AK59" s="378">
        <v>75</v>
      </c>
      <c r="AL59" s="365">
        <v>25</v>
      </c>
      <c r="AM59" s="365">
        <v>375</v>
      </c>
      <c r="AN59" s="378">
        <v>75</v>
      </c>
      <c r="AO59" s="378"/>
      <c r="AP59" s="378">
        <f t="shared" si="4"/>
        <v>25</v>
      </c>
      <c r="AQ59" s="465">
        <v>0</v>
      </c>
      <c r="AR59" s="379">
        <v>0</v>
      </c>
      <c r="AS59" s="378">
        <v>0</v>
      </c>
      <c r="AT59" s="466">
        <v>20</v>
      </c>
      <c r="AU59" s="466">
        <v>4</v>
      </c>
      <c r="AV59" s="379">
        <v>24</v>
      </c>
      <c r="AW59" s="379">
        <v>360</v>
      </c>
      <c r="AX59" s="378">
        <v>60</v>
      </c>
      <c r="AY59" s="365">
        <v>24</v>
      </c>
      <c r="AZ59" s="365">
        <v>360</v>
      </c>
      <c r="BA59" s="378">
        <v>60</v>
      </c>
      <c r="BB59" s="378"/>
      <c r="BC59" s="378">
        <f t="shared" si="5"/>
        <v>24</v>
      </c>
      <c r="BD59" s="379">
        <v>0</v>
      </c>
      <c r="BE59" s="379">
        <v>0</v>
      </c>
      <c r="BF59" s="365">
        <v>0</v>
      </c>
      <c r="BO59" s="381">
        <f t="shared" si="6"/>
        <v>20</v>
      </c>
      <c r="BP59" s="381">
        <f t="shared" si="7"/>
        <v>4</v>
      </c>
      <c r="BQ59" s="381"/>
      <c r="BR59" s="381">
        <f>_xlfn.XLOOKUP(A59,'Summer data team '!B:B,'Summer data team '!BV:BV,0)</f>
        <v>20</v>
      </c>
      <c r="BS59" s="381">
        <f>_xlfn.XLOOKUP(A59,'Summer data team '!B:B,'Summer data team '!BW:BW,0)</f>
        <v>4</v>
      </c>
      <c r="BT59" s="381">
        <f t="shared" si="8"/>
        <v>0</v>
      </c>
      <c r="BU59" s="381">
        <f t="shared" si="9"/>
        <v>0</v>
      </c>
    </row>
    <row r="60" spans="1:73" ht="13" hidden="1" x14ac:dyDescent="0.3">
      <c r="A60" s="364">
        <v>3302075</v>
      </c>
      <c r="B60" s="364" t="s">
        <v>274</v>
      </c>
      <c r="C60" s="365">
        <v>0</v>
      </c>
      <c r="D60" s="365">
        <v>0</v>
      </c>
      <c r="E60" s="365">
        <v>0</v>
      </c>
      <c r="F60" s="365">
        <v>7</v>
      </c>
      <c r="G60" s="365">
        <v>8</v>
      </c>
      <c r="H60" s="377">
        <v>0</v>
      </c>
      <c r="I60" s="377">
        <v>15</v>
      </c>
      <c r="J60" s="365">
        <v>0</v>
      </c>
      <c r="K60" s="365">
        <v>0</v>
      </c>
      <c r="L60" s="377">
        <v>0</v>
      </c>
      <c r="M60" s="365">
        <v>0</v>
      </c>
      <c r="N60" s="365">
        <v>0</v>
      </c>
      <c r="O60" s="365">
        <v>105</v>
      </c>
      <c r="P60" s="365">
        <v>120</v>
      </c>
      <c r="Q60" s="377">
        <v>225</v>
      </c>
      <c r="R60" s="365">
        <v>0</v>
      </c>
      <c r="S60" s="365">
        <v>0</v>
      </c>
      <c r="T60" s="365">
        <v>0</v>
      </c>
      <c r="U60" s="365">
        <v>0</v>
      </c>
      <c r="V60" s="377">
        <v>0</v>
      </c>
      <c r="W60" s="365">
        <v>0</v>
      </c>
      <c r="X60" s="365">
        <v>0</v>
      </c>
      <c r="Y60" s="378">
        <v>0</v>
      </c>
      <c r="Z60" s="365">
        <v>10</v>
      </c>
      <c r="AA60" s="365">
        <v>150</v>
      </c>
      <c r="AB60" s="378">
        <v>0</v>
      </c>
      <c r="AC60" s="365">
        <v>5</v>
      </c>
      <c r="AD60" s="365">
        <v>75</v>
      </c>
      <c r="AE60" s="378">
        <v>0</v>
      </c>
      <c r="AF60" s="379">
        <v>0</v>
      </c>
      <c r="AG60" s="379">
        <v>0</v>
      </c>
      <c r="AH60" s="378">
        <v>0</v>
      </c>
      <c r="AI60" s="379">
        <v>0</v>
      </c>
      <c r="AJ60" s="379">
        <v>0</v>
      </c>
      <c r="AK60" s="378">
        <v>0</v>
      </c>
      <c r="AL60" s="365">
        <v>0</v>
      </c>
      <c r="AM60" s="365">
        <v>0</v>
      </c>
      <c r="AN60" s="378">
        <v>0</v>
      </c>
      <c r="AO60" s="378"/>
      <c r="AP60" s="378">
        <f t="shared" si="4"/>
        <v>0</v>
      </c>
      <c r="AQ60" s="465">
        <v>0</v>
      </c>
      <c r="AR60" s="379">
        <v>0</v>
      </c>
      <c r="AS60" s="378">
        <v>0</v>
      </c>
      <c r="AT60" s="466">
        <v>0</v>
      </c>
      <c r="AU60" s="466">
        <v>0</v>
      </c>
      <c r="AV60" s="379">
        <v>0</v>
      </c>
      <c r="AW60" s="379">
        <v>0</v>
      </c>
      <c r="AX60" s="378">
        <v>0</v>
      </c>
      <c r="AY60" s="365">
        <v>0</v>
      </c>
      <c r="AZ60" s="365">
        <v>0</v>
      </c>
      <c r="BA60" s="378">
        <v>0</v>
      </c>
      <c r="BB60" s="378"/>
      <c r="BC60" s="378">
        <f t="shared" si="5"/>
        <v>0</v>
      </c>
      <c r="BD60" s="379">
        <v>0</v>
      </c>
      <c r="BE60" s="379">
        <v>0</v>
      </c>
      <c r="BF60" s="365">
        <v>0</v>
      </c>
      <c r="BO60" s="381">
        <f t="shared" si="6"/>
        <v>0</v>
      </c>
      <c r="BP60" s="381">
        <f t="shared" si="7"/>
        <v>0</v>
      </c>
      <c r="BQ60" s="381"/>
      <c r="BR60" s="381">
        <f>_xlfn.XLOOKUP(A60,'Summer data team '!B:B,'Summer data team '!BV:BV,0)</f>
        <v>0</v>
      </c>
      <c r="BS60" s="381">
        <f>_xlfn.XLOOKUP(A60,'Summer data team '!B:B,'Summer data team '!BW:BW,0)</f>
        <v>0</v>
      </c>
      <c r="BT60" s="381">
        <f t="shared" si="8"/>
        <v>0</v>
      </c>
      <c r="BU60" s="381">
        <f t="shared" si="9"/>
        <v>0</v>
      </c>
    </row>
    <row r="61" spans="1:73" ht="13" hidden="1" x14ac:dyDescent="0.3">
      <c r="A61" s="364">
        <v>3302078</v>
      </c>
      <c r="B61" s="364" t="s">
        <v>275</v>
      </c>
      <c r="C61" s="365">
        <v>0</v>
      </c>
      <c r="D61" s="365">
        <v>0</v>
      </c>
      <c r="E61" s="365">
        <v>0</v>
      </c>
      <c r="F61" s="365">
        <v>13</v>
      </c>
      <c r="G61" s="365">
        <v>19</v>
      </c>
      <c r="H61" s="377">
        <v>0</v>
      </c>
      <c r="I61" s="377">
        <v>32</v>
      </c>
      <c r="J61" s="365">
        <v>4</v>
      </c>
      <c r="K61" s="365">
        <v>9</v>
      </c>
      <c r="L61" s="377">
        <v>13</v>
      </c>
      <c r="M61" s="365">
        <v>0</v>
      </c>
      <c r="N61" s="365">
        <v>0</v>
      </c>
      <c r="O61" s="365">
        <v>195</v>
      </c>
      <c r="P61" s="365">
        <v>283</v>
      </c>
      <c r="Q61" s="377">
        <v>478</v>
      </c>
      <c r="R61" s="365">
        <v>0</v>
      </c>
      <c r="S61" s="365">
        <v>0</v>
      </c>
      <c r="T61" s="365">
        <v>42</v>
      </c>
      <c r="U61" s="365">
        <v>102.5</v>
      </c>
      <c r="V61" s="377">
        <v>144.5</v>
      </c>
      <c r="W61" s="365">
        <v>2</v>
      </c>
      <c r="X61" s="365">
        <v>28</v>
      </c>
      <c r="Y61" s="378">
        <v>15</v>
      </c>
      <c r="Z61" s="365">
        <v>0</v>
      </c>
      <c r="AA61" s="365">
        <v>0</v>
      </c>
      <c r="AB61" s="378">
        <v>0</v>
      </c>
      <c r="AC61" s="365">
        <v>13</v>
      </c>
      <c r="AD61" s="365">
        <v>195</v>
      </c>
      <c r="AE61" s="378">
        <v>37.5</v>
      </c>
      <c r="AF61" s="379">
        <v>0</v>
      </c>
      <c r="AG61" s="379">
        <v>0</v>
      </c>
      <c r="AH61" s="378">
        <v>0</v>
      </c>
      <c r="AI61" s="379">
        <v>4</v>
      </c>
      <c r="AJ61" s="379">
        <v>60</v>
      </c>
      <c r="AK61" s="378">
        <v>15</v>
      </c>
      <c r="AL61" s="365">
        <v>4</v>
      </c>
      <c r="AM61" s="365">
        <v>60</v>
      </c>
      <c r="AN61" s="378">
        <v>15</v>
      </c>
      <c r="AO61" s="378"/>
      <c r="AP61" s="378">
        <f t="shared" si="4"/>
        <v>4</v>
      </c>
      <c r="AQ61" s="465">
        <v>0</v>
      </c>
      <c r="AR61" s="379">
        <v>0</v>
      </c>
      <c r="AS61" s="378">
        <v>0</v>
      </c>
      <c r="AT61" s="466">
        <v>3</v>
      </c>
      <c r="AU61" s="466">
        <v>0</v>
      </c>
      <c r="AV61" s="379">
        <v>3</v>
      </c>
      <c r="AW61" s="379">
        <v>45</v>
      </c>
      <c r="AX61" s="378">
        <v>0</v>
      </c>
      <c r="AY61" s="365">
        <v>3</v>
      </c>
      <c r="AZ61" s="365">
        <v>45</v>
      </c>
      <c r="BA61" s="378">
        <v>0</v>
      </c>
      <c r="BB61" s="378"/>
      <c r="BC61" s="378">
        <f t="shared" si="5"/>
        <v>3</v>
      </c>
      <c r="BD61" s="379">
        <v>0</v>
      </c>
      <c r="BE61" s="379">
        <v>0</v>
      </c>
      <c r="BF61" s="365">
        <v>0</v>
      </c>
      <c r="BO61" s="381">
        <f t="shared" si="6"/>
        <v>3</v>
      </c>
      <c r="BP61" s="381">
        <f t="shared" si="7"/>
        <v>0</v>
      </c>
      <c r="BQ61" s="381"/>
      <c r="BR61" s="381">
        <f>_xlfn.XLOOKUP(A61,'Summer data team '!B:B,'Summer data team '!BV:BV,0)</f>
        <v>3</v>
      </c>
      <c r="BS61" s="381">
        <f>_xlfn.XLOOKUP(A61,'Summer data team '!B:B,'Summer data team '!BW:BW,0)</f>
        <v>0</v>
      </c>
      <c r="BT61" s="381">
        <f t="shared" si="8"/>
        <v>0</v>
      </c>
      <c r="BU61" s="381">
        <f t="shared" si="9"/>
        <v>0</v>
      </c>
    </row>
    <row r="62" spans="1:73" ht="13" hidden="1" x14ac:dyDescent="0.3">
      <c r="A62" s="364">
        <v>3302082</v>
      </c>
      <c r="B62" s="364" t="s">
        <v>276</v>
      </c>
      <c r="C62" s="365">
        <v>0</v>
      </c>
      <c r="D62" s="365">
        <v>0</v>
      </c>
      <c r="E62" s="365">
        <v>0</v>
      </c>
      <c r="F62" s="365">
        <v>10</v>
      </c>
      <c r="G62" s="365">
        <v>11</v>
      </c>
      <c r="H62" s="377">
        <v>0</v>
      </c>
      <c r="I62" s="377">
        <v>21</v>
      </c>
      <c r="J62" s="365">
        <v>0</v>
      </c>
      <c r="K62" s="365">
        <v>0</v>
      </c>
      <c r="L62" s="377">
        <v>0</v>
      </c>
      <c r="M62" s="365">
        <v>0</v>
      </c>
      <c r="N62" s="365">
        <v>0</v>
      </c>
      <c r="O62" s="365">
        <v>150</v>
      </c>
      <c r="P62" s="365">
        <v>165</v>
      </c>
      <c r="Q62" s="377">
        <v>315</v>
      </c>
      <c r="R62" s="365">
        <v>0</v>
      </c>
      <c r="S62" s="365">
        <v>0</v>
      </c>
      <c r="T62" s="365">
        <v>0</v>
      </c>
      <c r="U62" s="365">
        <v>0</v>
      </c>
      <c r="V62" s="377">
        <v>0</v>
      </c>
      <c r="W62" s="365">
        <v>7</v>
      </c>
      <c r="X62" s="365">
        <v>105</v>
      </c>
      <c r="Y62" s="378">
        <v>0</v>
      </c>
      <c r="Z62" s="365">
        <v>8</v>
      </c>
      <c r="AA62" s="365">
        <v>120</v>
      </c>
      <c r="AB62" s="378">
        <v>0</v>
      </c>
      <c r="AC62" s="365">
        <v>5</v>
      </c>
      <c r="AD62" s="365">
        <v>75</v>
      </c>
      <c r="AE62" s="378">
        <v>0</v>
      </c>
      <c r="AF62" s="379">
        <v>0</v>
      </c>
      <c r="AG62" s="379">
        <v>0</v>
      </c>
      <c r="AH62" s="378">
        <v>0</v>
      </c>
      <c r="AI62" s="379">
        <v>8</v>
      </c>
      <c r="AJ62" s="379">
        <v>120</v>
      </c>
      <c r="AK62" s="378">
        <v>0</v>
      </c>
      <c r="AL62" s="365">
        <v>8</v>
      </c>
      <c r="AM62" s="365">
        <v>120</v>
      </c>
      <c r="AN62" s="378">
        <v>0</v>
      </c>
      <c r="AO62" s="378"/>
      <c r="AP62" s="378">
        <f t="shared" si="4"/>
        <v>8</v>
      </c>
      <c r="AQ62" s="465">
        <v>0</v>
      </c>
      <c r="AR62" s="379">
        <v>0</v>
      </c>
      <c r="AS62" s="378">
        <v>0</v>
      </c>
      <c r="AT62" s="466">
        <v>0</v>
      </c>
      <c r="AU62" s="466">
        <v>0</v>
      </c>
      <c r="AV62" s="379">
        <v>0</v>
      </c>
      <c r="AW62" s="379">
        <v>0</v>
      </c>
      <c r="AX62" s="378">
        <v>0</v>
      </c>
      <c r="AY62" s="365">
        <v>0</v>
      </c>
      <c r="AZ62" s="365">
        <v>0</v>
      </c>
      <c r="BA62" s="378">
        <v>0</v>
      </c>
      <c r="BB62" s="378"/>
      <c r="BC62" s="378">
        <f t="shared" si="5"/>
        <v>0</v>
      </c>
      <c r="BD62" s="379">
        <v>0</v>
      </c>
      <c r="BE62" s="379">
        <v>0</v>
      </c>
      <c r="BF62" s="365">
        <v>0</v>
      </c>
      <c r="BO62" s="381">
        <f t="shared" si="6"/>
        <v>0</v>
      </c>
      <c r="BP62" s="381">
        <f t="shared" si="7"/>
        <v>0</v>
      </c>
      <c r="BQ62" s="381"/>
      <c r="BR62" s="381">
        <f>_xlfn.XLOOKUP(A62,'Summer data team '!B:B,'Summer data team '!BV:BV,0)</f>
        <v>0</v>
      </c>
      <c r="BS62" s="381">
        <f>_xlfn.XLOOKUP(A62,'Summer data team '!B:B,'Summer data team '!BW:BW,0)</f>
        <v>0</v>
      </c>
      <c r="BT62" s="381">
        <f t="shared" si="8"/>
        <v>0</v>
      </c>
      <c r="BU62" s="381">
        <f t="shared" si="9"/>
        <v>0</v>
      </c>
    </row>
    <row r="63" spans="1:73" ht="13" hidden="1" x14ac:dyDescent="0.3">
      <c r="A63" s="364">
        <v>3302086</v>
      </c>
      <c r="B63" s="364" t="s">
        <v>277</v>
      </c>
      <c r="C63" s="365">
        <v>0</v>
      </c>
      <c r="D63" s="365">
        <v>0</v>
      </c>
      <c r="E63" s="365">
        <v>0</v>
      </c>
      <c r="F63" s="365">
        <v>10</v>
      </c>
      <c r="G63" s="365">
        <v>16</v>
      </c>
      <c r="H63" s="377">
        <v>0</v>
      </c>
      <c r="I63" s="377">
        <v>26</v>
      </c>
      <c r="J63" s="365">
        <v>0</v>
      </c>
      <c r="K63" s="365">
        <v>0</v>
      </c>
      <c r="L63" s="377">
        <v>0</v>
      </c>
      <c r="M63" s="365">
        <v>0</v>
      </c>
      <c r="N63" s="365">
        <v>0</v>
      </c>
      <c r="O63" s="365">
        <v>150</v>
      </c>
      <c r="P63" s="365">
        <v>240</v>
      </c>
      <c r="Q63" s="377">
        <v>390</v>
      </c>
      <c r="R63" s="365">
        <v>0</v>
      </c>
      <c r="S63" s="365">
        <v>0</v>
      </c>
      <c r="T63" s="365">
        <v>0</v>
      </c>
      <c r="U63" s="365">
        <v>0</v>
      </c>
      <c r="V63" s="377">
        <v>0</v>
      </c>
      <c r="W63" s="365">
        <v>1</v>
      </c>
      <c r="X63" s="365">
        <v>15</v>
      </c>
      <c r="Y63" s="378">
        <v>0</v>
      </c>
      <c r="Z63" s="365">
        <v>7</v>
      </c>
      <c r="AA63" s="365">
        <v>105</v>
      </c>
      <c r="AB63" s="378">
        <v>0</v>
      </c>
      <c r="AC63" s="365">
        <v>17</v>
      </c>
      <c r="AD63" s="365">
        <v>255</v>
      </c>
      <c r="AE63" s="378">
        <v>0</v>
      </c>
      <c r="AF63" s="379">
        <v>0</v>
      </c>
      <c r="AG63" s="379">
        <v>0</v>
      </c>
      <c r="AH63" s="378">
        <v>0</v>
      </c>
      <c r="AI63" s="379">
        <v>11</v>
      </c>
      <c r="AJ63" s="379">
        <v>165</v>
      </c>
      <c r="AK63" s="378">
        <v>0</v>
      </c>
      <c r="AL63" s="365">
        <v>11</v>
      </c>
      <c r="AM63" s="365">
        <v>165</v>
      </c>
      <c r="AN63" s="378">
        <v>0</v>
      </c>
      <c r="AO63" s="378"/>
      <c r="AP63" s="378">
        <f t="shared" si="4"/>
        <v>11</v>
      </c>
      <c r="AQ63" s="465">
        <v>0</v>
      </c>
      <c r="AR63" s="379">
        <v>0</v>
      </c>
      <c r="AS63" s="378">
        <v>0</v>
      </c>
      <c r="AT63" s="466">
        <v>11</v>
      </c>
      <c r="AU63" s="466">
        <v>0</v>
      </c>
      <c r="AV63" s="379">
        <v>11</v>
      </c>
      <c r="AW63" s="379">
        <v>165</v>
      </c>
      <c r="AX63" s="378">
        <v>0</v>
      </c>
      <c r="AY63" s="365">
        <v>11</v>
      </c>
      <c r="AZ63" s="365">
        <v>165</v>
      </c>
      <c r="BA63" s="378">
        <v>0</v>
      </c>
      <c r="BB63" s="378"/>
      <c r="BC63" s="378">
        <f t="shared" si="5"/>
        <v>11</v>
      </c>
      <c r="BD63" s="379">
        <v>0</v>
      </c>
      <c r="BE63" s="379">
        <v>0</v>
      </c>
      <c r="BF63" s="365">
        <v>0</v>
      </c>
      <c r="BO63" s="381">
        <f t="shared" si="6"/>
        <v>11</v>
      </c>
      <c r="BP63" s="381">
        <f t="shared" si="7"/>
        <v>0</v>
      </c>
      <c r="BQ63" s="381"/>
      <c r="BR63" s="381">
        <f>_xlfn.XLOOKUP(A63,'Summer data team '!B:B,'Summer data team '!BV:BV,0)</f>
        <v>11</v>
      </c>
      <c r="BS63" s="381">
        <f>_xlfn.XLOOKUP(A63,'Summer data team '!B:B,'Summer data team '!BW:BW,0)</f>
        <v>0</v>
      </c>
      <c r="BT63" s="381">
        <f t="shared" si="8"/>
        <v>0</v>
      </c>
      <c r="BU63" s="381">
        <f t="shared" si="9"/>
        <v>0</v>
      </c>
    </row>
    <row r="64" spans="1:73" ht="13" hidden="1" x14ac:dyDescent="0.3">
      <c r="A64" s="364">
        <v>3302093</v>
      </c>
      <c r="B64" s="364" t="s">
        <v>278</v>
      </c>
      <c r="C64" s="365">
        <v>0</v>
      </c>
      <c r="D64" s="365">
        <v>0</v>
      </c>
      <c r="E64" s="365">
        <v>0</v>
      </c>
      <c r="F64" s="365">
        <v>25</v>
      </c>
      <c r="G64" s="365">
        <v>26</v>
      </c>
      <c r="H64" s="377">
        <v>0</v>
      </c>
      <c r="I64" s="377">
        <v>51</v>
      </c>
      <c r="J64" s="365">
        <v>0</v>
      </c>
      <c r="K64" s="365">
        <v>0</v>
      </c>
      <c r="L64" s="377">
        <v>0</v>
      </c>
      <c r="M64" s="365">
        <v>0</v>
      </c>
      <c r="N64" s="365">
        <v>0</v>
      </c>
      <c r="O64" s="365">
        <v>375</v>
      </c>
      <c r="P64" s="365">
        <v>390</v>
      </c>
      <c r="Q64" s="377">
        <v>765</v>
      </c>
      <c r="R64" s="365">
        <v>0</v>
      </c>
      <c r="S64" s="365">
        <v>0</v>
      </c>
      <c r="T64" s="365">
        <v>0</v>
      </c>
      <c r="U64" s="365">
        <v>0</v>
      </c>
      <c r="V64" s="377">
        <v>0</v>
      </c>
      <c r="W64" s="365">
        <v>1</v>
      </c>
      <c r="X64" s="365">
        <v>15</v>
      </c>
      <c r="Y64" s="378">
        <v>0</v>
      </c>
      <c r="Z64" s="365">
        <v>1</v>
      </c>
      <c r="AA64" s="365">
        <v>15</v>
      </c>
      <c r="AB64" s="378">
        <v>0</v>
      </c>
      <c r="AC64" s="365">
        <v>3</v>
      </c>
      <c r="AD64" s="365">
        <v>45</v>
      </c>
      <c r="AE64" s="378">
        <v>0</v>
      </c>
      <c r="AF64" s="379">
        <v>0</v>
      </c>
      <c r="AG64" s="379">
        <v>0</v>
      </c>
      <c r="AH64" s="378">
        <v>0</v>
      </c>
      <c r="AI64" s="379">
        <v>15</v>
      </c>
      <c r="AJ64" s="379">
        <v>225</v>
      </c>
      <c r="AK64" s="378">
        <v>0</v>
      </c>
      <c r="AL64" s="365">
        <v>15</v>
      </c>
      <c r="AM64" s="365">
        <v>225</v>
      </c>
      <c r="AN64" s="378">
        <v>0</v>
      </c>
      <c r="AO64" s="378"/>
      <c r="AP64" s="378">
        <f t="shared" si="4"/>
        <v>15</v>
      </c>
      <c r="AQ64" s="465">
        <v>0</v>
      </c>
      <c r="AR64" s="379">
        <v>0</v>
      </c>
      <c r="AS64" s="378">
        <v>0</v>
      </c>
      <c r="AT64" s="466">
        <v>15</v>
      </c>
      <c r="AU64" s="466">
        <v>0</v>
      </c>
      <c r="AV64" s="379">
        <v>15</v>
      </c>
      <c r="AW64" s="379">
        <v>225</v>
      </c>
      <c r="AX64" s="378">
        <v>0</v>
      </c>
      <c r="AY64" s="365">
        <v>15</v>
      </c>
      <c r="AZ64" s="365">
        <v>225</v>
      </c>
      <c r="BA64" s="378">
        <v>0</v>
      </c>
      <c r="BB64" s="378"/>
      <c r="BC64" s="378">
        <f t="shared" si="5"/>
        <v>15</v>
      </c>
      <c r="BD64" s="379">
        <v>0</v>
      </c>
      <c r="BE64" s="379">
        <v>0</v>
      </c>
      <c r="BF64" s="365">
        <v>0</v>
      </c>
      <c r="BO64" s="381">
        <f t="shared" si="6"/>
        <v>15</v>
      </c>
      <c r="BP64" s="381">
        <f t="shared" si="7"/>
        <v>0</v>
      </c>
      <c r="BQ64" s="381"/>
      <c r="BR64" s="381">
        <f>_xlfn.XLOOKUP(A64,'Summer data team '!B:B,'Summer data team '!BV:BV,0)</f>
        <v>15</v>
      </c>
      <c r="BS64" s="381">
        <f>_xlfn.XLOOKUP(A64,'Summer data team '!B:B,'Summer data team '!BW:BW,0)</f>
        <v>0</v>
      </c>
      <c r="BT64" s="381">
        <f t="shared" si="8"/>
        <v>0</v>
      </c>
      <c r="BU64" s="381">
        <f t="shared" si="9"/>
        <v>0</v>
      </c>
    </row>
    <row r="65" spans="1:73" ht="13" hidden="1" x14ac:dyDescent="0.3">
      <c r="A65" s="364">
        <v>3302096</v>
      </c>
      <c r="B65" s="364" t="s">
        <v>279</v>
      </c>
      <c r="C65" s="365">
        <v>0</v>
      </c>
      <c r="D65" s="365">
        <v>0</v>
      </c>
      <c r="E65" s="365">
        <v>0</v>
      </c>
      <c r="F65" s="365">
        <v>8</v>
      </c>
      <c r="G65" s="365">
        <v>18</v>
      </c>
      <c r="H65" s="377">
        <v>0</v>
      </c>
      <c r="I65" s="377">
        <v>26</v>
      </c>
      <c r="J65" s="365">
        <v>0</v>
      </c>
      <c r="K65" s="365">
        <v>0</v>
      </c>
      <c r="L65" s="377">
        <v>0</v>
      </c>
      <c r="M65" s="365">
        <v>0</v>
      </c>
      <c r="N65" s="365">
        <v>0</v>
      </c>
      <c r="O65" s="365">
        <v>120</v>
      </c>
      <c r="P65" s="365">
        <v>270</v>
      </c>
      <c r="Q65" s="377">
        <v>390</v>
      </c>
      <c r="R65" s="365">
        <v>0</v>
      </c>
      <c r="S65" s="365">
        <v>0</v>
      </c>
      <c r="T65" s="365">
        <v>0</v>
      </c>
      <c r="U65" s="365">
        <v>0</v>
      </c>
      <c r="V65" s="377">
        <v>0</v>
      </c>
      <c r="W65" s="365">
        <v>14</v>
      </c>
      <c r="X65" s="365">
        <v>210</v>
      </c>
      <c r="Y65" s="378">
        <v>0</v>
      </c>
      <c r="Z65" s="365">
        <v>9</v>
      </c>
      <c r="AA65" s="365">
        <v>135</v>
      </c>
      <c r="AB65" s="378">
        <v>0</v>
      </c>
      <c r="AC65" s="365">
        <v>0</v>
      </c>
      <c r="AD65" s="365">
        <v>0</v>
      </c>
      <c r="AE65" s="378">
        <v>0</v>
      </c>
      <c r="AF65" s="379">
        <v>0</v>
      </c>
      <c r="AG65" s="379">
        <v>0</v>
      </c>
      <c r="AH65" s="378">
        <v>0</v>
      </c>
      <c r="AI65" s="379">
        <v>15</v>
      </c>
      <c r="AJ65" s="379">
        <v>225</v>
      </c>
      <c r="AK65" s="378">
        <v>0</v>
      </c>
      <c r="AL65" s="365">
        <v>15</v>
      </c>
      <c r="AM65" s="365">
        <v>225</v>
      </c>
      <c r="AN65" s="378">
        <v>0</v>
      </c>
      <c r="AO65" s="378"/>
      <c r="AP65" s="378">
        <f t="shared" si="4"/>
        <v>15</v>
      </c>
      <c r="AQ65" s="465">
        <v>0</v>
      </c>
      <c r="AR65" s="379">
        <v>0</v>
      </c>
      <c r="AS65" s="378">
        <v>0</v>
      </c>
      <c r="AT65" s="466">
        <v>15</v>
      </c>
      <c r="AU65" s="466">
        <v>0</v>
      </c>
      <c r="AV65" s="379">
        <v>15</v>
      </c>
      <c r="AW65" s="379">
        <v>225</v>
      </c>
      <c r="AX65" s="378">
        <v>0</v>
      </c>
      <c r="AY65" s="365">
        <v>15</v>
      </c>
      <c r="AZ65" s="365">
        <v>225</v>
      </c>
      <c r="BA65" s="378">
        <v>0</v>
      </c>
      <c r="BB65" s="378"/>
      <c r="BC65" s="378">
        <f t="shared" si="5"/>
        <v>15</v>
      </c>
      <c r="BD65" s="379">
        <v>0</v>
      </c>
      <c r="BE65" s="379">
        <v>0</v>
      </c>
      <c r="BF65" s="365">
        <v>0</v>
      </c>
      <c r="BO65" s="381">
        <f t="shared" si="6"/>
        <v>15</v>
      </c>
      <c r="BP65" s="381">
        <f t="shared" si="7"/>
        <v>0</v>
      </c>
      <c r="BQ65" s="381"/>
      <c r="BR65" s="381">
        <f>_xlfn.XLOOKUP(A65,'Summer data team '!B:B,'Summer data team '!BV:BV,0)</f>
        <v>15</v>
      </c>
      <c r="BS65" s="381">
        <f>_xlfn.XLOOKUP(A65,'Summer data team '!B:B,'Summer data team '!BW:BW,0)</f>
        <v>0</v>
      </c>
      <c r="BT65" s="381">
        <f t="shared" si="8"/>
        <v>0</v>
      </c>
      <c r="BU65" s="381">
        <f t="shared" si="9"/>
        <v>0</v>
      </c>
    </row>
    <row r="66" spans="1:73" ht="13" hidden="1" x14ac:dyDescent="0.3">
      <c r="A66" s="364">
        <v>3302097</v>
      </c>
      <c r="B66" s="364" t="s">
        <v>280</v>
      </c>
      <c r="C66" s="365">
        <v>0</v>
      </c>
      <c r="D66" s="365">
        <v>0</v>
      </c>
      <c r="E66" s="365">
        <v>0</v>
      </c>
      <c r="F66" s="365">
        <v>13</v>
      </c>
      <c r="G66" s="365">
        <v>8</v>
      </c>
      <c r="H66" s="377">
        <v>0</v>
      </c>
      <c r="I66" s="377">
        <v>21</v>
      </c>
      <c r="J66" s="365">
        <v>4</v>
      </c>
      <c r="K66" s="365">
        <v>2</v>
      </c>
      <c r="L66" s="377">
        <v>6</v>
      </c>
      <c r="M66" s="365">
        <v>0</v>
      </c>
      <c r="N66" s="365">
        <v>0</v>
      </c>
      <c r="O66" s="365">
        <v>195</v>
      </c>
      <c r="P66" s="365">
        <v>120</v>
      </c>
      <c r="Q66" s="377">
        <v>315</v>
      </c>
      <c r="R66" s="365">
        <v>0</v>
      </c>
      <c r="S66" s="365">
        <v>0</v>
      </c>
      <c r="T66" s="365">
        <v>60</v>
      </c>
      <c r="U66" s="365">
        <v>30</v>
      </c>
      <c r="V66" s="377">
        <v>90</v>
      </c>
      <c r="W66" s="365">
        <v>3</v>
      </c>
      <c r="X66" s="365">
        <v>45</v>
      </c>
      <c r="Y66" s="378">
        <v>0</v>
      </c>
      <c r="Z66" s="365">
        <v>10</v>
      </c>
      <c r="AA66" s="365">
        <v>150</v>
      </c>
      <c r="AB66" s="378">
        <v>45</v>
      </c>
      <c r="AC66" s="365">
        <v>6</v>
      </c>
      <c r="AD66" s="365">
        <v>90</v>
      </c>
      <c r="AE66" s="378">
        <v>45</v>
      </c>
      <c r="AF66" s="379">
        <v>0</v>
      </c>
      <c r="AG66" s="379">
        <v>0</v>
      </c>
      <c r="AH66" s="378">
        <v>0</v>
      </c>
      <c r="AI66" s="379">
        <v>7</v>
      </c>
      <c r="AJ66" s="379">
        <v>105</v>
      </c>
      <c r="AK66" s="378">
        <v>0</v>
      </c>
      <c r="AL66" s="365">
        <v>7</v>
      </c>
      <c r="AM66" s="365">
        <v>105</v>
      </c>
      <c r="AN66" s="378">
        <v>0</v>
      </c>
      <c r="AO66" s="378"/>
      <c r="AP66" s="378">
        <f t="shared" si="4"/>
        <v>7</v>
      </c>
      <c r="AQ66" s="465">
        <v>0</v>
      </c>
      <c r="AR66" s="379">
        <v>0</v>
      </c>
      <c r="AS66" s="378">
        <v>0</v>
      </c>
      <c r="AT66" s="466">
        <v>5</v>
      </c>
      <c r="AU66" s="466">
        <v>0</v>
      </c>
      <c r="AV66" s="379">
        <v>5</v>
      </c>
      <c r="AW66" s="379">
        <v>75</v>
      </c>
      <c r="AX66" s="378">
        <v>0</v>
      </c>
      <c r="AY66" s="365">
        <v>5</v>
      </c>
      <c r="AZ66" s="365">
        <v>75</v>
      </c>
      <c r="BA66" s="378">
        <v>0</v>
      </c>
      <c r="BB66" s="378"/>
      <c r="BC66" s="378">
        <f t="shared" si="5"/>
        <v>5</v>
      </c>
      <c r="BD66" s="379">
        <v>0</v>
      </c>
      <c r="BE66" s="379">
        <v>0</v>
      </c>
      <c r="BF66" s="365">
        <v>0</v>
      </c>
      <c r="BO66" s="381">
        <f t="shared" ref="BO66:BO97" si="10">AQ66+AT66</f>
        <v>5</v>
      </c>
      <c r="BP66" s="381">
        <f t="shared" ref="BP66:BP97" si="11">AU66</f>
        <v>0</v>
      </c>
      <c r="BQ66" s="381"/>
      <c r="BR66" s="381">
        <f>_xlfn.XLOOKUP(A66,'Summer data team '!B:B,'Summer data team '!BV:BV,0)</f>
        <v>5</v>
      </c>
      <c r="BS66" s="381">
        <f>_xlfn.XLOOKUP(A66,'Summer data team '!B:B,'Summer data team '!BW:BW,0)</f>
        <v>0</v>
      </c>
      <c r="BT66" s="381">
        <f t="shared" ref="BT66:BT97" si="12">BO66-BR66</f>
        <v>0</v>
      </c>
      <c r="BU66" s="381">
        <f t="shared" ref="BU66:BU97" si="13">BP66-BS66</f>
        <v>0</v>
      </c>
    </row>
    <row r="67" spans="1:73" ht="13" hidden="1" x14ac:dyDescent="0.3">
      <c r="A67" s="364">
        <v>3302098</v>
      </c>
      <c r="B67" s="364" t="s">
        <v>281</v>
      </c>
      <c r="C67" s="365">
        <v>0</v>
      </c>
      <c r="D67" s="365">
        <v>0</v>
      </c>
      <c r="E67" s="365">
        <v>0</v>
      </c>
      <c r="F67" s="365">
        <v>10</v>
      </c>
      <c r="G67" s="365">
        <v>16</v>
      </c>
      <c r="H67" s="377">
        <v>0</v>
      </c>
      <c r="I67" s="377">
        <v>26</v>
      </c>
      <c r="J67" s="365">
        <v>0</v>
      </c>
      <c r="K67" s="365">
        <v>0</v>
      </c>
      <c r="L67" s="377">
        <v>0</v>
      </c>
      <c r="M67" s="365">
        <v>0</v>
      </c>
      <c r="N67" s="365">
        <v>0</v>
      </c>
      <c r="O67" s="365">
        <v>150</v>
      </c>
      <c r="P67" s="365">
        <v>240</v>
      </c>
      <c r="Q67" s="377">
        <v>390</v>
      </c>
      <c r="R67" s="365">
        <v>0</v>
      </c>
      <c r="S67" s="365">
        <v>0</v>
      </c>
      <c r="T67" s="365">
        <v>0</v>
      </c>
      <c r="U67" s="365">
        <v>0</v>
      </c>
      <c r="V67" s="377">
        <v>0</v>
      </c>
      <c r="W67" s="365">
        <v>9</v>
      </c>
      <c r="X67" s="365">
        <v>135</v>
      </c>
      <c r="Y67" s="378">
        <v>0</v>
      </c>
      <c r="Z67" s="365">
        <v>2</v>
      </c>
      <c r="AA67" s="365">
        <v>30</v>
      </c>
      <c r="AB67" s="378">
        <v>0</v>
      </c>
      <c r="AC67" s="365">
        <v>13</v>
      </c>
      <c r="AD67" s="365">
        <v>195</v>
      </c>
      <c r="AE67" s="378">
        <v>0</v>
      </c>
      <c r="AF67" s="379">
        <v>0</v>
      </c>
      <c r="AG67" s="379">
        <v>0</v>
      </c>
      <c r="AH67" s="378">
        <v>0</v>
      </c>
      <c r="AI67" s="379">
        <v>16</v>
      </c>
      <c r="AJ67" s="379">
        <v>240</v>
      </c>
      <c r="AK67" s="378">
        <v>0</v>
      </c>
      <c r="AL67" s="365">
        <v>16</v>
      </c>
      <c r="AM67" s="365">
        <v>240</v>
      </c>
      <c r="AN67" s="378">
        <v>0</v>
      </c>
      <c r="AO67" s="378"/>
      <c r="AP67" s="378">
        <f t="shared" ref="AP67:AP130" si="14">AL67+AO67</f>
        <v>16</v>
      </c>
      <c r="AQ67" s="465">
        <v>0</v>
      </c>
      <c r="AR67" s="379">
        <v>0</v>
      </c>
      <c r="AS67" s="378">
        <v>0</v>
      </c>
      <c r="AT67" s="466">
        <v>16</v>
      </c>
      <c r="AU67" s="466">
        <v>0</v>
      </c>
      <c r="AV67" s="379">
        <v>16</v>
      </c>
      <c r="AW67" s="379">
        <v>240</v>
      </c>
      <c r="AX67" s="378">
        <v>0</v>
      </c>
      <c r="AY67" s="365">
        <v>16</v>
      </c>
      <c r="AZ67" s="365">
        <v>240</v>
      </c>
      <c r="BA67" s="378">
        <v>0</v>
      </c>
      <c r="BB67" s="378"/>
      <c r="BC67" s="378">
        <f t="shared" ref="BC67:BC130" si="15">AY67+BB67</f>
        <v>16</v>
      </c>
      <c r="BD67" s="379">
        <v>0</v>
      </c>
      <c r="BE67" s="379">
        <v>0</v>
      </c>
      <c r="BF67" s="365">
        <v>0</v>
      </c>
      <c r="BO67" s="381">
        <f t="shared" si="10"/>
        <v>16</v>
      </c>
      <c r="BP67" s="381">
        <f t="shared" si="11"/>
        <v>0</v>
      </c>
      <c r="BQ67" s="381"/>
      <c r="BR67" s="381">
        <f>_xlfn.XLOOKUP(A67,'Summer data team '!B:B,'Summer data team '!BV:BV,0)</f>
        <v>16</v>
      </c>
      <c r="BS67" s="381">
        <f>_xlfn.XLOOKUP(A67,'Summer data team '!B:B,'Summer data team '!BW:BW,0)</f>
        <v>0</v>
      </c>
      <c r="BT67" s="381">
        <f t="shared" si="12"/>
        <v>0</v>
      </c>
      <c r="BU67" s="381">
        <f t="shared" si="13"/>
        <v>0</v>
      </c>
    </row>
    <row r="68" spans="1:73" ht="13" hidden="1" x14ac:dyDescent="0.3">
      <c r="A68" s="364">
        <v>3302099</v>
      </c>
      <c r="B68" s="364" t="s">
        <v>87</v>
      </c>
      <c r="C68" s="365">
        <v>0</v>
      </c>
      <c r="D68" s="365">
        <v>0</v>
      </c>
      <c r="E68" s="365">
        <v>0</v>
      </c>
      <c r="F68" s="365">
        <v>13</v>
      </c>
      <c r="G68" s="365">
        <v>13</v>
      </c>
      <c r="H68" s="377">
        <v>0</v>
      </c>
      <c r="I68" s="377">
        <v>26</v>
      </c>
      <c r="J68" s="365">
        <v>0</v>
      </c>
      <c r="K68" s="365">
        <v>0</v>
      </c>
      <c r="L68" s="377">
        <v>0</v>
      </c>
      <c r="M68" s="365">
        <v>0</v>
      </c>
      <c r="N68" s="365">
        <v>0</v>
      </c>
      <c r="O68" s="365">
        <v>195</v>
      </c>
      <c r="P68" s="365">
        <v>195</v>
      </c>
      <c r="Q68" s="377">
        <v>390</v>
      </c>
      <c r="R68" s="365">
        <v>0</v>
      </c>
      <c r="S68" s="365">
        <v>0</v>
      </c>
      <c r="T68" s="365">
        <v>0</v>
      </c>
      <c r="U68" s="365">
        <v>0</v>
      </c>
      <c r="V68" s="377">
        <v>0</v>
      </c>
      <c r="W68" s="365">
        <v>12</v>
      </c>
      <c r="X68" s="365">
        <v>180</v>
      </c>
      <c r="Y68" s="378">
        <v>0</v>
      </c>
      <c r="Z68" s="365">
        <v>4</v>
      </c>
      <c r="AA68" s="365">
        <v>60</v>
      </c>
      <c r="AB68" s="378">
        <v>0</v>
      </c>
      <c r="AC68" s="365">
        <v>7</v>
      </c>
      <c r="AD68" s="365">
        <v>105</v>
      </c>
      <c r="AE68" s="378">
        <v>0</v>
      </c>
      <c r="AF68" s="379">
        <v>0</v>
      </c>
      <c r="AG68" s="379">
        <v>0</v>
      </c>
      <c r="AH68" s="378">
        <v>0</v>
      </c>
      <c r="AI68" s="379">
        <v>6</v>
      </c>
      <c r="AJ68" s="379">
        <v>90</v>
      </c>
      <c r="AK68" s="378">
        <v>0</v>
      </c>
      <c r="AL68" s="365">
        <v>6</v>
      </c>
      <c r="AM68" s="365">
        <v>90</v>
      </c>
      <c r="AN68" s="378">
        <v>0</v>
      </c>
      <c r="AO68" s="378"/>
      <c r="AP68" s="378">
        <f t="shared" si="14"/>
        <v>6</v>
      </c>
      <c r="AQ68" s="465">
        <v>0</v>
      </c>
      <c r="AR68" s="379">
        <v>0</v>
      </c>
      <c r="AS68" s="378">
        <v>0</v>
      </c>
      <c r="AT68" s="466">
        <v>0</v>
      </c>
      <c r="AU68" s="466">
        <v>0</v>
      </c>
      <c r="AV68" s="379">
        <v>0</v>
      </c>
      <c r="AW68" s="379">
        <v>0</v>
      </c>
      <c r="AX68" s="378">
        <v>0</v>
      </c>
      <c r="AY68" s="365">
        <v>0</v>
      </c>
      <c r="AZ68" s="365">
        <v>0</v>
      </c>
      <c r="BA68" s="378">
        <v>0</v>
      </c>
      <c r="BB68" s="378"/>
      <c r="BC68" s="378">
        <f t="shared" si="15"/>
        <v>0</v>
      </c>
      <c r="BD68" s="379">
        <v>0</v>
      </c>
      <c r="BE68" s="379">
        <v>0</v>
      </c>
      <c r="BF68" s="365">
        <v>0</v>
      </c>
      <c r="BO68" s="381">
        <f t="shared" si="10"/>
        <v>0</v>
      </c>
      <c r="BP68" s="381">
        <f t="shared" si="11"/>
        <v>0</v>
      </c>
      <c r="BQ68" s="381"/>
      <c r="BR68" s="381">
        <f>_xlfn.XLOOKUP(A68,'Summer data team '!B:B,'Summer data team '!BV:BV,0)</f>
        <v>0</v>
      </c>
      <c r="BS68" s="381">
        <f>_xlfn.XLOOKUP(A68,'Summer data team '!B:B,'Summer data team '!BW:BW,0)</f>
        <v>0</v>
      </c>
      <c r="BT68" s="381">
        <f t="shared" si="12"/>
        <v>0</v>
      </c>
      <c r="BU68" s="381">
        <f t="shared" si="13"/>
        <v>0</v>
      </c>
    </row>
    <row r="69" spans="1:73" ht="13" hidden="1" x14ac:dyDescent="0.3">
      <c r="A69" s="364">
        <v>3302100</v>
      </c>
      <c r="B69" s="364" t="s">
        <v>282</v>
      </c>
      <c r="C69" s="365">
        <v>0</v>
      </c>
      <c r="D69" s="365">
        <v>0</v>
      </c>
      <c r="E69" s="365">
        <v>0</v>
      </c>
      <c r="F69" s="365">
        <v>9</v>
      </c>
      <c r="G69" s="365">
        <v>16</v>
      </c>
      <c r="H69" s="377">
        <v>0</v>
      </c>
      <c r="I69" s="377">
        <v>25</v>
      </c>
      <c r="J69" s="365">
        <v>0</v>
      </c>
      <c r="K69" s="365">
        <v>0</v>
      </c>
      <c r="L69" s="377">
        <v>0</v>
      </c>
      <c r="M69" s="365">
        <v>0</v>
      </c>
      <c r="N69" s="365">
        <v>0</v>
      </c>
      <c r="O69" s="365">
        <v>135</v>
      </c>
      <c r="P69" s="365">
        <v>240</v>
      </c>
      <c r="Q69" s="377">
        <v>375</v>
      </c>
      <c r="R69" s="365">
        <v>0</v>
      </c>
      <c r="S69" s="365">
        <v>0</v>
      </c>
      <c r="T69" s="365">
        <v>0</v>
      </c>
      <c r="U69" s="365">
        <v>0</v>
      </c>
      <c r="V69" s="377">
        <v>0</v>
      </c>
      <c r="W69" s="365">
        <v>14</v>
      </c>
      <c r="X69" s="365">
        <v>210</v>
      </c>
      <c r="Y69" s="378">
        <v>0</v>
      </c>
      <c r="Z69" s="365">
        <v>11</v>
      </c>
      <c r="AA69" s="365">
        <v>165</v>
      </c>
      <c r="AB69" s="378">
        <v>0</v>
      </c>
      <c r="AC69" s="365">
        <v>0</v>
      </c>
      <c r="AD69" s="365">
        <v>0</v>
      </c>
      <c r="AE69" s="378">
        <v>0</v>
      </c>
      <c r="AF69" s="379">
        <v>0</v>
      </c>
      <c r="AG69" s="379">
        <v>0</v>
      </c>
      <c r="AH69" s="378">
        <v>0</v>
      </c>
      <c r="AI69" s="379">
        <v>14</v>
      </c>
      <c r="AJ69" s="379">
        <v>210</v>
      </c>
      <c r="AK69" s="378">
        <v>0</v>
      </c>
      <c r="AL69" s="365">
        <v>14</v>
      </c>
      <c r="AM69" s="365">
        <v>210</v>
      </c>
      <c r="AN69" s="378">
        <v>0</v>
      </c>
      <c r="AO69" s="378"/>
      <c r="AP69" s="378">
        <f t="shared" si="14"/>
        <v>14</v>
      </c>
      <c r="AQ69" s="465">
        <v>0</v>
      </c>
      <c r="AR69" s="379">
        <v>0</v>
      </c>
      <c r="AS69" s="378">
        <v>0</v>
      </c>
      <c r="AT69" s="466">
        <v>14</v>
      </c>
      <c r="AU69" s="466">
        <v>0</v>
      </c>
      <c r="AV69" s="379">
        <v>14</v>
      </c>
      <c r="AW69" s="379">
        <v>210</v>
      </c>
      <c r="AX69" s="378">
        <v>0</v>
      </c>
      <c r="AY69" s="365">
        <v>14</v>
      </c>
      <c r="AZ69" s="365">
        <v>210</v>
      </c>
      <c r="BA69" s="378">
        <v>0</v>
      </c>
      <c r="BB69" s="378"/>
      <c r="BC69" s="378">
        <f t="shared" si="15"/>
        <v>14</v>
      </c>
      <c r="BD69" s="379">
        <v>0</v>
      </c>
      <c r="BE69" s="379">
        <v>0</v>
      </c>
      <c r="BF69" s="365">
        <v>0</v>
      </c>
      <c r="BO69" s="381">
        <f t="shared" si="10"/>
        <v>14</v>
      </c>
      <c r="BP69" s="381">
        <f t="shared" si="11"/>
        <v>0</v>
      </c>
      <c r="BQ69" s="381"/>
      <c r="BR69" s="381">
        <f>_xlfn.XLOOKUP(A69,'Summer data team '!B:B,'Summer data team '!BV:BV,0)</f>
        <v>14</v>
      </c>
      <c r="BS69" s="381">
        <f>_xlfn.XLOOKUP(A69,'Summer data team '!B:B,'Summer data team '!BW:BW,0)</f>
        <v>0</v>
      </c>
      <c r="BT69" s="381">
        <f t="shared" si="12"/>
        <v>0</v>
      </c>
      <c r="BU69" s="381">
        <f t="shared" si="13"/>
        <v>0</v>
      </c>
    </row>
    <row r="70" spans="1:73" ht="13" hidden="1" x14ac:dyDescent="0.3">
      <c r="A70" s="364">
        <v>3302102</v>
      </c>
      <c r="B70" s="364" t="s">
        <v>283</v>
      </c>
      <c r="C70" s="365">
        <v>0</v>
      </c>
      <c r="D70" s="365">
        <v>0</v>
      </c>
      <c r="E70" s="365">
        <v>0</v>
      </c>
      <c r="F70" s="365">
        <v>21</v>
      </c>
      <c r="G70" s="365">
        <v>27</v>
      </c>
      <c r="H70" s="377">
        <v>0</v>
      </c>
      <c r="I70" s="377">
        <v>48</v>
      </c>
      <c r="J70" s="365">
        <v>10</v>
      </c>
      <c r="K70" s="365">
        <v>7</v>
      </c>
      <c r="L70" s="377">
        <v>17</v>
      </c>
      <c r="M70" s="365">
        <v>0</v>
      </c>
      <c r="N70" s="365">
        <v>0</v>
      </c>
      <c r="O70" s="365">
        <v>315</v>
      </c>
      <c r="P70" s="365">
        <v>405</v>
      </c>
      <c r="Q70" s="377">
        <v>720</v>
      </c>
      <c r="R70" s="365">
        <v>0</v>
      </c>
      <c r="S70" s="365">
        <v>0</v>
      </c>
      <c r="T70" s="365">
        <v>150</v>
      </c>
      <c r="U70" s="365">
        <v>105</v>
      </c>
      <c r="V70" s="377">
        <v>255</v>
      </c>
      <c r="W70" s="365">
        <v>27</v>
      </c>
      <c r="X70" s="365">
        <v>405</v>
      </c>
      <c r="Y70" s="378">
        <v>150</v>
      </c>
      <c r="Z70" s="365">
        <v>11</v>
      </c>
      <c r="AA70" s="365">
        <v>165</v>
      </c>
      <c r="AB70" s="378">
        <v>75</v>
      </c>
      <c r="AC70" s="365">
        <v>4</v>
      </c>
      <c r="AD70" s="365">
        <v>60</v>
      </c>
      <c r="AE70" s="378">
        <v>0</v>
      </c>
      <c r="AF70" s="379">
        <v>0</v>
      </c>
      <c r="AG70" s="379">
        <v>0</v>
      </c>
      <c r="AH70" s="378">
        <v>0</v>
      </c>
      <c r="AI70" s="379">
        <v>24</v>
      </c>
      <c r="AJ70" s="379">
        <v>360</v>
      </c>
      <c r="AK70" s="378">
        <v>45</v>
      </c>
      <c r="AL70" s="365">
        <v>24</v>
      </c>
      <c r="AM70" s="365">
        <v>360</v>
      </c>
      <c r="AN70" s="378">
        <v>45</v>
      </c>
      <c r="AO70" s="378"/>
      <c r="AP70" s="378">
        <f t="shared" si="14"/>
        <v>24</v>
      </c>
      <c r="AQ70" s="465">
        <v>0</v>
      </c>
      <c r="AR70" s="379">
        <v>0</v>
      </c>
      <c r="AS70" s="378">
        <v>0</v>
      </c>
      <c r="AT70" s="466">
        <v>21</v>
      </c>
      <c r="AU70" s="466">
        <v>3</v>
      </c>
      <c r="AV70" s="379">
        <v>24</v>
      </c>
      <c r="AW70" s="379">
        <v>360</v>
      </c>
      <c r="AX70" s="378">
        <v>45</v>
      </c>
      <c r="AY70" s="365">
        <v>24</v>
      </c>
      <c r="AZ70" s="365">
        <v>360</v>
      </c>
      <c r="BA70" s="378">
        <v>45</v>
      </c>
      <c r="BB70" s="378"/>
      <c r="BC70" s="378">
        <f t="shared" si="15"/>
        <v>24</v>
      </c>
      <c r="BD70" s="379">
        <v>0</v>
      </c>
      <c r="BE70" s="379">
        <v>0</v>
      </c>
      <c r="BF70" s="365">
        <v>0</v>
      </c>
      <c r="BO70" s="381">
        <f t="shared" si="10"/>
        <v>21</v>
      </c>
      <c r="BP70" s="381">
        <f t="shared" si="11"/>
        <v>3</v>
      </c>
      <c r="BQ70" s="381"/>
      <c r="BR70" s="381">
        <f>_xlfn.XLOOKUP(A70,'Summer data team '!B:B,'Summer data team '!BV:BV,0)</f>
        <v>21</v>
      </c>
      <c r="BS70" s="381">
        <f>_xlfn.XLOOKUP(A70,'Summer data team '!B:B,'Summer data team '!BW:BW,0)</f>
        <v>3</v>
      </c>
      <c r="BT70" s="381">
        <f t="shared" si="12"/>
        <v>0</v>
      </c>
      <c r="BU70" s="381">
        <f t="shared" si="13"/>
        <v>0</v>
      </c>
    </row>
    <row r="71" spans="1:73" ht="13" hidden="1" x14ac:dyDescent="0.3">
      <c r="A71" s="364">
        <v>3302103</v>
      </c>
      <c r="B71" s="364" t="s">
        <v>284</v>
      </c>
      <c r="C71" s="365">
        <v>0</v>
      </c>
      <c r="D71" s="365">
        <v>0</v>
      </c>
      <c r="E71" s="365">
        <v>0</v>
      </c>
      <c r="F71" s="365">
        <v>21</v>
      </c>
      <c r="G71" s="365">
        <v>28</v>
      </c>
      <c r="H71" s="377">
        <v>0</v>
      </c>
      <c r="I71" s="377">
        <v>49</v>
      </c>
      <c r="J71" s="365">
        <v>3</v>
      </c>
      <c r="K71" s="365">
        <v>9</v>
      </c>
      <c r="L71" s="377">
        <v>12</v>
      </c>
      <c r="M71" s="365">
        <v>0</v>
      </c>
      <c r="N71" s="365">
        <v>0</v>
      </c>
      <c r="O71" s="365">
        <v>315</v>
      </c>
      <c r="P71" s="365">
        <v>420</v>
      </c>
      <c r="Q71" s="377">
        <v>735</v>
      </c>
      <c r="R71" s="365">
        <v>0</v>
      </c>
      <c r="S71" s="365">
        <v>0</v>
      </c>
      <c r="T71" s="365">
        <v>45</v>
      </c>
      <c r="U71" s="365">
        <v>135</v>
      </c>
      <c r="V71" s="377">
        <v>180</v>
      </c>
      <c r="W71" s="365">
        <v>6</v>
      </c>
      <c r="X71" s="365">
        <v>90</v>
      </c>
      <c r="Y71" s="378">
        <v>30</v>
      </c>
      <c r="Z71" s="365">
        <v>11</v>
      </c>
      <c r="AA71" s="365">
        <v>165</v>
      </c>
      <c r="AB71" s="378">
        <v>30</v>
      </c>
      <c r="AC71" s="365">
        <v>16</v>
      </c>
      <c r="AD71" s="365">
        <v>240</v>
      </c>
      <c r="AE71" s="378">
        <v>45</v>
      </c>
      <c r="AF71" s="379">
        <v>0</v>
      </c>
      <c r="AG71" s="379">
        <v>0</v>
      </c>
      <c r="AH71" s="378">
        <v>0</v>
      </c>
      <c r="AI71" s="379">
        <v>2</v>
      </c>
      <c r="AJ71" s="379">
        <v>30</v>
      </c>
      <c r="AK71" s="378">
        <v>15</v>
      </c>
      <c r="AL71" s="365">
        <v>2</v>
      </c>
      <c r="AM71" s="365">
        <v>30</v>
      </c>
      <c r="AN71" s="378">
        <v>15</v>
      </c>
      <c r="AO71" s="378"/>
      <c r="AP71" s="378">
        <f t="shared" si="14"/>
        <v>2</v>
      </c>
      <c r="AQ71" s="465">
        <v>0</v>
      </c>
      <c r="AR71" s="379">
        <v>0</v>
      </c>
      <c r="AS71" s="378">
        <v>0</v>
      </c>
      <c r="AT71" s="466">
        <v>1</v>
      </c>
      <c r="AU71" s="466">
        <v>1</v>
      </c>
      <c r="AV71" s="379">
        <v>2</v>
      </c>
      <c r="AW71" s="379">
        <v>30</v>
      </c>
      <c r="AX71" s="378">
        <v>15</v>
      </c>
      <c r="AY71" s="365">
        <v>2</v>
      </c>
      <c r="AZ71" s="365">
        <v>30</v>
      </c>
      <c r="BA71" s="378">
        <v>15</v>
      </c>
      <c r="BB71" s="378"/>
      <c r="BC71" s="378">
        <f t="shared" si="15"/>
        <v>2</v>
      </c>
      <c r="BD71" s="379">
        <v>0</v>
      </c>
      <c r="BE71" s="379">
        <v>0</v>
      </c>
      <c r="BF71" s="365">
        <v>0</v>
      </c>
      <c r="BO71" s="381">
        <f t="shared" si="10"/>
        <v>1</v>
      </c>
      <c r="BP71" s="381">
        <f t="shared" si="11"/>
        <v>1</v>
      </c>
      <c r="BQ71" s="381"/>
      <c r="BR71" s="381">
        <f>_xlfn.XLOOKUP(A71,'Summer data team '!B:B,'Summer data team '!BV:BV,0)</f>
        <v>1</v>
      </c>
      <c r="BS71" s="381">
        <f>_xlfn.XLOOKUP(A71,'Summer data team '!B:B,'Summer data team '!BW:BW,0)</f>
        <v>1</v>
      </c>
      <c r="BT71" s="381">
        <f t="shared" si="12"/>
        <v>0</v>
      </c>
      <c r="BU71" s="381">
        <f t="shared" si="13"/>
        <v>0</v>
      </c>
    </row>
    <row r="72" spans="1:73" ht="13" hidden="1" x14ac:dyDescent="0.3">
      <c r="A72" s="364">
        <v>3302108</v>
      </c>
      <c r="B72" s="364" t="s">
        <v>161</v>
      </c>
      <c r="C72" s="365">
        <v>0</v>
      </c>
      <c r="D72" s="365">
        <v>0</v>
      </c>
      <c r="E72" s="365">
        <v>0</v>
      </c>
      <c r="F72" s="365">
        <v>21</v>
      </c>
      <c r="G72" s="365">
        <v>24</v>
      </c>
      <c r="H72" s="377">
        <v>0</v>
      </c>
      <c r="I72" s="377">
        <v>45</v>
      </c>
      <c r="J72" s="365">
        <v>0</v>
      </c>
      <c r="K72" s="365">
        <v>0</v>
      </c>
      <c r="L72" s="377">
        <v>0</v>
      </c>
      <c r="M72" s="365">
        <v>0</v>
      </c>
      <c r="N72" s="365">
        <v>0</v>
      </c>
      <c r="O72" s="365">
        <v>315</v>
      </c>
      <c r="P72" s="365">
        <v>360</v>
      </c>
      <c r="Q72" s="377">
        <v>675</v>
      </c>
      <c r="R72" s="365">
        <v>0</v>
      </c>
      <c r="S72" s="365">
        <v>0</v>
      </c>
      <c r="T72" s="365">
        <v>0</v>
      </c>
      <c r="U72" s="365">
        <v>0</v>
      </c>
      <c r="V72" s="377">
        <v>0</v>
      </c>
      <c r="W72" s="365">
        <v>0</v>
      </c>
      <c r="X72" s="365">
        <v>0</v>
      </c>
      <c r="Y72" s="378">
        <v>0</v>
      </c>
      <c r="Z72" s="365">
        <v>29</v>
      </c>
      <c r="AA72" s="365">
        <v>435</v>
      </c>
      <c r="AB72" s="378">
        <v>0</v>
      </c>
      <c r="AC72" s="365">
        <v>11</v>
      </c>
      <c r="AD72" s="365">
        <v>165</v>
      </c>
      <c r="AE72" s="378">
        <v>0</v>
      </c>
      <c r="AF72" s="379">
        <v>0</v>
      </c>
      <c r="AG72" s="379">
        <v>0</v>
      </c>
      <c r="AH72" s="378">
        <v>0</v>
      </c>
      <c r="AI72" s="379">
        <v>1</v>
      </c>
      <c r="AJ72" s="379">
        <v>15</v>
      </c>
      <c r="AK72" s="378">
        <v>0</v>
      </c>
      <c r="AL72" s="365">
        <v>1</v>
      </c>
      <c r="AM72" s="365">
        <v>15</v>
      </c>
      <c r="AN72" s="378">
        <v>0</v>
      </c>
      <c r="AO72" s="378"/>
      <c r="AP72" s="378">
        <f t="shared" si="14"/>
        <v>1</v>
      </c>
      <c r="AQ72" s="465">
        <v>0</v>
      </c>
      <c r="AR72" s="379">
        <v>0</v>
      </c>
      <c r="AS72" s="378">
        <v>0</v>
      </c>
      <c r="AT72" s="466">
        <v>0</v>
      </c>
      <c r="AU72" s="466">
        <v>0</v>
      </c>
      <c r="AV72" s="379">
        <v>0</v>
      </c>
      <c r="AW72" s="379">
        <v>0</v>
      </c>
      <c r="AX72" s="378">
        <v>0</v>
      </c>
      <c r="AY72" s="365">
        <v>0</v>
      </c>
      <c r="AZ72" s="365">
        <v>0</v>
      </c>
      <c r="BA72" s="378">
        <v>0</v>
      </c>
      <c r="BB72" s="378"/>
      <c r="BC72" s="378">
        <f t="shared" si="15"/>
        <v>0</v>
      </c>
      <c r="BD72" s="379">
        <v>0</v>
      </c>
      <c r="BE72" s="379">
        <v>0</v>
      </c>
      <c r="BF72" s="365">
        <v>0</v>
      </c>
      <c r="BO72" s="381">
        <f t="shared" si="10"/>
        <v>0</v>
      </c>
      <c r="BP72" s="381">
        <f t="shared" si="11"/>
        <v>0</v>
      </c>
      <c r="BQ72" s="381"/>
      <c r="BR72" s="381">
        <f>_xlfn.XLOOKUP(A72,'Summer data team '!B:B,'Summer data team '!BV:BV,0)</f>
        <v>0</v>
      </c>
      <c r="BS72" s="381">
        <f>_xlfn.XLOOKUP(A72,'Summer data team '!B:B,'Summer data team '!BW:BW,0)</f>
        <v>0</v>
      </c>
      <c r="BT72" s="381">
        <f t="shared" si="12"/>
        <v>0</v>
      </c>
      <c r="BU72" s="381">
        <f t="shared" si="13"/>
        <v>0</v>
      </c>
    </row>
    <row r="73" spans="1:73" ht="13" hidden="1" x14ac:dyDescent="0.3">
      <c r="A73" s="364">
        <v>3302109</v>
      </c>
      <c r="B73" s="364" t="s">
        <v>285</v>
      </c>
      <c r="C73" s="365">
        <v>0</v>
      </c>
      <c r="D73" s="365">
        <v>0</v>
      </c>
      <c r="E73" s="365">
        <v>0</v>
      </c>
      <c r="F73" s="365">
        <v>7</v>
      </c>
      <c r="G73" s="365">
        <v>15</v>
      </c>
      <c r="H73" s="377">
        <v>0</v>
      </c>
      <c r="I73" s="377">
        <v>22</v>
      </c>
      <c r="J73" s="365">
        <v>0</v>
      </c>
      <c r="K73" s="365">
        <v>0</v>
      </c>
      <c r="L73" s="377">
        <v>0</v>
      </c>
      <c r="M73" s="365">
        <v>0</v>
      </c>
      <c r="N73" s="365">
        <v>0</v>
      </c>
      <c r="O73" s="365">
        <v>105</v>
      </c>
      <c r="P73" s="365">
        <v>225</v>
      </c>
      <c r="Q73" s="377">
        <v>330</v>
      </c>
      <c r="R73" s="365">
        <v>0</v>
      </c>
      <c r="S73" s="365">
        <v>0</v>
      </c>
      <c r="T73" s="365">
        <v>0</v>
      </c>
      <c r="U73" s="365">
        <v>0</v>
      </c>
      <c r="V73" s="377">
        <v>0</v>
      </c>
      <c r="W73" s="365">
        <v>8</v>
      </c>
      <c r="X73" s="365">
        <v>120</v>
      </c>
      <c r="Y73" s="378">
        <v>0</v>
      </c>
      <c r="Z73" s="365">
        <v>0</v>
      </c>
      <c r="AA73" s="365">
        <v>0</v>
      </c>
      <c r="AB73" s="378">
        <v>0</v>
      </c>
      <c r="AC73" s="365">
        <v>4</v>
      </c>
      <c r="AD73" s="365">
        <v>60</v>
      </c>
      <c r="AE73" s="378">
        <v>0</v>
      </c>
      <c r="AF73" s="379">
        <v>0</v>
      </c>
      <c r="AG73" s="379">
        <v>0</v>
      </c>
      <c r="AH73" s="378">
        <v>0</v>
      </c>
      <c r="AI73" s="379">
        <v>10</v>
      </c>
      <c r="AJ73" s="379">
        <v>150</v>
      </c>
      <c r="AK73" s="378">
        <v>0</v>
      </c>
      <c r="AL73" s="365">
        <v>10</v>
      </c>
      <c r="AM73" s="365">
        <v>150</v>
      </c>
      <c r="AN73" s="378">
        <v>0</v>
      </c>
      <c r="AO73" s="378"/>
      <c r="AP73" s="378">
        <f t="shared" si="14"/>
        <v>10</v>
      </c>
      <c r="AQ73" s="465">
        <v>0</v>
      </c>
      <c r="AR73" s="379">
        <v>0</v>
      </c>
      <c r="AS73" s="378">
        <v>0</v>
      </c>
      <c r="AT73" s="466">
        <v>10</v>
      </c>
      <c r="AU73" s="466">
        <v>0</v>
      </c>
      <c r="AV73" s="379">
        <v>10</v>
      </c>
      <c r="AW73" s="379">
        <v>150</v>
      </c>
      <c r="AX73" s="378">
        <v>0</v>
      </c>
      <c r="AY73" s="365">
        <v>10</v>
      </c>
      <c r="AZ73" s="365">
        <v>150</v>
      </c>
      <c r="BA73" s="378">
        <v>0</v>
      </c>
      <c r="BB73" s="378"/>
      <c r="BC73" s="378">
        <f t="shared" si="15"/>
        <v>10</v>
      </c>
      <c r="BD73" s="379">
        <v>0</v>
      </c>
      <c r="BE73" s="379">
        <v>0</v>
      </c>
      <c r="BF73" s="365">
        <v>0</v>
      </c>
      <c r="BO73" s="381">
        <f t="shared" si="10"/>
        <v>10</v>
      </c>
      <c r="BP73" s="381">
        <f t="shared" si="11"/>
        <v>0</v>
      </c>
      <c r="BQ73" s="381"/>
      <c r="BR73" s="381">
        <f>_xlfn.XLOOKUP(A73,'Summer data team '!B:B,'Summer data team '!BV:BV,0)</f>
        <v>10</v>
      </c>
      <c r="BS73" s="381">
        <f>_xlfn.XLOOKUP(A73,'Summer data team '!B:B,'Summer data team '!BW:BW,0)</f>
        <v>0</v>
      </c>
      <c r="BT73" s="381">
        <f t="shared" si="12"/>
        <v>0</v>
      </c>
      <c r="BU73" s="381">
        <f t="shared" si="13"/>
        <v>0</v>
      </c>
    </row>
    <row r="74" spans="1:73" ht="13" hidden="1" x14ac:dyDescent="0.3">
      <c r="A74" s="364">
        <v>3302110</v>
      </c>
      <c r="B74" s="364" t="s">
        <v>286</v>
      </c>
      <c r="C74" s="365">
        <v>0</v>
      </c>
      <c r="D74" s="365">
        <v>0</v>
      </c>
      <c r="E74" s="365">
        <v>0</v>
      </c>
      <c r="F74" s="365">
        <v>43</v>
      </c>
      <c r="G74" s="365">
        <v>32</v>
      </c>
      <c r="H74" s="377">
        <v>0</v>
      </c>
      <c r="I74" s="377">
        <v>75</v>
      </c>
      <c r="J74" s="365">
        <v>0</v>
      </c>
      <c r="K74" s="365">
        <v>0</v>
      </c>
      <c r="L74" s="377">
        <v>0</v>
      </c>
      <c r="M74" s="365">
        <v>0</v>
      </c>
      <c r="N74" s="365">
        <v>0</v>
      </c>
      <c r="O74" s="365">
        <v>645</v>
      </c>
      <c r="P74" s="365">
        <v>480</v>
      </c>
      <c r="Q74" s="377">
        <v>1125</v>
      </c>
      <c r="R74" s="365">
        <v>0</v>
      </c>
      <c r="S74" s="365">
        <v>0</v>
      </c>
      <c r="T74" s="365">
        <v>0</v>
      </c>
      <c r="U74" s="365">
        <v>0</v>
      </c>
      <c r="V74" s="377">
        <v>0</v>
      </c>
      <c r="W74" s="365">
        <v>6</v>
      </c>
      <c r="X74" s="365">
        <v>90</v>
      </c>
      <c r="Y74" s="378">
        <v>0</v>
      </c>
      <c r="Z74" s="365">
        <v>3</v>
      </c>
      <c r="AA74" s="365">
        <v>45</v>
      </c>
      <c r="AB74" s="378">
        <v>0</v>
      </c>
      <c r="AC74" s="365">
        <v>44</v>
      </c>
      <c r="AD74" s="365">
        <v>660</v>
      </c>
      <c r="AE74" s="378">
        <v>0</v>
      </c>
      <c r="AF74" s="379">
        <v>0</v>
      </c>
      <c r="AG74" s="379">
        <v>0</v>
      </c>
      <c r="AH74" s="378">
        <v>0</v>
      </c>
      <c r="AI74" s="379">
        <v>6</v>
      </c>
      <c r="AJ74" s="379">
        <v>90</v>
      </c>
      <c r="AK74" s="378">
        <v>0</v>
      </c>
      <c r="AL74" s="365">
        <v>6</v>
      </c>
      <c r="AM74" s="365">
        <v>90</v>
      </c>
      <c r="AN74" s="378">
        <v>0</v>
      </c>
      <c r="AO74" s="378"/>
      <c r="AP74" s="378">
        <f t="shared" si="14"/>
        <v>6</v>
      </c>
      <c r="AQ74" s="465">
        <v>0</v>
      </c>
      <c r="AR74" s="379">
        <v>0</v>
      </c>
      <c r="AS74" s="378">
        <v>0</v>
      </c>
      <c r="AT74" s="466">
        <v>1</v>
      </c>
      <c r="AU74" s="466">
        <v>0</v>
      </c>
      <c r="AV74" s="379">
        <v>1</v>
      </c>
      <c r="AW74" s="379">
        <v>15</v>
      </c>
      <c r="AX74" s="378">
        <v>0</v>
      </c>
      <c r="AY74" s="365">
        <v>1</v>
      </c>
      <c r="AZ74" s="365">
        <v>15</v>
      </c>
      <c r="BA74" s="378">
        <v>0</v>
      </c>
      <c r="BB74" s="378"/>
      <c r="BC74" s="378">
        <f t="shared" si="15"/>
        <v>1</v>
      </c>
      <c r="BD74" s="379">
        <v>0</v>
      </c>
      <c r="BE74" s="379">
        <v>0</v>
      </c>
      <c r="BF74" s="365">
        <v>0</v>
      </c>
      <c r="BO74" s="381">
        <f t="shared" si="10"/>
        <v>1</v>
      </c>
      <c r="BP74" s="381">
        <f t="shared" si="11"/>
        <v>0</v>
      </c>
      <c r="BQ74" s="381"/>
      <c r="BR74" s="381">
        <f>_xlfn.XLOOKUP(A74,'Summer data team '!B:B,'Summer data team '!BV:BV,0)</f>
        <v>1</v>
      </c>
      <c r="BS74" s="381">
        <f>_xlfn.XLOOKUP(A74,'Summer data team '!B:B,'Summer data team '!BW:BW,0)</f>
        <v>0</v>
      </c>
      <c r="BT74" s="381">
        <f t="shared" si="12"/>
        <v>0</v>
      </c>
      <c r="BU74" s="381">
        <f t="shared" si="13"/>
        <v>0</v>
      </c>
    </row>
    <row r="75" spans="1:73" ht="13" hidden="1" x14ac:dyDescent="0.3">
      <c r="A75" s="364">
        <v>3302115</v>
      </c>
      <c r="B75" s="364" t="s">
        <v>287</v>
      </c>
      <c r="C75" s="365">
        <v>0</v>
      </c>
      <c r="D75" s="365">
        <v>0</v>
      </c>
      <c r="E75" s="365">
        <v>0</v>
      </c>
      <c r="F75" s="365">
        <v>15</v>
      </c>
      <c r="G75" s="365">
        <v>17</v>
      </c>
      <c r="H75" s="377">
        <v>0</v>
      </c>
      <c r="I75" s="377">
        <v>32</v>
      </c>
      <c r="J75" s="365">
        <v>5</v>
      </c>
      <c r="K75" s="365">
        <v>9</v>
      </c>
      <c r="L75" s="377">
        <v>14</v>
      </c>
      <c r="M75" s="365">
        <v>0</v>
      </c>
      <c r="N75" s="365">
        <v>0</v>
      </c>
      <c r="O75" s="365">
        <v>225</v>
      </c>
      <c r="P75" s="365">
        <v>255</v>
      </c>
      <c r="Q75" s="377">
        <v>480</v>
      </c>
      <c r="R75" s="365">
        <v>0</v>
      </c>
      <c r="S75" s="365">
        <v>0</v>
      </c>
      <c r="T75" s="365">
        <v>75</v>
      </c>
      <c r="U75" s="365">
        <v>135</v>
      </c>
      <c r="V75" s="377">
        <v>210</v>
      </c>
      <c r="W75" s="365">
        <v>4</v>
      </c>
      <c r="X75" s="365">
        <v>60</v>
      </c>
      <c r="Y75" s="378">
        <v>60</v>
      </c>
      <c r="Z75" s="365">
        <v>14</v>
      </c>
      <c r="AA75" s="365">
        <v>210</v>
      </c>
      <c r="AB75" s="378">
        <v>45</v>
      </c>
      <c r="AC75" s="365">
        <v>0</v>
      </c>
      <c r="AD75" s="365">
        <v>0</v>
      </c>
      <c r="AE75" s="378">
        <v>0</v>
      </c>
      <c r="AF75" s="379">
        <v>0</v>
      </c>
      <c r="AG75" s="379">
        <v>0</v>
      </c>
      <c r="AH75" s="378">
        <v>0</v>
      </c>
      <c r="AI75" s="379">
        <v>12</v>
      </c>
      <c r="AJ75" s="379">
        <v>180</v>
      </c>
      <c r="AK75" s="378">
        <v>30</v>
      </c>
      <c r="AL75" s="365">
        <v>12</v>
      </c>
      <c r="AM75" s="365">
        <v>180</v>
      </c>
      <c r="AN75" s="378">
        <v>30</v>
      </c>
      <c r="AO75" s="378"/>
      <c r="AP75" s="378">
        <f t="shared" si="14"/>
        <v>12</v>
      </c>
      <c r="AQ75" s="465">
        <v>0</v>
      </c>
      <c r="AR75" s="379">
        <v>0</v>
      </c>
      <c r="AS75" s="378">
        <v>0</v>
      </c>
      <c r="AT75" s="466">
        <v>0</v>
      </c>
      <c r="AU75" s="466">
        <v>0</v>
      </c>
      <c r="AV75" s="379">
        <v>0</v>
      </c>
      <c r="AW75" s="379">
        <v>0</v>
      </c>
      <c r="AX75" s="378">
        <v>0</v>
      </c>
      <c r="AY75" s="365">
        <v>0</v>
      </c>
      <c r="AZ75" s="365">
        <v>0</v>
      </c>
      <c r="BA75" s="378">
        <v>0</v>
      </c>
      <c r="BB75" s="378"/>
      <c r="BC75" s="378">
        <f t="shared" si="15"/>
        <v>0</v>
      </c>
      <c r="BD75" s="379">
        <v>0</v>
      </c>
      <c r="BE75" s="379">
        <v>0</v>
      </c>
      <c r="BF75" s="365">
        <v>0</v>
      </c>
      <c r="BO75" s="381">
        <f t="shared" si="10"/>
        <v>0</v>
      </c>
      <c r="BP75" s="381">
        <f t="shared" si="11"/>
        <v>0</v>
      </c>
      <c r="BQ75" s="381"/>
      <c r="BR75" s="381">
        <f>_xlfn.XLOOKUP(A75,'Summer data team '!B:B,'Summer data team '!BV:BV,0)</f>
        <v>0</v>
      </c>
      <c r="BS75" s="381">
        <f>_xlfn.XLOOKUP(A75,'Summer data team '!B:B,'Summer data team '!BW:BW,0)</f>
        <v>0</v>
      </c>
      <c r="BT75" s="381">
        <f t="shared" si="12"/>
        <v>0</v>
      </c>
      <c r="BU75" s="381">
        <f t="shared" si="13"/>
        <v>0</v>
      </c>
    </row>
    <row r="76" spans="1:73" ht="13" hidden="1" x14ac:dyDescent="0.3">
      <c r="A76" s="364">
        <v>3302117</v>
      </c>
      <c r="B76" s="364" t="s">
        <v>288</v>
      </c>
      <c r="C76" s="365">
        <v>0</v>
      </c>
      <c r="D76" s="365">
        <v>0</v>
      </c>
      <c r="E76" s="365">
        <v>0</v>
      </c>
      <c r="F76" s="365">
        <v>22</v>
      </c>
      <c r="G76" s="365">
        <v>12</v>
      </c>
      <c r="H76" s="377">
        <v>0</v>
      </c>
      <c r="I76" s="377">
        <v>34</v>
      </c>
      <c r="J76" s="365">
        <v>0</v>
      </c>
      <c r="K76" s="365">
        <v>0</v>
      </c>
      <c r="L76" s="377">
        <v>0</v>
      </c>
      <c r="M76" s="365">
        <v>0</v>
      </c>
      <c r="N76" s="365">
        <v>0</v>
      </c>
      <c r="O76" s="365">
        <v>330</v>
      </c>
      <c r="P76" s="365">
        <v>180</v>
      </c>
      <c r="Q76" s="377">
        <v>510</v>
      </c>
      <c r="R76" s="365">
        <v>0</v>
      </c>
      <c r="S76" s="365">
        <v>0</v>
      </c>
      <c r="T76" s="365">
        <v>0</v>
      </c>
      <c r="U76" s="365">
        <v>0</v>
      </c>
      <c r="V76" s="377">
        <v>0</v>
      </c>
      <c r="W76" s="365">
        <v>1</v>
      </c>
      <c r="X76" s="365">
        <v>15</v>
      </c>
      <c r="Y76" s="378">
        <v>0</v>
      </c>
      <c r="Z76" s="365">
        <v>2</v>
      </c>
      <c r="AA76" s="365">
        <v>30</v>
      </c>
      <c r="AB76" s="378">
        <v>0</v>
      </c>
      <c r="AC76" s="365">
        <v>29</v>
      </c>
      <c r="AD76" s="365">
        <v>435</v>
      </c>
      <c r="AE76" s="378">
        <v>0</v>
      </c>
      <c r="AF76" s="379">
        <v>0</v>
      </c>
      <c r="AG76" s="379">
        <v>0</v>
      </c>
      <c r="AH76" s="378">
        <v>0</v>
      </c>
      <c r="AI76" s="379">
        <v>4</v>
      </c>
      <c r="AJ76" s="379">
        <v>60</v>
      </c>
      <c r="AK76" s="378">
        <v>0</v>
      </c>
      <c r="AL76" s="365">
        <v>4</v>
      </c>
      <c r="AM76" s="365">
        <v>60</v>
      </c>
      <c r="AN76" s="378">
        <v>0</v>
      </c>
      <c r="AO76" s="378"/>
      <c r="AP76" s="378">
        <f t="shared" si="14"/>
        <v>4</v>
      </c>
      <c r="AQ76" s="465">
        <v>0</v>
      </c>
      <c r="AR76" s="379">
        <v>0</v>
      </c>
      <c r="AS76" s="378">
        <v>0</v>
      </c>
      <c r="AT76" s="466">
        <v>4</v>
      </c>
      <c r="AU76" s="466">
        <v>0</v>
      </c>
      <c r="AV76" s="379">
        <v>4</v>
      </c>
      <c r="AW76" s="379">
        <v>60</v>
      </c>
      <c r="AX76" s="378">
        <v>0</v>
      </c>
      <c r="AY76" s="365">
        <v>4</v>
      </c>
      <c r="AZ76" s="365">
        <v>60</v>
      </c>
      <c r="BA76" s="378">
        <v>0</v>
      </c>
      <c r="BB76" s="378"/>
      <c r="BC76" s="378">
        <f t="shared" si="15"/>
        <v>4</v>
      </c>
      <c r="BD76" s="379">
        <v>0</v>
      </c>
      <c r="BE76" s="379">
        <v>0</v>
      </c>
      <c r="BF76" s="365">
        <v>0</v>
      </c>
      <c r="BO76" s="381">
        <f t="shared" si="10"/>
        <v>4</v>
      </c>
      <c r="BP76" s="381">
        <f t="shared" si="11"/>
        <v>0</v>
      </c>
      <c r="BQ76" s="381"/>
      <c r="BR76" s="381">
        <f>_xlfn.XLOOKUP(A76,'Summer data team '!B:B,'Summer data team '!BV:BV,0)</f>
        <v>4</v>
      </c>
      <c r="BS76" s="381">
        <f>_xlfn.XLOOKUP(A76,'Summer data team '!B:B,'Summer data team '!BW:BW,0)</f>
        <v>0</v>
      </c>
      <c r="BT76" s="381">
        <f t="shared" si="12"/>
        <v>0</v>
      </c>
      <c r="BU76" s="381">
        <f t="shared" si="13"/>
        <v>0</v>
      </c>
    </row>
    <row r="77" spans="1:73" ht="13" hidden="1" x14ac:dyDescent="0.3">
      <c r="A77" s="364">
        <v>3302119</v>
      </c>
      <c r="B77" s="364" t="s">
        <v>289</v>
      </c>
      <c r="C77" s="365">
        <v>0</v>
      </c>
      <c r="D77" s="365">
        <v>0</v>
      </c>
      <c r="E77" s="365">
        <v>0</v>
      </c>
      <c r="F77" s="365">
        <v>9</v>
      </c>
      <c r="G77" s="365">
        <v>12</v>
      </c>
      <c r="H77" s="377">
        <v>0</v>
      </c>
      <c r="I77" s="377">
        <v>21</v>
      </c>
      <c r="J77" s="365">
        <v>0</v>
      </c>
      <c r="K77" s="365">
        <v>0</v>
      </c>
      <c r="L77" s="377">
        <v>0</v>
      </c>
      <c r="M77" s="365">
        <v>0</v>
      </c>
      <c r="N77" s="365">
        <v>0</v>
      </c>
      <c r="O77" s="365">
        <v>135</v>
      </c>
      <c r="P77" s="365">
        <v>180</v>
      </c>
      <c r="Q77" s="377">
        <v>315</v>
      </c>
      <c r="R77" s="365">
        <v>0</v>
      </c>
      <c r="S77" s="365">
        <v>0</v>
      </c>
      <c r="T77" s="365">
        <v>0</v>
      </c>
      <c r="U77" s="365">
        <v>0</v>
      </c>
      <c r="V77" s="377">
        <v>0</v>
      </c>
      <c r="W77" s="365">
        <v>3</v>
      </c>
      <c r="X77" s="365">
        <v>45</v>
      </c>
      <c r="Y77" s="378">
        <v>0</v>
      </c>
      <c r="Z77" s="365">
        <v>1</v>
      </c>
      <c r="AA77" s="365">
        <v>15</v>
      </c>
      <c r="AB77" s="378">
        <v>0</v>
      </c>
      <c r="AC77" s="365">
        <v>4</v>
      </c>
      <c r="AD77" s="365">
        <v>60</v>
      </c>
      <c r="AE77" s="378">
        <v>0</v>
      </c>
      <c r="AF77" s="379">
        <v>0</v>
      </c>
      <c r="AG77" s="379">
        <v>0</v>
      </c>
      <c r="AH77" s="378">
        <v>0</v>
      </c>
      <c r="AI77" s="379">
        <v>12</v>
      </c>
      <c r="AJ77" s="379">
        <v>180</v>
      </c>
      <c r="AK77" s="378">
        <v>0</v>
      </c>
      <c r="AL77" s="365">
        <v>12</v>
      </c>
      <c r="AM77" s="365">
        <v>180</v>
      </c>
      <c r="AN77" s="378">
        <v>0</v>
      </c>
      <c r="AO77" s="378"/>
      <c r="AP77" s="378">
        <f t="shared" si="14"/>
        <v>12</v>
      </c>
      <c r="AQ77" s="465">
        <v>0</v>
      </c>
      <c r="AR77" s="379">
        <v>0</v>
      </c>
      <c r="AS77" s="378">
        <v>0</v>
      </c>
      <c r="AT77" s="466">
        <v>0</v>
      </c>
      <c r="AU77" s="466">
        <v>0</v>
      </c>
      <c r="AV77" s="379">
        <v>0</v>
      </c>
      <c r="AW77" s="379">
        <v>0</v>
      </c>
      <c r="AX77" s="378">
        <v>0</v>
      </c>
      <c r="AY77" s="365">
        <v>0</v>
      </c>
      <c r="AZ77" s="365">
        <v>0</v>
      </c>
      <c r="BA77" s="378">
        <v>0</v>
      </c>
      <c r="BB77" s="378"/>
      <c r="BC77" s="378">
        <f t="shared" si="15"/>
        <v>0</v>
      </c>
      <c r="BD77" s="379">
        <v>0</v>
      </c>
      <c r="BE77" s="379">
        <v>0</v>
      </c>
      <c r="BF77" s="365">
        <v>0</v>
      </c>
      <c r="BO77" s="381">
        <f t="shared" si="10"/>
        <v>0</v>
      </c>
      <c r="BP77" s="381">
        <f t="shared" si="11"/>
        <v>0</v>
      </c>
      <c r="BQ77" s="381"/>
      <c r="BR77" s="381">
        <f>_xlfn.XLOOKUP(A77,'Summer data team '!B:B,'Summer data team '!BV:BV,0)</f>
        <v>0</v>
      </c>
      <c r="BS77" s="381">
        <f>_xlfn.XLOOKUP(A77,'Summer data team '!B:B,'Summer data team '!BW:BW,0)</f>
        <v>0</v>
      </c>
      <c r="BT77" s="381">
        <f t="shared" si="12"/>
        <v>0</v>
      </c>
      <c r="BU77" s="381">
        <f t="shared" si="13"/>
        <v>0</v>
      </c>
    </row>
    <row r="78" spans="1:73" ht="13" hidden="1" x14ac:dyDescent="0.3">
      <c r="A78" s="364">
        <v>3302121</v>
      </c>
      <c r="B78" s="364" t="s">
        <v>290</v>
      </c>
      <c r="C78" s="365">
        <v>0</v>
      </c>
      <c r="D78" s="365">
        <v>0</v>
      </c>
      <c r="E78" s="365">
        <v>0</v>
      </c>
      <c r="F78" s="365">
        <v>13</v>
      </c>
      <c r="G78" s="365">
        <v>14</v>
      </c>
      <c r="H78" s="377">
        <v>0</v>
      </c>
      <c r="I78" s="377">
        <v>27</v>
      </c>
      <c r="J78" s="365">
        <v>0</v>
      </c>
      <c r="K78" s="365">
        <v>1</v>
      </c>
      <c r="L78" s="377">
        <v>1</v>
      </c>
      <c r="M78" s="365">
        <v>0</v>
      </c>
      <c r="N78" s="365">
        <v>0</v>
      </c>
      <c r="O78" s="365">
        <v>195</v>
      </c>
      <c r="P78" s="365">
        <v>210</v>
      </c>
      <c r="Q78" s="377">
        <v>405</v>
      </c>
      <c r="R78" s="365">
        <v>0</v>
      </c>
      <c r="S78" s="365">
        <v>0</v>
      </c>
      <c r="T78" s="365">
        <v>0</v>
      </c>
      <c r="U78" s="365">
        <v>15</v>
      </c>
      <c r="V78" s="377">
        <v>15</v>
      </c>
      <c r="W78" s="365">
        <v>16</v>
      </c>
      <c r="X78" s="365">
        <v>240</v>
      </c>
      <c r="Y78" s="378">
        <v>0</v>
      </c>
      <c r="Z78" s="365">
        <v>7</v>
      </c>
      <c r="AA78" s="365">
        <v>105</v>
      </c>
      <c r="AB78" s="378">
        <v>15</v>
      </c>
      <c r="AC78" s="365">
        <v>0</v>
      </c>
      <c r="AD78" s="365">
        <v>0</v>
      </c>
      <c r="AE78" s="378">
        <v>0</v>
      </c>
      <c r="AF78" s="379">
        <v>0</v>
      </c>
      <c r="AG78" s="379">
        <v>0</v>
      </c>
      <c r="AH78" s="378">
        <v>0</v>
      </c>
      <c r="AI78" s="379">
        <v>16</v>
      </c>
      <c r="AJ78" s="379">
        <v>240</v>
      </c>
      <c r="AK78" s="378">
        <v>0</v>
      </c>
      <c r="AL78" s="365">
        <v>16</v>
      </c>
      <c r="AM78" s="365">
        <v>240</v>
      </c>
      <c r="AN78" s="378">
        <v>0</v>
      </c>
      <c r="AO78" s="378"/>
      <c r="AP78" s="378">
        <f t="shared" si="14"/>
        <v>16</v>
      </c>
      <c r="AQ78" s="465">
        <v>0</v>
      </c>
      <c r="AR78" s="379">
        <v>0</v>
      </c>
      <c r="AS78" s="378">
        <v>0</v>
      </c>
      <c r="AT78" s="466">
        <v>16</v>
      </c>
      <c r="AU78" s="466">
        <v>0</v>
      </c>
      <c r="AV78" s="379">
        <v>16</v>
      </c>
      <c r="AW78" s="379">
        <v>240</v>
      </c>
      <c r="AX78" s="378">
        <v>0</v>
      </c>
      <c r="AY78" s="365">
        <v>16</v>
      </c>
      <c r="AZ78" s="365">
        <v>240</v>
      </c>
      <c r="BA78" s="378">
        <v>0</v>
      </c>
      <c r="BB78" s="378"/>
      <c r="BC78" s="378">
        <f t="shared" si="15"/>
        <v>16</v>
      </c>
      <c r="BD78" s="379">
        <v>0</v>
      </c>
      <c r="BE78" s="379">
        <v>0</v>
      </c>
      <c r="BF78" s="365">
        <v>0</v>
      </c>
      <c r="BO78" s="381">
        <f t="shared" si="10"/>
        <v>16</v>
      </c>
      <c r="BP78" s="381">
        <f t="shared" si="11"/>
        <v>0</v>
      </c>
      <c r="BQ78" s="381"/>
      <c r="BR78" s="381">
        <f>_xlfn.XLOOKUP(A78,'Summer data team '!B:B,'Summer data team '!BV:BV,0)</f>
        <v>16</v>
      </c>
      <c r="BS78" s="381">
        <f>_xlfn.XLOOKUP(A78,'Summer data team '!B:B,'Summer data team '!BW:BW,0)</f>
        <v>0</v>
      </c>
      <c r="BT78" s="381">
        <f t="shared" si="12"/>
        <v>0</v>
      </c>
      <c r="BU78" s="381">
        <f t="shared" si="13"/>
        <v>0</v>
      </c>
    </row>
    <row r="79" spans="1:73" ht="13" hidden="1" x14ac:dyDescent="0.3">
      <c r="A79" s="364">
        <v>3302122</v>
      </c>
      <c r="B79" s="364" t="s">
        <v>850</v>
      </c>
      <c r="C79" s="365">
        <v>0</v>
      </c>
      <c r="D79" s="365">
        <v>0</v>
      </c>
      <c r="E79" s="365">
        <v>0</v>
      </c>
      <c r="F79" s="365">
        <v>43</v>
      </c>
      <c r="G79" s="365">
        <v>22</v>
      </c>
      <c r="H79" s="377">
        <v>0</v>
      </c>
      <c r="I79" s="377">
        <v>65</v>
      </c>
      <c r="J79" s="365">
        <v>1</v>
      </c>
      <c r="K79" s="365">
        <v>3</v>
      </c>
      <c r="L79" s="377">
        <v>4</v>
      </c>
      <c r="M79" s="365">
        <v>0</v>
      </c>
      <c r="N79" s="365">
        <v>0</v>
      </c>
      <c r="O79" s="365">
        <v>645</v>
      </c>
      <c r="P79" s="365">
        <v>330</v>
      </c>
      <c r="Q79" s="377">
        <v>975</v>
      </c>
      <c r="R79" s="365">
        <v>0</v>
      </c>
      <c r="S79" s="365">
        <v>0</v>
      </c>
      <c r="T79" s="365">
        <v>15</v>
      </c>
      <c r="U79" s="365">
        <v>45</v>
      </c>
      <c r="V79" s="377">
        <v>60</v>
      </c>
      <c r="W79" s="365">
        <v>0</v>
      </c>
      <c r="X79" s="365">
        <v>0</v>
      </c>
      <c r="Y79" s="378">
        <v>0</v>
      </c>
      <c r="Z79" s="365">
        <v>9</v>
      </c>
      <c r="AA79" s="365">
        <v>135</v>
      </c>
      <c r="AB79" s="378">
        <v>15</v>
      </c>
      <c r="AC79" s="365">
        <v>38</v>
      </c>
      <c r="AD79" s="365">
        <v>570</v>
      </c>
      <c r="AE79" s="378">
        <v>15</v>
      </c>
      <c r="AF79" s="379">
        <v>0</v>
      </c>
      <c r="AG79" s="379">
        <v>0</v>
      </c>
      <c r="AH79" s="378">
        <v>0</v>
      </c>
      <c r="AI79" s="379">
        <v>15</v>
      </c>
      <c r="AJ79" s="379">
        <v>225</v>
      </c>
      <c r="AK79" s="378">
        <v>30</v>
      </c>
      <c r="AL79" s="365">
        <v>15</v>
      </c>
      <c r="AM79" s="365">
        <v>225</v>
      </c>
      <c r="AN79" s="378">
        <v>30</v>
      </c>
      <c r="AO79" s="378"/>
      <c r="AP79" s="378">
        <f t="shared" si="14"/>
        <v>15</v>
      </c>
      <c r="AQ79" s="465">
        <v>0</v>
      </c>
      <c r="AR79" s="379">
        <v>0</v>
      </c>
      <c r="AS79" s="378">
        <v>0</v>
      </c>
      <c r="AT79" s="466">
        <v>13</v>
      </c>
      <c r="AU79" s="466">
        <v>2</v>
      </c>
      <c r="AV79" s="379">
        <v>15</v>
      </c>
      <c r="AW79" s="379">
        <v>225</v>
      </c>
      <c r="AX79" s="378">
        <v>30</v>
      </c>
      <c r="AY79" s="365">
        <v>15</v>
      </c>
      <c r="AZ79" s="365">
        <v>225</v>
      </c>
      <c r="BA79" s="378">
        <v>30</v>
      </c>
      <c r="BB79" s="378"/>
      <c r="BC79" s="378">
        <f t="shared" si="15"/>
        <v>15</v>
      </c>
      <c r="BD79" s="379">
        <v>0</v>
      </c>
      <c r="BE79" s="379">
        <v>0</v>
      </c>
      <c r="BF79" s="365">
        <v>0</v>
      </c>
      <c r="BO79" s="381">
        <f t="shared" si="10"/>
        <v>13</v>
      </c>
      <c r="BP79" s="381">
        <f t="shared" si="11"/>
        <v>2</v>
      </c>
      <c r="BQ79" s="381"/>
      <c r="BR79" s="381">
        <f>_xlfn.XLOOKUP(A79,'Summer data team '!B:B,'Summer data team '!BV:BV,0)</f>
        <v>13</v>
      </c>
      <c r="BS79" s="381">
        <f>_xlfn.XLOOKUP(A79,'Summer data team '!B:B,'Summer data team '!BW:BW,0)</f>
        <v>2</v>
      </c>
      <c r="BT79" s="381">
        <f t="shared" si="12"/>
        <v>0</v>
      </c>
      <c r="BU79" s="381">
        <f t="shared" si="13"/>
        <v>0</v>
      </c>
    </row>
    <row r="80" spans="1:73" ht="13" hidden="1" x14ac:dyDescent="0.3">
      <c r="A80" s="364">
        <v>3302127</v>
      </c>
      <c r="B80" s="364" t="s">
        <v>292</v>
      </c>
      <c r="C80" s="365">
        <v>0</v>
      </c>
      <c r="D80" s="365">
        <v>0</v>
      </c>
      <c r="E80" s="365">
        <v>0</v>
      </c>
      <c r="F80" s="365">
        <v>15</v>
      </c>
      <c r="G80" s="365">
        <v>26</v>
      </c>
      <c r="H80" s="377">
        <v>0</v>
      </c>
      <c r="I80" s="377">
        <v>41</v>
      </c>
      <c r="J80" s="365">
        <v>1</v>
      </c>
      <c r="K80" s="365">
        <v>5</v>
      </c>
      <c r="L80" s="377">
        <v>6</v>
      </c>
      <c r="M80" s="365">
        <v>0</v>
      </c>
      <c r="N80" s="365">
        <v>0</v>
      </c>
      <c r="O80" s="365">
        <v>225</v>
      </c>
      <c r="P80" s="365">
        <v>390</v>
      </c>
      <c r="Q80" s="377">
        <v>615</v>
      </c>
      <c r="R80" s="365">
        <v>0</v>
      </c>
      <c r="S80" s="365">
        <v>0</v>
      </c>
      <c r="T80" s="365">
        <v>15</v>
      </c>
      <c r="U80" s="365">
        <v>75</v>
      </c>
      <c r="V80" s="377">
        <v>90</v>
      </c>
      <c r="W80" s="365">
        <v>7</v>
      </c>
      <c r="X80" s="365">
        <v>105</v>
      </c>
      <c r="Y80" s="378">
        <v>0</v>
      </c>
      <c r="Z80" s="365">
        <v>19</v>
      </c>
      <c r="AA80" s="365">
        <v>285</v>
      </c>
      <c r="AB80" s="378">
        <v>30</v>
      </c>
      <c r="AC80" s="365">
        <v>14</v>
      </c>
      <c r="AD80" s="365">
        <v>210</v>
      </c>
      <c r="AE80" s="378">
        <v>45</v>
      </c>
      <c r="AF80" s="379">
        <v>0</v>
      </c>
      <c r="AG80" s="379">
        <v>0</v>
      </c>
      <c r="AH80" s="378">
        <v>0</v>
      </c>
      <c r="AI80" s="379">
        <v>15</v>
      </c>
      <c r="AJ80" s="379">
        <v>225</v>
      </c>
      <c r="AK80" s="378">
        <v>15</v>
      </c>
      <c r="AL80" s="365">
        <v>15</v>
      </c>
      <c r="AM80" s="365">
        <v>225</v>
      </c>
      <c r="AN80" s="378">
        <v>15</v>
      </c>
      <c r="AO80" s="378"/>
      <c r="AP80" s="378">
        <f t="shared" si="14"/>
        <v>15</v>
      </c>
      <c r="AQ80" s="465">
        <v>0</v>
      </c>
      <c r="AR80" s="379">
        <v>0</v>
      </c>
      <c r="AS80" s="378">
        <v>0</v>
      </c>
      <c r="AT80" s="466">
        <v>14</v>
      </c>
      <c r="AU80" s="466">
        <v>1</v>
      </c>
      <c r="AV80" s="379">
        <v>15</v>
      </c>
      <c r="AW80" s="379">
        <v>225</v>
      </c>
      <c r="AX80" s="378">
        <v>15</v>
      </c>
      <c r="AY80" s="365">
        <v>15</v>
      </c>
      <c r="AZ80" s="365">
        <v>225</v>
      </c>
      <c r="BA80" s="378">
        <v>15</v>
      </c>
      <c r="BB80" s="378"/>
      <c r="BC80" s="378">
        <f t="shared" si="15"/>
        <v>15</v>
      </c>
      <c r="BD80" s="379">
        <v>0</v>
      </c>
      <c r="BE80" s="379">
        <v>1</v>
      </c>
      <c r="BF80" s="365">
        <v>1</v>
      </c>
      <c r="BO80" s="381">
        <f t="shared" si="10"/>
        <v>14</v>
      </c>
      <c r="BP80" s="381">
        <f t="shared" si="11"/>
        <v>1</v>
      </c>
      <c r="BQ80" s="381"/>
      <c r="BR80" s="381">
        <f>_xlfn.XLOOKUP(A80,'Summer data team '!B:B,'Summer data team '!BV:BV,0)</f>
        <v>14</v>
      </c>
      <c r="BS80" s="381">
        <f>_xlfn.XLOOKUP(A80,'Summer data team '!B:B,'Summer data team '!BW:BW,0)</f>
        <v>1</v>
      </c>
      <c r="BT80" s="381">
        <f t="shared" si="12"/>
        <v>0</v>
      </c>
      <c r="BU80" s="381">
        <f t="shared" si="13"/>
        <v>0</v>
      </c>
    </row>
    <row r="81" spans="1:73" ht="13" hidden="1" x14ac:dyDescent="0.3">
      <c r="A81" s="364">
        <v>3302132</v>
      </c>
      <c r="B81" s="364" t="s">
        <v>293</v>
      </c>
      <c r="C81" s="365">
        <v>0</v>
      </c>
      <c r="D81" s="365">
        <v>0</v>
      </c>
      <c r="E81" s="365">
        <v>0</v>
      </c>
      <c r="F81" s="365">
        <v>15</v>
      </c>
      <c r="G81" s="365">
        <v>32</v>
      </c>
      <c r="H81" s="377">
        <v>0</v>
      </c>
      <c r="I81" s="377">
        <v>47</v>
      </c>
      <c r="J81" s="365">
        <v>0</v>
      </c>
      <c r="K81" s="365">
        <v>0</v>
      </c>
      <c r="L81" s="377">
        <v>0</v>
      </c>
      <c r="M81" s="365">
        <v>0</v>
      </c>
      <c r="N81" s="365">
        <v>0</v>
      </c>
      <c r="O81" s="365">
        <v>225</v>
      </c>
      <c r="P81" s="365">
        <v>480</v>
      </c>
      <c r="Q81" s="377">
        <v>705</v>
      </c>
      <c r="R81" s="365">
        <v>0</v>
      </c>
      <c r="S81" s="365">
        <v>0</v>
      </c>
      <c r="T81" s="365">
        <v>0</v>
      </c>
      <c r="U81" s="365">
        <v>0</v>
      </c>
      <c r="V81" s="377">
        <v>0</v>
      </c>
      <c r="W81" s="365">
        <v>0</v>
      </c>
      <c r="X81" s="365">
        <v>0</v>
      </c>
      <c r="Y81" s="378">
        <v>0</v>
      </c>
      <c r="Z81" s="365">
        <v>12</v>
      </c>
      <c r="AA81" s="365">
        <v>180</v>
      </c>
      <c r="AB81" s="378">
        <v>0</v>
      </c>
      <c r="AC81" s="365">
        <v>34</v>
      </c>
      <c r="AD81" s="365">
        <v>510</v>
      </c>
      <c r="AE81" s="378">
        <v>0</v>
      </c>
      <c r="AF81" s="379">
        <v>0</v>
      </c>
      <c r="AG81" s="379">
        <v>0</v>
      </c>
      <c r="AH81" s="378">
        <v>0</v>
      </c>
      <c r="AI81" s="379">
        <v>16</v>
      </c>
      <c r="AJ81" s="379">
        <v>240</v>
      </c>
      <c r="AK81" s="378">
        <v>0</v>
      </c>
      <c r="AL81" s="365">
        <v>16</v>
      </c>
      <c r="AM81" s="365">
        <v>240</v>
      </c>
      <c r="AN81" s="378">
        <v>0</v>
      </c>
      <c r="AO81" s="378"/>
      <c r="AP81" s="378">
        <f t="shared" si="14"/>
        <v>16</v>
      </c>
      <c r="AQ81" s="465">
        <v>0</v>
      </c>
      <c r="AR81" s="379">
        <v>0</v>
      </c>
      <c r="AS81" s="378">
        <v>0</v>
      </c>
      <c r="AT81" s="466">
        <v>0</v>
      </c>
      <c r="AU81" s="466">
        <v>0</v>
      </c>
      <c r="AV81" s="379">
        <v>0</v>
      </c>
      <c r="AW81" s="379">
        <v>0</v>
      </c>
      <c r="AX81" s="378">
        <v>0</v>
      </c>
      <c r="AY81" s="365">
        <v>0</v>
      </c>
      <c r="AZ81" s="365">
        <v>0</v>
      </c>
      <c r="BA81" s="378">
        <v>0</v>
      </c>
      <c r="BB81" s="378"/>
      <c r="BC81" s="378">
        <f t="shared" si="15"/>
        <v>0</v>
      </c>
      <c r="BD81" s="379">
        <v>0</v>
      </c>
      <c r="BE81" s="379">
        <v>0</v>
      </c>
      <c r="BF81" s="365">
        <v>0</v>
      </c>
      <c r="BO81" s="381">
        <f t="shared" si="10"/>
        <v>0</v>
      </c>
      <c r="BP81" s="381">
        <f t="shared" si="11"/>
        <v>0</v>
      </c>
      <c r="BQ81" s="381"/>
      <c r="BR81" s="381">
        <f>_xlfn.XLOOKUP(A81,'Summer data team '!B:B,'Summer data team '!BV:BV,0)</f>
        <v>0</v>
      </c>
      <c r="BS81" s="381">
        <f>_xlfn.XLOOKUP(A81,'Summer data team '!B:B,'Summer data team '!BW:BW,0)</f>
        <v>0</v>
      </c>
      <c r="BT81" s="381">
        <f t="shared" si="12"/>
        <v>0</v>
      </c>
      <c r="BU81" s="381">
        <f t="shared" si="13"/>
        <v>0</v>
      </c>
    </row>
    <row r="82" spans="1:73" ht="13" hidden="1" x14ac:dyDescent="0.3">
      <c r="A82" s="364">
        <v>3302136</v>
      </c>
      <c r="B82" s="364" t="s">
        <v>294</v>
      </c>
      <c r="C82" s="365">
        <v>0</v>
      </c>
      <c r="D82" s="365">
        <v>0</v>
      </c>
      <c r="E82" s="365">
        <v>0</v>
      </c>
      <c r="F82" s="365">
        <v>15</v>
      </c>
      <c r="G82" s="365">
        <v>18</v>
      </c>
      <c r="H82" s="377">
        <v>0</v>
      </c>
      <c r="I82" s="377">
        <v>33</v>
      </c>
      <c r="J82" s="365">
        <v>4</v>
      </c>
      <c r="K82" s="365">
        <v>9</v>
      </c>
      <c r="L82" s="377">
        <v>13</v>
      </c>
      <c r="M82" s="365">
        <v>0</v>
      </c>
      <c r="N82" s="365">
        <v>0</v>
      </c>
      <c r="O82" s="365">
        <v>225</v>
      </c>
      <c r="P82" s="365">
        <v>270</v>
      </c>
      <c r="Q82" s="377">
        <v>495</v>
      </c>
      <c r="R82" s="365">
        <v>0</v>
      </c>
      <c r="S82" s="365">
        <v>0</v>
      </c>
      <c r="T82" s="365">
        <v>60</v>
      </c>
      <c r="U82" s="365">
        <v>135</v>
      </c>
      <c r="V82" s="377">
        <v>195</v>
      </c>
      <c r="W82" s="365">
        <v>9</v>
      </c>
      <c r="X82" s="365">
        <v>135</v>
      </c>
      <c r="Y82" s="378">
        <v>30</v>
      </c>
      <c r="Z82" s="365">
        <v>2</v>
      </c>
      <c r="AA82" s="365">
        <v>30</v>
      </c>
      <c r="AB82" s="378">
        <v>0</v>
      </c>
      <c r="AC82" s="365">
        <v>12</v>
      </c>
      <c r="AD82" s="365">
        <v>180</v>
      </c>
      <c r="AE82" s="378">
        <v>90</v>
      </c>
      <c r="AF82" s="379">
        <v>0</v>
      </c>
      <c r="AG82" s="379">
        <v>0</v>
      </c>
      <c r="AH82" s="378">
        <v>0</v>
      </c>
      <c r="AI82" s="379">
        <v>11</v>
      </c>
      <c r="AJ82" s="379">
        <v>165</v>
      </c>
      <c r="AK82" s="378">
        <v>45</v>
      </c>
      <c r="AL82" s="365">
        <v>11</v>
      </c>
      <c r="AM82" s="365">
        <v>165</v>
      </c>
      <c r="AN82" s="378">
        <v>45</v>
      </c>
      <c r="AO82" s="378"/>
      <c r="AP82" s="378">
        <f t="shared" si="14"/>
        <v>11</v>
      </c>
      <c r="AQ82" s="465">
        <v>0</v>
      </c>
      <c r="AR82" s="379">
        <v>0</v>
      </c>
      <c r="AS82" s="378">
        <v>0</v>
      </c>
      <c r="AT82" s="466">
        <v>8</v>
      </c>
      <c r="AU82" s="466">
        <v>3</v>
      </c>
      <c r="AV82" s="379">
        <v>11</v>
      </c>
      <c r="AW82" s="379">
        <v>165</v>
      </c>
      <c r="AX82" s="378">
        <v>45</v>
      </c>
      <c r="AY82" s="365">
        <v>11</v>
      </c>
      <c r="AZ82" s="365">
        <v>165</v>
      </c>
      <c r="BA82" s="378">
        <v>45</v>
      </c>
      <c r="BB82" s="378"/>
      <c r="BC82" s="378">
        <f t="shared" si="15"/>
        <v>11</v>
      </c>
      <c r="BD82" s="379">
        <v>0</v>
      </c>
      <c r="BE82" s="379">
        <v>0</v>
      </c>
      <c r="BF82" s="365">
        <v>0</v>
      </c>
      <c r="BO82" s="381">
        <f t="shared" si="10"/>
        <v>8</v>
      </c>
      <c r="BP82" s="381">
        <f t="shared" si="11"/>
        <v>3</v>
      </c>
      <c r="BQ82" s="381"/>
      <c r="BR82" s="381">
        <f>_xlfn.XLOOKUP(A82,'Summer data team '!B:B,'Summer data team '!BV:BV,0)</f>
        <v>8</v>
      </c>
      <c r="BS82" s="381">
        <f>_xlfn.XLOOKUP(A82,'Summer data team '!B:B,'Summer data team '!BW:BW,0)</f>
        <v>3</v>
      </c>
      <c r="BT82" s="381">
        <f t="shared" si="12"/>
        <v>0</v>
      </c>
      <c r="BU82" s="381">
        <f t="shared" si="13"/>
        <v>0</v>
      </c>
    </row>
    <row r="83" spans="1:73" ht="13" hidden="1" x14ac:dyDescent="0.3">
      <c r="A83" s="364">
        <v>3302138</v>
      </c>
      <c r="B83" s="364" t="s">
        <v>295</v>
      </c>
      <c r="C83" s="365">
        <v>0</v>
      </c>
      <c r="D83" s="365">
        <v>0</v>
      </c>
      <c r="E83" s="365">
        <v>0</v>
      </c>
      <c r="F83" s="365">
        <v>23</v>
      </c>
      <c r="G83" s="365">
        <v>16</v>
      </c>
      <c r="H83" s="377">
        <v>0</v>
      </c>
      <c r="I83" s="377">
        <v>39</v>
      </c>
      <c r="J83" s="365">
        <v>5</v>
      </c>
      <c r="K83" s="365">
        <v>3</v>
      </c>
      <c r="L83" s="377">
        <v>8</v>
      </c>
      <c r="M83" s="365">
        <v>0</v>
      </c>
      <c r="N83" s="365">
        <v>0</v>
      </c>
      <c r="O83" s="365">
        <v>345</v>
      </c>
      <c r="P83" s="365">
        <v>240</v>
      </c>
      <c r="Q83" s="377">
        <v>585</v>
      </c>
      <c r="R83" s="365">
        <v>0</v>
      </c>
      <c r="S83" s="365">
        <v>0</v>
      </c>
      <c r="T83" s="365">
        <v>75</v>
      </c>
      <c r="U83" s="365">
        <v>45</v>
      </c>
      <c r="V83" s="377">
        <v>120</v>
      </c>
      <c r="W83" s="365">
        <v>0</v>
      </c>
      <c r="X83" s="365">
        <v>0</v>
      </c>
      <c r="Y83" s="378">
        <v>0</v>
      </c>
      <c r="Z83" s="365">
        <v>0</v>
      </c>
      <c r="AA83" s="365">
        <v>0</v>
      </c>
      <c r="AB83" s="378">
        <v>0</v>
      </c>
      <c r="AC83" s="365">
        <v>7</v>
      </c>
      <c r="AD83" s="365">
        <v>105</v>
      </c>
      <c r="AE83" s="378">
        <v>0</v>
      </c>
      <c r="AF83" s="379">
        <v>0</v>
      </c>
      <c r="AG83" s="379">
        <v>0</v>
      </c>
      <c r="AH83" s="378">
        <v>0</v>
      </c>
      <c r="AI83" s="379">
        <v>9</v>
      </c>
      <c r="AJ83" s="379">
        <v>135</v>
      </c>
      <c r="AK83" s="378">
        <v>90</v>
      </c>
      <c r="AL83" s="365">
        <v>9</v>
      </c>
      <c r="AM83" s="365">
        <v>135</v>
      </c>
      <c r="AN83" s="378">
        <v>90</v>
      </c>
      <c r="AO83" s="378"/>
      <c r="AP83" s="378">
        <f t="shared" si="14"/>
        <v>9</v>
      </c>
      <c r="AQ83" s="465">
        <v>0</v>
      </c>
      <c r="AR83" s="379">
        <v>0</v>
      </c>
      <c r="AS83" s="378">
        <v>0</v>
      </c>
      <c r="AT83" s="466">
        <v>3</v>
      </c>
      <c r="AU83" s="466">
        <v>6</v>
      </c>
      <c r="AV83" s="379">
        <v>9</v>
      </c>
      <c r="AW83" s="379">
        <v>135</v>
      </c>
      <c r="AX83" s="378">
        <v>90</v>
      </c>
      <c r="AY83" s="365">
        <v>9</v>
      </c>
      <c r="AZ83" s="365">
        <v>135</v>
      </c>
      <c r="BA83" s="378">
        <v>90</v>
      </c>
      <c r="BB83" s="378"/>
      <c r="BC83" s="378">
        <f t="shared" si="15"/>
        <v>9</v>
      </c>
      <c r="BD83" s="379">
        <v>0</v>
      </c>
      <c r="BE83" s="379">
        <v>0</v>
      </c>
      <c r="BF83" s="365">
        <v>0</v>
      </c>
      <c r="BO83" s="381">
        <f t="shared" si="10"/>
        <v>3</v>
      </c>
      <c r="BP83" s="381">
        <f t="shared" si="11"/>
        <v>6</v>
      </c>
      <c r="BQ83" s="381"/>
      <c r="BR83" s="381">
        <f>_xlfn.XLOOKUP(A83,'Summer data team '!B:B,'Summer data team '!BV:BV,0)</f>
        <v>3</v>
      </c>
      <c r="BS83" s="381">
        <f>_xlfn.XLOOKUP(A83,'Summer data team '!B:B,'Summer data team '!BW:BW,0)</f>
        <v>6</v>
      </c>
      <c r="BT83" s="381">
        <f t="shared" si="12"/>
        <v>0</v>
      </c>
      <c r="BU83" s="381">
        <f t="shared" si="13"/>
        <v>0</v>
      </c>
    </row>
    <row r="84" spans="1:73" ht="13" hidden="1" x14ac:dyDescent="0.3">
      <c r="A84" s="364">
        <v>3302141</v>
      </c>
      <c r="B84" s="364" t="s">
        <v>296</v>
      </c>
      <c r="C84" s="365">
        <v>0</v>
      </c>
      <c r="D84" s="365">
        <v>0</v>
      </c>
      <c r="E84" s="365">
        <v>0</v>
      </c>
      <c r="F84" s="365">
        <v>11</v>
      </c>
      <c r="G84" s="365">
        <v>7</v>
      </c>
      <c r="H84" s="377">
        <v>0</v>
      </c>
      <c r="I84" s="377">
        <v>18</v>
      </c>
      <c r="J84" s="365">
        <v>0</v>
      </c>
      <c r="K84" s="365">
        <v>0</v>
      </c>
      <c r="L84" s="377">
        <v>0</v>
      </c>
      <c r="M84" s="365">
        <v>0</v>
      </c>
      <c r="N84" s="365">
        <v>0</v>
      </c>
      <c r="O84" s="365">
        <v>165</v>
      </c>
      <c r="P84" s="365">
        <v>105</v>
      </c>
      <c r="Q84" s="377">
        <v>270</v>
      </c>
      <c r="R84" s="365">
        <v>0</v>
      </c>
      <c r="S84" s="365">
        <v>0</v>
      </c>
      <c r="T84" s="365">
        <v>0</v>
      </c>
      <c r="U84" s="365">
        <v>0</v>
      </c>
      <c r="V84" s="377">
        <v>0</v>
      </c>
      <c r="W84" s="365">
        <v>17</v>
      </c>
      <c r="X84" s="365">
        <v>255</v>
      </c>
      <c r="Y84" s="378">
        <v>0</v>
      </c>
      <c r="Z84" s="365">
        <v>0</v>
      </c>
      <c r="AA84" s="365">
        <v>0</v>
      </c>
      <c r="AB84" s="378">
        <v>0</v>
      </c>
      <c r="AC84" s="365">
        <v>0</v>
      </c>
      <c r="AD84" s="365">
        <v>0</v>
      </c>
      <c r="AE84" s="378">
        <v>0</v>
      </c>
      <c r="AF84" s="379">
        <v>0</v>
      </c>
      <c r="AG84" s="379">
        <v>0</v>
      </c>
      <c r="AH84" s="378">
        <v>0</v>
      </c>
      <c r="AI84" s="379">
        <v>0</v>
      </c>
      <c r="AJ84" s="379">
        <v>0</v>
      </c>
      <c r="AK84" s="378">
        <v>0</v>
      </c>
      <c r="AL84" s="365">
        <v>0</v>
      </c>
      <c r="AM84" s="365">
        <v>0</v>
      </c>
      <c r="AN84" s="378">
        <v>0</v>
      </c>
      <c r="AO84" s="378"/>
      <c r="AP84" s="378">
        <f t="shared" si="14"/>
        <v>0</v>
      </c>
      <c r="AQ84" s="465">
        <v>0</v>
      </c>
      <c r="AR84" s="379">
        <v>0</v>
      </c>
      <c r="AS84" s="378">
        <v>0</v>
      </c>
      <c r="AT84" s="466">
        <v>0</v>
      </c>
      <c r="AU84" s="466">
        <v>0</v>
      </c>
      <c r="AV84" s="379">
        <v>0</v>
      </c>
      <c r="AW84" s="379">
        <v>0</v>
      </c>
      <c r="AX84" s="378">
        <v>0</v>
      </c>
      <c r="AY84" s="365">
        <v>0</v>
      </c>
      <c r="AZ84" s="365">
        <v>0</v>
      </c>
      <c r="BA84" s="378">
        <v>0</v>
      </c>
      <c r="BB84" s="378"/>
      <c r="BC84" s="378">
        <f t="shared" si="15"/>
        <v>0</v>
      </c>
      <c r="BD84" s="379">
        <v>0</v>
      </c>
      <c r="BE84" s="379">
        <v>0</v>
      </c>
      <c r="BF84" s="365">
        <v>0</v>
      </c>
      <c r="BO84" s="381">
        <f t="shared" si="10"/>
        <v>0</v>
      </c>
      <c r="BP84" s="381">
        <f t="shared" si="11"/>
        <v>0</v>
      </c>
      <c r="BQ84" s="381"/>
      <c r="BR84" s="381">
        <f>_xlfn.XLOOKUP(A84,'Summer data team '!B:B,'Summer data team '!BV:BV,0)</f>
        <v>0</v>
      </c>
      <c r="BS84" s="381">
        <f>_xlfn.XLOOKUP(A84,'Summer data team '!B:B,'Summer data team '!BW:BW,0)</f>
        <v>0</v>
      </c>
      <c r="BT84" s="381">
        <f t="shared" si="12"/>
        <v>0</v>
      </c>
      <c r="BU84" s="381">
        <f t="shared" si="13"/>
        <v>0</v>
      </c>
    </row>
    <row r="85" spans="1:73" ht="13" hidden="1" x14ac:dyDescent="0.3">
      <c r="A85" s="364">
        <v>3302142</v>
      </c>
      <c r="B85" s="364" t="s">
        <v>297</v>
      </c>
      <c r="C85" s="365">
        <v>0</v>
      </c>
      <c r="D85" s="365">
        <v>0</v>
      </c>
      <c r="E85" s="365">
        <v>0</v>
      </c>
      <c r="F85" s="365">
        <v>8</v>
      </c>
      <c r="G85" s="365">
        <v>16</v>
      </c>
      <c r="H85" s="377">
        <v>0</v>
      </c>
      <c r="I85" s="377">
        <v>24</v>
      </c>
      <c r="J85" s="365">
        <v>0</v>
      </c>
      <c r="K85" s="365">
        <v>0</v>
      </c>
      <c r="L85" s="377">
        <v>0</v>
      </c>
      <c r="M85" s="365">
        <v>0</v>
      </c>
      <c r="N85" s="365">
        <v>0</v>
      </c>
      <c r="O85" s="365">
        <v>120</v>
      </c>
      <c r="P85" s="365">
        <v>240</v>
      </c>
      <c r="Q85" s="377">
        <v>360</v>
      </c>
      <c r="R85" s="365">
        <v>0</v>
      </c>
      <c r="S85" s="365">
        <v>0</v>
      </c>
      <c r="T85" s="365">
        <v>0</v>
      </c>
      <c r="U85" s="365">
        <v>0</v>
      </c>
      <c r="V85" s="377">
        <v>0</v>
      </c>
      <c r="W85" s="365">
        <v>14</v>
      </c>
      <c r="X85" s="365">
        <v>210</v>
      </c>
      <c r="Y85" s="378">
        <v>0</v>
      </c>
      <c r="Z85" s="365">
        <v>0</v>
      </c>
      <c r="AA85" s="365">
        <v>0</v>
      </c>
      <c r="AB85" s="378">
        <v>0</v>
      </c>
      <c r="AC85" s="365">
        <v>2</v>
      </c>
      <c r="AD85" s="365">
        <v>30</v>
      </c>
      <c r="AE85" s="378">
        <v>0</v>
      </c>
      <c r="AF85" s="379">
        <v>0</v>
      </c>
      <c r="AG85" s="379">
        <v>0</v>
      </c>
      <c r="AH85" s="378">
        <v>0</v>
      </c>
      <c r="AI85" s="379">
        <v>18</v>
      </c>
      <c r="AJ85" s="379">
        <v>270</v>
      </c>
      <c r="AK85" s="378">
        <v>0</v>
      </c>
      <c r="AL85" s="365">
        <v>18</v>
      </c>
      <c r="AM85" s="365">
        <v>270</v>
      </c>
      <c r="AN85" s="378">
        <v>0</v>
      </c>
      <c r="AO85" s="378"/>
      <c r="AP85" s="378">
        <f t="shared" si="14"/>
        <v>18</v>
      </c>
      <c r="AQ85" s="465">
        <v>0</v>
      </c>
      <c r="AR85" s="379">
        <v>0</v>
      </c>
      <c r="AS85" s="378">
        <v>0</v>
      </c>
      <c r="AT85" s="466">
        <v>18</v>
      </c>
      <c r="AU85" s="466">
        <v>0</v>
      </c>
      <c r="AV85" s="379">
        <v>18</v>
      </c>
      <c r="AW85" s="379">
        <v>270</v>
      </c>
      <c r="AX85" s="378">
        <v>0</v>
      </c>
      <c r="AY85" s="365">
        <v>18</v>
      </c>
      <c r="AZ85" s="365">
        <v>270</v>
      </c>
      <c r="BA85" s="378">
        <v>0</v>
      </c>
      <c r="BB85" s="378"/>
      <c r="BC85" s="378">
        <f t="shared" si="15"/>
        <v>18</v>
      </c>
      <c r="BD85" s="379">
        <v>0</v>
      </c>
      <c r="BE85" s="379">
        <v>0</v>
      </c>
      <c r="BF85" s="365">
        <v>0</v>
      </c>
      <c r="BO85" s="381">
        <f t="shared" si="10"/>
        <v>18</v>
      </c>
      <c r="BP85" s="381">
        <f t="shared" si="11"/>
        <v>0</v>
      </c>
      <c r="BQ85" s="381"/>
      <c r="BR85" s="381">
        <f>_xlfn.XLOOKUP(A85,'Summer data team '!B:B,'Summer data team '!BV:BV,0)</f>
        <v>18</v>
      </c>
      <c r="BS85" s="381">
        <f>_xlfn.XLOOKUP(A85,'Summer data team '!B:B,'Summer data team '!BW:BW,0)</f>
        <v>0</v>
      </c>
      <c r="BT85" s="381">
        <f t="shared" si="12"/>
        <v>0</v>
      </c>
      <c r="BU85" s="381">
        <f t="shared" si="13"/>
        <v>0</v>
      </c>
    </row>
    <row r="86" spans="1:73" ht="13" hidden="1" x14ac:dyDescent="0.3">
      <c r="A86" s="364">
        <v>3302144</v>
      </c>
      <c r="B86" s="364" t="s">
        <v>298</v>
      </c>
      <c r="C86" s="365">
        <v>0</v>
      </c>
      <c r="D86" s="365">
        <v>0</v>
      </c>
      <c r="E86" s="365">
        <v>0</v>
      </c>
      <c r="F86" s="365">
        <v>14</v>
      </c>
      <c r="G86" s="365">
        <v>34</v>
      </c>
      <c r="H86" s="377">
        <v>0</v>
      </c>
      <c r="I86" s="377">
        <v>48</v>
      </c>
      <c r="J86" s="365">
        <v>2</v>
      </c>
      <c r="K86" s="365">
        <v>1</v>
      </c>
      <c r="L86" s="377">
        <v>3</v>
      </c>
      <c r="M86" s="365">
        <v>0</v>
      </c>
      <c r="N86" s="365">
        <v>0</v>
      </c>
      <c r="O86" s="365">
        <v>210</v>
      </c>
      <c r="P86" s="365">
        <v>510</v>
      </c>
      <c r="Q86" s="377">
        <v>720</v>
      </c>
      <c r="R86" s="365">
        <v>0</v>
      </c>
      <c r="S86" s="365">
        <v>0</v>
      </c>
      <c r="T86" s="365">
        <v>30</v>
      </c>
      <c r="U86" s="365">
        <v>15</v>
      </c>
      <c r="V86" s="377">
        <v>45</v>
      </c>
      <c r="W86" s="365">
        <v>1</v>
      </c>
      <c r="X86" s="365">
        <v>15</v>
      </c>
      <c r="Y86" s="378">
        <v>15</v>
      </c>
      <c r="Z86" s="365">
        <v>15</v>
      </c>
      <c r="AA86" s="365">
        <v>225</v>
      </c>
      <c r="AB86" s="378">
        <v>0</v>
      </c>
      <c r="AC86" s="365">
        <v>29</v>
      </c>
      <c r="AD86" s="365">
        <v>435</v>
      </c>
      <c r="AE86" s="378">
        <v>30</v>
      </c>
      <c r="AF86" s="379">
        <v>0</v>
      </c>
      <c r="AG86" s="379">
        <v>0</v>
      </c>
      <c r="AH86" s="378">
        <v>0</v>
      </c>
      <c r="AI86" s="379">
        <v>23</v>
      </c>
      <c r="AJ86" s="379">
        <v>345</v>
      </c>
      <c r="AK86" s="378">
        <v>0</v>
      </c>
      <c r="AL86" s="365">
        <v>23</v>
      </c>
      <c r="AM86" s="365">
        <v>345</v>
      </c>
      <c r="AN86" s="378">
        <v>0</v>
      </c>
      <c r="AO86" s="378"/>
      <c r="AP86" s="378">
        <f t="shared" si="14"/>
        <v>23</v>
      </c>
      <c r="AQ86" s="465">
        <v>0</v>
      </c>
      <c r="AR86" s="379">
        <v>0</v>
      </c>
      <c r="AS86" s="378">
        <v>0</v>
      </c>
      <c r="AT86" s="466">
        <v>23</v>
      </c>
      <c r="AU86" s="466">
        <v>0</v>
      </c>
      <c r="AV86" s="379">
        <v>23</v>
      </c>
      <c r="AW86" s="379">
        <v>345</v>
      </c>
      <c r="AX86" s="378">
        <v>0</v>
      </c>
      <c r="AY86" s="365">
        <v>23</v>
      </c>
      <c r="AZ86" s="365">
        <v>345</v>
      </c>
      <c r="BA86" s="378">
        <v>0</v>
      </c>
      <c r="BB86" s="378"/>
      <c r="BC86" s="378">
        <f t="shared" si="15"/>
        <v>23</v>
      </c>
      <c r="BD86" s="379">
        <v>0</v>
      </c>
      <c r="BE86" s="379">
        <v>0</v>
      </c>
      <c r="BF86" s="365">
        <v>0</v>
      </c>
      <c r="BO86" s="381">
        <f t="shared" si="10"/>
        <v>23</v>
      </c>
      <c r="BP86" s="381">
        <f t="shared" si="11"/>
        <v>0</v>
      </c>
      <c r="BQ86" s="381"/>
      <c r="BR86" s="381">
        <f>_xlfn.XLOOKUP(A86,'Summer data team '!B:B,'Summer data team '!BV:BV,0)</f>
        <v>23</v>
      </c>
      <c r="BS86" s="381">
        <f>_xlfn.XLOOKUP(A86,'Summer data team '!B:B,'Summer data team '!BW:BW,0)</f>
        <v>0</v>
      </c>
      <c r="BT86" s="381">
        <f t="shared" si="12"/>
        <v>0</v>
      </c>
      <c r="BU86" s="381">
        <f t="shared" si="13"/>
        <v>0</v>
      </c>
    </row>
    <row r="87" spans="1:73" ht="13" hidden="1" x14ac:dyDescent="0.3">
      <c r="A87" s="364">
        <v>3302146</v>
      </c>
      <c r="B87" s="364" t="s">
        <v>299</v>
      </c>
      <c r="C87" s="365">
        <v>0</v>
      </c>
      <c r="D87" s="365">
        <v>0</v>
      </c>
      <c r="E87" s="365">
        <v>0</v>
      </c>
      <c r="F87" s="365">
        <v>19</v>
      </c>
      <c r="G87" s="365">
        <v>30</v>
      </c>
      <c r="H87" s="377">
        <v>0</v>
      </c>
      <c r="I87" s="377">
        <v>49</v>
      </c>
      <c r="J87" s="365">
        <v>0</v>
      </c>
      <c r="K87" s="365">
        <v>0</v>
      </c>
      <c r="L87" s="377">
        <v>0</v>
      </c>
      <c r="M87" s="365">
        <v>0</v>
      </c>
      <c r="N87" s="365">
        <v>0</v>
      </c>
      <c r="O87" s="365">
        <v>285</v>
      </c>
      <c r="P87" s="365">
        <v>450</v>
      </c>
      <c r="Q87" s="377">
        <v>735</v>
      </c>
      <c r="R87" s="365">
        <v>0</v>
      </c>
      <c r="S87" s="365">
        <v>0</v>
      </c>
      <c r="T87" s="365">
        <v>0</v>
      </c>
      <c r="U87" s="365">
        <v>0</v>
      </c>
      <c r="V87" s="377">
        <v>0</v>
      </c>
      <c r="W87" s="365">
        <v>2</v>
      </c>
      <c r="X87" s="365">
        <v>30</v>
      </c>
      <c r="Y87" s="378">
        <v>0</v>
      </c>
      <c r="Z87" s="365">
        <v>3</v>
      </c>
      <c r="AA87" s="365">
        <v>45</v>
      </c>
      <c r="AB87" s="378">
        <v>0</v>
      </c>
      <c r="AC87" s="365">
        <v>39</v>
      </c>
      <c r="AD87" s="365">
        <v>585</v>
      </c>
      <c r="AE87" s="378">
        <v>0</v>
      </c>
      <c r="AF87" s="379">
        <v>0</v>
      </c>
      <c r="AG87" s="379">
        <v>0</v>
      </c>
      <c r="AH87" s="378">
        <v>0</v>
      </c>
      <c r="AI87" s="379">
        <v>28</v>
      </c>
      <c r="AJ87" s="379">
        <v>420</v>
      </c>
      <c r="AK87" s="378">
        <v>0</v>
      </c>
      <c r="AL87" s="365">
        <v>28</v>
      </c>
      <c r="AM87" s="365">
        <v>420</v>
      </c>
      <c r="AN87" s="378">
        <v>0</v>
      </c>
      <c r="AO87" s="378"/>
      <c r="AP87" s="378">
        <f t="shared" si="14"/>
        <v>28</v>
      </c>
      <c r="AQ87" s="465">
        <v>0</v>
      </c>
      <c r="AR87" s="379">
        <v>0</v>
      </c>
      <c r="AS87" s="378">
        <v>0</v>
      </c>
      <c r="AT87" s="466">
        <v>28</v>
      </c>
      <c r="AU87" s="466">
        <v>0</v>
      </c>
      <c r="AV87" s="379">
        <v>28</v>
      </c>
      <c r="AW87" s="379">
        <v>420</v>
      </c>
      <c r="AX87" s="378">
        <v>0</v>
      </c>
      <c r="AY87" s="365">
        <v>28</v>
      </c>
      <c r="AZ87" s="365">
        <v>420</v>
      </c>
      <c r="BA87" s="378">
        <v>0</v>
      </c>
      <c r="BB87" s="378"/>
      <c r="BC87" s="378">
        <f t="shared" si="15"/>
        <v>28</v>
      </c>
      <c r="BD87" s="379">
        <v>0</v>
      </c>
      <c r="BE87" s="379">
        <v>0</v>
      </c>
      <c r="BF87" s="365">
        <v>0</v>
      </c>
      <c r="BO87" s="381">
        <f t="shared" si="10"/>
        <v>28</v>
      </c>
      <c r="BP87" s="381">
        <f t="shared" si="11"/>
        <v>0</v>
      </c>
      <c r="BQ87" s="381"/>
      <c r="BR87" s="381">
        <f>_xlfn.XLOOKUP(A87,'Summer data team '!B:B,'Summer data team '!BV:BV,0)</f>
        <v>28</v>
      </c>
      <c r="BS87" s="381">
        <f>_xlfn.XLOOKUP(A87,'Summer data team '!B:B,'Summer data team '!BW:BW,0)</f>
        <v>0</v>
      </c>
      <c r="BT87" s="381">
        <f t="shared" si="12"/>
        <v>0</v>
      </c>
      <c r="BU87" s="381">
        <f t="shared" si="13"/>
        <v>0</v>
      </c>
    </row>
    <row r="88" spans="1:73" ht="13" hidden="1" x14ac:dyDescent="0.3">
      <c r="A88" s="364">
        <v>3302149</v>
      </c>
      <c r="B88" s="364" t="s">
        <v>300</v>
      </c>
      <c r="C88" s="365">
        <v>0</v>
      </c>
      <c r="D88" s="365">
        <v>0</v>
      </c>
      <c r="E88" s="365">
        <v>0</v>
      </c>
      <c r="F88" s="365">
        <v>8</v>
      </c>
      <c r="G88" s="365">
        <v>16</v>
      </c>
      <c r="H88" s="377">
        <v>0</v>
      </c>
      <c r="I88" s="377">
        <v>24</v>
      </c>
      <c r="J88" s="365">
        <v>0</v>
      </c>
      <c r="K88" s="365">
        <v>0</v>
      </c>
      <c r="L88" s="377">
        <v>0</v>
      </c>
      <c r="M88" s="365">
        <v>0</v>
      </c>
      <c r="N88" s="365">
        <v>0</v>
      </c>
      <c r="O88" s="365">
        <v>120</v>
      </c>
      <c r="P88" s="365">
        <v>240</v>
      </c>
      <c r="Q88" s="377">
        <v>360</v>
      </c>
      <c r="R88" s="365">
        <v>0</v>
      </c>
      <c r="S88" s="365">
        <v>0</v>
      </c>
      <c r="T88" s="365">
        <v>0</v>
      </c>
      <c r="U88" s="365">
        <v>0</v>
      </c>
      <c r="V88" s="377">
        <v>0</v>
      </c>
      <c r="W88" s="365">
        <v>0</v>
      </c>
      <c r="X88" s="365">
        <v>0</v>
      </c>
      <c r="Y88" s="378">
        <v>0</v>
      </c>
      <c r="Z88" s="365">
        <v>5</v>
      </c>
      <c r="AA88" s="365">
        <v>75</v>
      </c>
      <c r="AB88" s="378">
        <v>0</v>
      </c>
      <c r="AC88" s="365">
        <v>7</v>
      </c>
      <c r="AD88" s="365">
        <v>105</v>
      </c>
      <c r="AE88" s="378">
        <v>0</v>
      </c>
      <c r="AF88" s="379">
        <v>0</v>
      </c>
      <c r="AG88" s="379">
        <v>0</v>
      </c>
      <c r="AH88" s="378">
        <v>0</v>
      </c>
      <c r="AI88" s="379">
        <v>7</v>
      </c>
      <c r="AJ88" s="379">
        <v>105</v>
      </c>
      <c r="AK88" s="378">
        <v>0</v>
      </c>
      <c r="AL88" s="365">
        <v>7</v>
      </c>
      <c r="AM88" s="365">
        <v>105</v>
      </c>
      <c r="AN88" s="378">
        <v>0</v>
      </c>
      <c r="AO88" s="378"/>
      <c r="AP88" s="378">
        <f t="shared" si="14"/>
        <v>7</v>
      </c>
      <c r="AQ88" s="465">
        <v>0</v>
      </c>
      <c r="AR88" s="379">
        <v>0</v>
      </c>
      <c r="AS88" s="378">
        <v>0</v>
      </c>
      <c r="AT88" s="466">
        <v>7</v>
      </c>
      <c r="AU88" s="466">
        <v>0</v>
      </c>
      <c r="AV88" s="379">
        <v>7</v>
      </c>
      <c r="AW88" s="379">
        <v>105</v>
      </c>
      <c r="AX88" s="378">
        <v>0</v>
      </c>
      <c r="AY88" s="365">
        <v>7</v>
      </c>
      <c r="AZ88" s="365">
        <v>105</v>
      </c>
      <c r="BA88" s="378">
        <v>0</v>
      </c>
      <c r="BB88" s="378"/>
      <c r="BC88" s="378">
        <f t="shared" si="15"/>
        <v>7</v>
      </c>
      <c r="BD88" s="379">
        <v>0</v>
      </c>
      <c r="BE88" s="379">
        <v>0</v>
      </c>
      <c r="BF88" s="365">
        <v>0</v>
      </c>
      <c r="BO88" s="381">
        <f t="shared" si="10"/>
        <v>7</v>
      </c>
      <c r="BP88" s="381">
        <f t="shared" si="11"/>
        <v>0</v>
      </c>
      <c r="BQ88" s="381"/>
      <c r="BR88" s="381">
        <f>_xlfn.XLOOKUP(A88,'Summer data team '!B:B,'Summer data team '!BV:BV,0)</f>
        <v>7</v>
      </c>
      <c r="BS88" s="381">
        <f>_xlfn.XLOOKUP(A88,'Summer data team '!B:B,'Summer data team '!BW:BW,0)</f>
        <v>0</v>
      </c>
      <c r="BT88" s="381">
        <f t="shared" si="12"/>
        <v>0</v>
      </c>
      <c r="BU88" s="381">
        <f t="shared" si="13"/>
        <v>0</v>
      </c>
    </row>
    <row r="89" spans="1:73" ht="13" hidden="1" x14ac:dyDescent="0.3">
      <c r="A89" s="364">
        <v>3302150</v>
      </c>
      <c r="B89" s="364" t="s">
        <v>203</v>
      </c>
      <c r="C89" s="365">
        <v>0</v>
      </c>
      <c r="D89" s="365">
        <v>0</v>
      </c>
      <c r="E89" s="365">
        <v>0</v>
      </c>
      <c r="F89" s="365">
        <v>5</v>
      </c>
      <c r="G89" s="365">
        <v>6</v>
      </c>
      <c r="H89" s="377">
        <v>0</v>
      </c>
      <c r="I89" s="377">
        <v>11</v>
      </c>
      <c r="J89" s="365">
        <v>0</v>
      </c>
      <c r="K89" s="365">
        <v>0</v>
      </c>
      <c r="L89" s="377">
        <v>0</v>
      </c>
      <c r="M89" s="365">
        <v>0</v>
      </c>
      <c r="N89" s="365">
        <v>0</v>
      </c>
      <c r="O89" s="365">
        <v>75</v>
      </c>
      <c r="P89" s="365">
        <v>90</v>
      </c>
      <c r="Q89" s="377">
        <v>165</v>
      </c>
      <c r="R89" s="365">
        <v>0</v>
      </c>
      <c r="S89" s="365">
        <v>0</v>
      </c>
      <c r="T89" s="365">
        <v>0</v>
      </c>
      <c r="U89" s="365">
        <v>0</v>
      </c>
      <c r="V89" s="377">
        <v>0</v>
      </c>
      <c r="W89" s="365">
        <v>1</v>
      </c>
      <c r="X89" s="365">
        <v>15</v>
      </c>
      <c r="Y89" s="378">
        <v>0</v>
      </c>
      <c r="Z89" s="365">
        <v>6</v>
      </c>
      <c r="AA89" s="365">
        <v>90</v>
      </c>
      <c r="AB89" s="378">
        <v>0</v>
      </c>
      <c r="AC89" s="365">
        <v>1</v>
      </c>
      <c r="AD89" s="365">
        <v>15</v>
      </c>
      <c r="AE89" s="378">
        <v>0</v>
      </c>
      <c r="AF89" s="379">
        <v>0</v>
      </c>
      <c r="AG89" s="379">
        <v>0</v>
      </c>
      <c r="AH89" s="378">
        <v>0</v>
      </c>
      <c r="AI89" s="379">
        <v>3</v>
      </c>
      <c r="AJ89" s="379">
        <v>45</v>
      </c>
      <c r="AK89" s="378">
        <v>0</v>
      </c>
      <c r="AL89" s="365">
        <v>3</v>
      </c>
      <c r="AM89" s="365">
        <v>45</v>
      </c>
      <c r="AN89" s="378">
        <v>0</v>
      </c>
      <c r="AO89" s="378"/>
      <c r="AP89" s="378">
        <f t="shared" si="14"/>
        <v>3</v>
      </c>
      <c r="AQ89" s="465">
        <v>0</v>
      </c>
      <c r="AR89" s="379">
        <v>0</v>
      </c>
      <c r="AS89" s="378">
        <v>0</v>
      </c>
      <c r="AT89" s="466">
        <v>3</v>
      </c>
      <c r="AU89" s="466">
        <v>0</v>
      </c>
      <c r="AV89" s="379">
        <v>3</v>
      </c>
      <c r="AW89" s="379">
        <v>45</v>
      </c>
      <c r="AX89" s="378">
        <v>0</v>
      </c>
      <c r="AY89" s="365">
        <v>3</v>
      </c>
      <c r="AZ89" s="365">
        <v>45</v>
      </c>
      <c r="BA89" s="378">
        <v>0</v>
      </c>
      <c r="BB89" s="378"/>
      <c r="BC89" s="378">
        <f t="shared" si="15"/>
        <v>3</v>
      </c>
      <c r="BD89" s="379">
        <v>0</v>
      </c>
      <c r="BE89" s="379">
        <v>0</v>
      </c>
      <c r="BF89" s="365">
        <v>0</v>
      </c>
      <c r="BO89" s="381">
        <f t="shared" si="10"/>
        <v>3</v>
      </c>
      <c r="BP89" s="381">
        <f t="shared" si="11"/>
        <v>0</v>
      </c>
      <c r="BQ89" s="381"/>
      <c r="BR89" s="381">
        <f>_xlfn.XLOOKUP(A89,'Summer data team '!B:B,'Summer data team '!BV:BV,0)</f>
        <v>3</v>
      </c>
      <c r="BS89" s="381">
        <f>_xlfn.XLOOKUP(A89,'Summer data team '!B:B,'Summer data team '!BW:BW,0)</f>
        <v>0</v>
      </c>
      <c r="BT89" s="381">
        <f t="shared" si="12"/>
        <v>0</v>
      </c>
      <c r="BU89" s="381">
        <f t="shared" si="13"/>
        <v>0</v>
      </c>
    </row>
    <row r="90" spans="1:73" ht="13" hidden="1" x14ac:dyDescent="0.3">
      <c r="A90" s="364">
        <v>3302156</v>
      </c>
      <c r="B90" s="364" t="s">
        <v>301</v>
      </c>
      <c r="C90" s="365">
        <v>0</v>
      </c>
      <c r="D90" s="365">
        <v>0</v>
      </c>
      <c r="E90" s="365">
        <v>0</v>
      </c>
      <c r="F90" s="365">
        <v>9</v>
      </c>
      <c r="G90" s="365">
        <v>16</v>
      </c>
      <c r="H90" s="377">
        <v>0</v>
      </c>
      <c r="I90" s="377">
        <v>25</v>
      </c>
      <c r="J90" s="365">
        <v>0</v>
      </c>
      <c r="K90" s="365">
        <v>0</v>
      </c>
      <c r="L90" s="377">
        <v>0</v>
      </c>
      <c r="M90" s="365">
        <v>0</v>
      </c>
      <c r="N90" s="365">
        <v>0</v>
      </c>
      <c r="O90" s="365">
        <v>135</v>
      </c>
      <c r="P90" s="365">
        <v>240</v>
      </c>
      <c r="Q90" s="377">
        <v>375</v>
      </c>
      <c r="R90" s="365">
        <v>0</v>
      </c>
      <c r="S90" s="365">
        <v>0</v>
      </c>
      <c r="T90" s="365">
        <v>0</v>
      </c>
      <c r="U90" s="365">
        <v>0</v>
      </c>
      <c r="V90" s="377">
        <v>0</v>
      </c>
      <c r="W90" s="365">
        <v>5</v>
      </c>
      <c r="X90" s="365">
        <v>75</v>
      </c>
      <c r="Y90" s="378">
        <v>0</v>
      </c>
      <c r="Z90" s="365">
        <v>13</v>
      </c>
      <c r="AA90" s="365">
        <v>195</v>
      </c>
      <c r="AB90" s="378">
        <v>0</v>
      </c>
      <c r="AC90" s="365">
        <v>3</v>
      </c>
      <c r="AD90" s="365">
        <v>45</v>
      </c>
      <c r="AE90" s="378">
        <v>0</v>
      </c>
      <c r="AF90" s="379">
        <v>0</v>
      </c>
      <c r="AG90" s="379">
        <v>0</v>
      </c>
      <c r="AH90" s="378">
        <v>0</v>
      </c>
      <c r="AI90" s="379">
        <v>14</v>
      </c>
      <c r="AJ90" s="379">
        <v>210</v>
      </c>
      <c r="AK90" s="378">
        <v>0</v>
      </c>
      <c r="AL90" s="365">
        <v>14</v>
      </c>
      <c r="AM90" s="365">
        <v>210</v>
      </c>
      <c r="AN90" s="378">
        <v>0</v>
      </c>
      <c r="AO90" s="378"/>
      <c r="AP90" s="378">
        <f t="shared" si="14"/>
        <v>14</v>
      </c>
      <c r="AQ90" s="465">
        <v>0</v>
      </c>
      <c r="AR90" s="379">
        <v>0</v>
      </c>
      <c r="AS90" s="378">
        <v>0</v>
      </c>
      <c r="AT90" s="466">
        <v>14</v>
      </c>
      <c r="AU90" s="466">
        <v>0</v>
      </c>
      <c r="AV90" s="379">
        <v>14</v>
      </c>
      <c r="AW90" s="379">
        <v>210</v>
      </c>
      <c r="AX90" s="378">
        <v>0</v>
      </c>
      <c r="AY90" s="365">
        <v>14</v>
      </c>
      <c r="AZ90" s="365">
        <v>210</v>
      </c>
      <c r="BA90" s="378">
        <v>0</v>
      </c>
      <c r="BB90" s="378"/>
      <c r="BC90" s="378">
        <f t="shared" si="15"/>
        <v>14</v>
      </c>
      <c r="BD90" s="379">
        <v>0</v>
      </c>
      <c r="BE90" s="379">
        <v>0</v>
      </c>
      <c r="BF90" s="365">
        <v>0</v>
      </c>
      <c r="BO90" s="381">
        <f t="shared" si="10"/>
        <v>14</v>
      </c>
      <c r="BP90" s="381">
        <f t="shared" si="11"/>
        <v>0</v>
      </c>
      <c r="BQ90" s="381"/>
      <c r="BR90" s="381">
        <f>_xlfn.XLOOKUP(A90,'Summer data team '!B:B,'Summer data team '!BV:BV,0)</f>
        <v>14</v>
      </c>
      <c r="BS90" s="381">
        <f>_xlfn.XLOOKUP(A90,'Summer data team '!B:B,'Summer data team '!BW:BW,0)</f>
        <v>0</v>
      </c>
      <c r="BT90" s="381">
        <f t="shared" si="12"/>
        <v>0</v>
      </c>
      <c r="BU90" s="381">
        <f t="shared" si="13"/>
        <v>0</v>
      </c>
    </row>
    <row r="91" spans="1:73" ht="13" hidden="1" x14ac:dyDescent="0.3">
      <c r="A91" s="364">
        <v>3302157</v>
      </c>
      <c r="B91" s="364" t="s">
        <v>205</v>
      </c>
      <c r="C91" s="365">
        <v>0</v>
      </c>
      <c r="D91" s="365">
        <v>0</v>
      </c>
      <c r="E91" s="365">
        <v>0</v>
      </c>
      <c r="F91" s="365">
        <v>11</v>
      </c>
      <c r="G91" s="365">
        <v>8</v>
      </c>
      <c r="H91" s="377">
        <v>0</v>
      </c>
      <c r="I91" s="377">
        <v>19</v>
      </c>
      <c r="J91" s="365">
        <v>5</v>
      </c>
      <c r="K91" s="365">
        <v>4</v>
      </c>
      <c r="L91" s="377">
        <v>9</v>
      </c>
      <c r="M91" s="365">
        <v>0</v>
      </c>
      <c r="N91" s="365">
        <v>0</v>
      </c>
      <c r="O91" s="365">
        <v>165</v>
      </c>
      <c r="P91" s="365">
        <v>120</v>
      </c>
      <c r="Q91" s="377">
        <v>285</v>
      </c>
      <c r="R91" s="365">
        <v>0</v>
      </c>
      <c r="S91" s="365">
        <v>0</v>
      </c>
      <c r="T91" s="365">
        <v>75</v>
      </c>
      <c r="U91" s="365">
        <v>60</v>
      </c>
      <c r="V91" s="377">
        <v>135</v>
      </c>
      <c r="W91" s="365">
        <v>1</v>
      </c>
      <c r="X91" s="365">
        <v>15</v>
      </c>
      <c r="Y91" s="378">
        <v>0</v>
      </c>
      <c r="Z91" s="365">
        <v>0</v>
      </c>
      <c r="AA91" s="365">
        <v>0</v>
      </c>
      <c r="AB91" s="378">
        <v>0</v>
      </c>
      <c r="AC91" s="365">
        <v>0</v>
      </c>
      <c r="AD91" s="365">
        <v>0</v>
      </c>
      <c r="AE91" s="378">
        <v>0</v>
      </c>
      <c r="AF91" s="379">
        <v>0</v>
      </c>
      <c r="AG91" s="379">
        <v>0</v>
      </c>
      <c r="AH91" s="378">
        <v>0</v>
      </c>
      <c r="AI91" s="379">
        <v>0</v>
      </c>
      <c r="AJ91" s="379">
        <v>0</v>
      </c>
      <c r="AK91" s="378">
        <v>0</v>
      </c>
      <c r="AL91" s="365">
        <v>0</v>
      </c>
      <c r="AM91" s="365">
        <v>0</v>
      </c>
      <c r="AN91" s="378">
        <v>0</v>
      </c>
      <c r="AO91" s="378"/>
      <c r="AP91" s="378">
        <f t="shared" si="14"/>
        <v>0</v>
      </c>
      <c r="AQ91" s="465">
        <v>0</v>
      </c>
      <c r="AR91" s="379">
        <v>0</v>
      </c>
      <c r="AS91" s="378">
        <v>0</v>
      </c>
      <c r="AT91" s="466">
        <v>0</v>
      </c>
      <c r="AU91" s="466">
        <v>0</v>
      </c>
      <c r="AV91" s="379">
        <v>0</v>
      </c>
      <c r="AW91" s="379">
        <v>0</v>
      </c>
      <c r="AX91" s="378">
        <v>0</v>
      </c>
      <c r="AY91" s="365">
        <v>0</v>
      </c>
      <c r="AZ91" s="365">
        <v>0</v>
      </c>
      <c r="BA91" s="378">
        <v>0</v>
      </c>
      <c r="BB91" s="378"/>
      <c r="BC91" s="378">
        <f t="shared" si="15"/>
        <v>0</v>
      </c>
      <c r="BD91" s="379">
        <v>0</v>
      </c>
      <c r="BE91" s="379">
        <v>0</v>
      </c>
      <c r="BF91" s="365">
        <v>0</v>
      </c>
      <c r="BO91" s="381">
        <f t="shared" si="10"/>
        <v>0</v>
      </c>
      <c r="BP91" s="381">
        <f t="shared" si="11"/>
        <v>0</v>
      </c>
      <c r="BQ91" s="381"/>
      <c r="BR91" s="381">
        <f>_xlfn.XLOOKUP(A91,'Summer data team '!B:B,'Summer data team '!BV:BV,0)</f>
        <v>0</v>
      </c>
      <c r="BS91" s="381">
        <f>_xlfn.XLOOKUP(A91,'Summer data team '!B:B,'Summer data team '!BW:BW,0)</f>
        <v>0</v>
      </c>
      <c r="BT91" s="381">
        <f t="shared" si="12"/>
        <v>0</v>
      </c>
      <c r="BU91" s="381">
        <f t="shared" si="13"/>
        <v>0</v>
      </c>
    </row>
    <row r="92" spans="1:73" ht="13" hidden="1" x14ac:dyDescent="0.3">
      <c r="A92" s="364">
        <v>3302161</v>
      </c>
      <c r="B92" s="364" t="s">
        <v>302</v>
      </c>
      <c r="C92" s="365">
        <v>0</v>
      </c>
      <c r="D92" s="365">
        <v>0</v>
      </c>
      <c r="E92" s="365">
        <v>0</v>
      </c>
      <c r="F92" s="365">
        <v>18</v>
      </c>
      <c r="G92" s="365">
        <v>22</v>
      </c>
      <c r="H92" s="377">
        <v>0</v>
      </c>
      <c r="I92" s="377">
        <v>40</v>
      </c>
      <c r="J92" s="365">
        <v>5</v>
      </c>
      <c r="K92" s="365">
        <v>7</v>
      </c>
      <c r="L92" s="377">
        <v>12</v>
      </c>
      <c r="M92" s="365">
        <v>0</v>
      </c>
      <c r="N92" s="365">
        <v>0</v>
      </c>
      <c r="O92" s="365">
        <v>270</v>
      </c>
      <c r="P92" s="365">
        <v>330</v>
      </c>
      <c r="Q92" s="377">
        <v>600</v>
      </c>
      <c r="R92" s="365">
        <v>0</v>
      </c>
      <c r="S92" s="365">
        <v>0</v>
      </c>
      <c r="T92" s="365">
        <v>75</v>
      </c>
      <c r="U92" s="365">
        <v>105</v>
      </c>
      <c r="V92" s="377">
        <v>180</v>
      </c>
      <c r="W92" s="365">
        <v>9</v>
      </c>
      <c r="X92" s="365">
        <v>135</v>
      </c>
      <c r="Y92" s="378">
        <v>30</v>
      </c>
      <c r="Z92" s="365">
        <v>0</v>
      </c>
      <c r="AA92" s="365">
        <v>0</v>
      </c>
      <c r="AB92" s="378">
        <v>0</v>
      </c>
      <c r="AC92" s="365">
        <v>8</v>
      </c>
      <c r="AD92" s="365">
        <v>120</v>
      </c>
      <c r="AE92" s="378">
        <v>15</v>
      </c>
      <c r="AF92" s="379">
        <v>0</v>
      </c>
      <c r="AG92" s="379">
        <v>0</v>
      </c>
      <c r="AH92" s="378">
        <v>0</v>
      </c>
      <c r="AI92" s="379">
        <v>20</v>
      </c>
      <c r="AJ92" s="379">
        <v>300</v>
      </c>
      <c r="AK92" s="378">
        <v>0</v>
      </c>
      <c r="AL92" s="365">
        <v>20</v>
      </c>
      <c r="AM92" s="365">
        <v>300</v>
      </c>
      <c r="AN92" s="378">
        <v>0</v>
      </c>
      <c r="AO92" s="378"/>
      <c r="AP92" s="378">
        <f t="shared" si="14"/>
        <v>20</v>
      </c>
      <c r="AQ92" s="465">
        <v>0</v>
      </c>
      <c r="AR92" s="379">
        <v>0</v>
      </c>
      <c r="AS92" s="378">
        <v>0</v>
      </c>
      <c r="AT92" s="466">
        <v>0</v>
      </c>
      <c r="AU92" s="466">
        <v>0</v>
      </c>
      <c r="AV92" s="379">
        <v>0</v>
      </c>
      <c r="AW92" s="379">
        <v>0</v>
      </c>
      <c r="AX92" s="378">
        <v>0</v>
      </c>
      <c r="AY92" s="365">
        <v>0</v>
      </c>
      <c r="AZ92" s="365">
        <v>0</v>
      </c>
      <c r="BA92" s="378">
        <v>0</v>
      </c>
      <c r="BB92" s="378"/>
      <c r="BC92" s="378">
        <f t="shared" si="15"/>
        <v>0</v>
      </c>
      <c r="BD92" s="379">
        <v>0</v>
      </c>
      <c r="BE92" s="379">
        <v>0</v>
      </c>
      <c r="BF92" s="365">
        <v>0</v>
      </c>
      <c r="BO92" s="381">
        <f t="shared" si="10"/>
        <v>0</v>
      </c>
      <c r="BP92" s="381">
        <f t="shared" si="11"/>
        <v>0</v>
      </c>
      <c r="BQ92" s="381"/>
      <c r="BR92" s="381">
        <f>_xlfn.XLOOKUP(A92,'Summer data team '!B:B,'Summer data team '!BV:BV,0)</f>
        <v>0</v>
      </c>
      <c r="BS92" s="381">
        <f>_xlfn.XLOOKUP(A92,'Summer data team '!B:B,'Summer data team '!BW:BW,0)</f>
        <v>0</v>
      </c>
      <c r="BT92" s="381">
        <f t="shared" si="12"/>
        <v>0</v>
      </c>
      <c r="BU92" s="381">
        <f t="shared" si="13"/>
        <v>0</v>
      </c>
    </row>
    <row r="93" spans="1:73" ht="13" hidden="1" x14ac:dyDescent="0.3">
      <c r="A93" s="364">
        <v>3302162</v>
      </c>
      <c r="B93" s="364" t="s">
        <v>303</v>
      </c>
      <c r="C93" s="365">
        <v>0</v>
      </c>
      <c r="D93" s="365">
        <v>0</v>
      </c>
      <c r="E93" s="365">
        <v>0</v>
      </c>
      <c r="F93" s="365">
        <v>13</v>
      </c>
      <c r="G93" s="365">
        <v>8</v>
      </c>
      <c r="H93" s="377">
        <v>0</v>
      </c>
      <c r="I93" s="377">
        <v>21</v>
      </c>
      <c r="J93" s="365">
        <v>0</v>
      </c>
      <c r="K93" s="365">
        <v>0</v>
      </c>
      <c r="L93" s="377">
        <v>0</v>
      </c>
      <c r="M93" s="365">
        <v>0</v>
      </c>
      <c r="N93" s="365">
        <v>0</v>
      </c>
      <c r="O93" s="365">
        <v>195</v>
      </c>
      <c r="P93" s="365">
        <v>120</v>
      </c>
      <c r="Q93" s="377">
        <v>315</v>
      </c>
      <c r="R93" s="365">
        <v>0</v>
      </c>
      <c r="S93" s="365">
        <v>0</v>
      </c>
      <c r="T93" s="365">
        <v>0</v>
      </c>
      <c r="U93" s="365">
        <v>0</v>
      </c>
      <c r="V93" s="377">
        <v>0</v>
      </c>
      <c r="W93" s="365">
        <v>1</v>
      </c>
      <c r="X93" s="365">
        <v>15</v>
      </c>
      <c r="Y93" s="378">
        <v>0</v>
      </c>
      <c r="Z93" s="365">
        <v>11</v>
      </c>
      <c r="AA93" s="365">
        <v>165</v>
      </c>
      <c r="AB93" s="378">
        <v>0</v>
      </c>
      <c r="AC93" s="365">
        <v>5</v>
      </c>
      <c r="AD93" s="365">
        <v>75</v>
      </c>
      <c r="AE93" s="378">
        <v>0</v>
      </c>
      <c r="AF93" s="379">
        <v>0</v>
      </c>
      <c r="AG93" s="379">
        <v>0</v>
      </c>
      <c r="AH93" s="378">
        <v>0</v>
      </c>
      <c r="AI93" s="379">
        <v>0</v>
      </c>
      <c r="AJ93" s="379">
        <v>0</v>
      </c>
      <c r="AK93" s="378">
        <v>0</v>
      </c>
      <c r="AL93" s="365">
        <v>0</v>
      </c>
      <c r="AM93" s="365">
        <v>0</v>
      </c>
      <c r="AN93" s="378">
        <v>0</v>
      </c>
      <c r="AO93" s="378"/>
      <c r="AP93" s="378">
        <f t="shared" si="14"/>
        <v>0</v>
      </c>
      <c r="AQ93" s="465">
        <v>0</v>
      </c>
      <c r="AR93" s="379">
        <v>0</v>
      </c>
      <c r="AS93" s="378">
        <v>0</v>
      </c>
      <c r="AT93" s="466">
        <v>0</v>
      </c>
      <c r="AU93" s="466">
        <v>0</v>
      </c>
      <c r="AV93" s="379">
        <v>0</v>
      </c>
      <c r="AW93" s="379">
        <v>0</v>
      </c>
      <c r="AX93" s="378">
        <v>0</v>
      </c>
      <c r="AY93" s="365">
        <v>0</v>
      </c>
      <c r="AZ93" s="365">
        <v>0</v>
      </c>
      <c r="BA93" s="378">
        <v>0</v>
      </c>
      <c r="BB93" s="378"/>
      <c r="BC93" s="378">
        <f t="shared" si="15"/>
        <v>0</v>
      </c>
      <c r="BD93" s="379">
        <v>0</v>
      </c>
      <c r="BE93" s="379">
        <v>0</v>
      </c>
      <c r="BF93" s="365">
        <v>0</v>
      </c>
      <c r="BO93" s="381">
        <f t="shared" si="10"/>
        <v>0</v>
      </c>
      <c r="BP93" s="381">
        <f t="shared" si="11"/>
        <v>0</v>
      </c>
      <c r="BQ93" s="381"/>
      <c r="BR93" s="381">
        <f>_xlfn.XLOOKUP(A93,'Summer data team '!B:B,'Summer data team '!BV:BV,0)</f>
        <v>0</v>
      </c>
      <c r="BS93" s="381">
        <f>_xlfn.XLOOKUP(A93,'Summer data team '!B:B,'Summer data team '!BW:BW,0)</f>
        <v>0</v>
      </c>
      <c r="BT93" s="381">
        <f t="shared" si="12"/>
        <v>0</v>
      </c>
      <c r="BU93" s="381">
        <f t="shared" si="13"/>
        <v>0</v>
      </c>
    </row>
    <row r="94" spans="1:73" ht="13" hidden="1" x14ac:dyDescent="0.3">
      <c r="A94" s="364">
        <v>3302169</v>
      </c>
      <c r="B94" s="364" t="s">
        <v>304</v>
      </c>
      <c r="C94" s="365">
        <v>0</v>
      </c>
      <c r="D94" s="365">
        <v>0</v>
      </c>
      <c r="E94" s="365">
        <v>0</v>
      </c>
      <c r="F94" s="365">
        <v>22</v>
      </c>
      <c r="G94" s="365">
        <v>14</v>
      </c>
      <c r="H94" s="377">
        <v>0</v>
      </c>
      <c r="I94" s="377">
        <v>36</v>
      </c>
      <c r="J94" s="365">
        <v>2</v>
      </c>
      <c r="K94" s="365">
        <v>2</v>
      </c>
      <c r="L94" s="377">
        <v>4</v>
      </c>
      <c r="M94" s="365">
        <v>0</v>
      </c>
      <c r="N94" s="365">
        <v>0</v>
      </c>
      <c r="O94" s="365">
        <v>330</v>
      </c>
      <c r="P94" s="365">
        <v>210</v>
      </c>
      <c r="Q94" s="377">
        <v>540</v>
      </c>
      <c r="R94" s="365">
        <v>0</v>
      </c>
      <c r="S94" s="365">
        <v>0</v>
      </c>
      <c r="T94" s="365">
        <v>30</v>
      </c>
      <c r="U94" s="365">
        <v>30</v>
      </c>
      <c r="V94" s="377">
        <v>60</v>
      </c>
      <c r="W94" s="365">
        <v>13</v>
      </c>
      <c r="X94" s="365">
        <v>195</v>
      </c>
      <c r="Y94" s="378">
        <v>30</v>
      </c>
      <c r="Z94" s="365">
        <v>15</v>
      </c>
      <c r="AA94" s="365">
        <v>225</v>
      </c>
      <c r="AB94" s="378">
        <v>0</v>
      </c>
      <c r="AC94" s="365">
        <v>5</v>
      </c>
      <c r="AD94" s="365">
        <v>75</v>
      </c>
      <c r="AE94" s="378">
        <v>15</v>
      </c>
      <c r="AF94" s="379">
        <v>0</v>
      </c>
      <c r="AG94" s="379">
        <v>0</v>
      </c>
      <c r="AH94" s="378">
        <v>0</v>
      </c>
      <c r="AI94" s="379">
        <v>17</v>
      </c>
      <c r="AJ94" s="379">
        <v>255</v>
      </c>
      <c r="AK94" s="378">
        <v>15</v>
      </c>
      <c r="AL94" s="365">
        <v>17</v>
      </c>
      <c r="AM94" s="365">
        <v>255</v>
      </c>
      <c r="AN94" s="378">
        <v>15</v>
      </c>
      <c r="AO94" s="378"/>
      <c r="AP94" s="378">
        <f t="shared" si="14"/>
        <v>17</v>
      </c>
      <c r="AQ94" s="465">
        <v>0</v>
      </c>
      <c r="AR94" s="379">
        <v>0</v>
      </c>
      <c r="AS94" s="378">
        <v>0</v>
      </c>
      <c r="AT94" s="466">
        <v>16</v>
      </c>
      <c r="AU94" s="466">
        <v>1</v>
      </c>
      <c r="AV94" s="379">
        <v>17</v>
      </c>
      <c r="AW94" s="379">
        <v>255</v>
      </c>
      <c r="AX94" s="378">
        <v>15</v>
      </c>
      <c r="AY94" s="365">
        <v>17</v>
      </c>
      <c r="AZ94" s="365">
        <v>255</v>
      </c>
      <c r="BA94" s="378">
        <v>15</v>
      </c>
      <c r="BB94" s="378"/>
      <c r="BC94" s="378">
        <f t="shared" si="15"/>
        <v>17</v>
      </c>
      <c r="BD94" s="379">
        <v>0</v>
      </c>
      <c r="BE94" s="379">
        <v>0</v>
      </c>
      <c r="BF94" s="365">
        <v>0</v>
      </c>
      <c r="BO94" s="381">
        <f t="shared" si="10"/>
        <v>16</v>
      </c>
      <c r="BP94" s="381">
        <f t="shared" si="11"/>
        <v>1</v>
      </c>
      <c r="BQ94" s="381"/>
      <c r="BR94" s="381">
        <f>_xlfn.XLOOKUP(A94,'Summer data team '!B:B,'Summer data team '!BV:BV,0)</f>
        <v>16</v>
      </c>
      <c r="BS94" s="381">
        <f>_xlfn.XLOOKUP(A94,'Summer data team '!B:B,'Summer data team '!BW:BW,0)</f>
        <v>1</v>
      </c>
      <c r="BT94" s="381">
        <f t="shared" si="12"/>
        <v>0</v>
      </c>
      <c r="BU94" s="381">
        <f t="shared" si="13"/>
        <v>0</v>
      </c>
    </row>
    <row r="95" spans="1:73" ht="13" hidden="1" x14ac:dyDescent="0.3">
      <c r="A95" s="364">
        <v>3302170</v>
      </c>
      <c r="B95" s="364" t="s">
        <v>305</v>
      </c>
      <c r="C95" s="365">
        <v>0</v>
      </c>
      <c r="D95" s="365">
        <v>5</v>
      </c>
      <c r="E95" s="365">
        <v>0</v>
      </c>
      <c r="F95" s="365">
        <v>30</v>
      </c>
      <c r="G95" s="365">
        <v>15</v>
      </c>
      <c r="H95" s="377">
        <v>5</v>
      </c>
      <c r="I95" s="377">
        <v>45</v>
      </c>
      <c r="J95" s="365">
        <v>1</v>
      </c>
      <c r="K95" s="365">
        <v>1</v>
      </c>
      <c r="L95" s="377">
        <v>2</v>
      </c>
      <c r="M95" s="365">
        <v>0</v>
      </c>
      <c r="N95" s="365">
        <v>75</v>
      </c>
      <c r="O95" s="365">
        <v>450</v>
      </c>
      <c r="P95" s="365">
        <v>225</v>
      </c>
      <c r="Q95" s="377">
        <v>675</v>
      </c>
      <c r="R95" s="365">
        <v>0</v>
      </c>
      <c r="S95" s="365">
        <v>75</v>
      </c>
      <c r="T95" s="365">
        <v>15</v>
      </c>
      <c r="U95" s="365">
        <v>15</v>
      </c>
      <c r="V95" s="377">
        <v>30</v>
      </c>
      <c r="W95" s="365">
        <v>19</v>
      </c>
      <c r="X95" s="365">
        <v>285</v>
      </c>
      <c r="Y95" s="378">
        <v>15</v>
      </c>
      <c r="Z95" s="365">
        <v>12</v>
      </c>
      <c r="AA95" s="365">
        <v>180</v>
      </c>
      <c r="AB95" s="378">
        <v>0</v>
      </c>
      <c r="AC95" s="365">
        <v>11</v>
      </c>
      <c r="AD95" s="365">
        <v>165</v>
      </c>
      <c r="AE95" s="378">
        <v>0</v>
      </c>
      <c r="AF95" s="379">
        <v>5</v>
      </c>
      <c r="AG95" s="379">
        <v>75</v>
      </c>
      <c r="AH95" s="378">
        <v>0</v>
      </c>
      <c r="AI95" s="379">
        <v>33</v>
      </c>
      <c r="AJ95" s="379">
        <v>495</v>
      </c>
      <c r="AK95" s="378">
        <v>30</v>
      </c>
      <c r="AL95" s="365">
        <v>38</v>
      </c>
      <c r="AM95" s="365">
        <v>570</v>
      </c>
      <c r="AN95" s="378">
        <v>30</v>
      </c>
      <c r="AO95" s="378"/>
      <c r="AP95" s="378">
        <f t="shared" si="14"/>
        <v>38</v>
      </c>
      <c r="AQ95" s="465">
        <v>2</v>
      </c>
      <c r="AR95" s="379">
        <v>30</v>
      </c>
      <c r="AS95" s="378">
        <v>0</v>
      </c>
      <c r="AT95" s="466">
        <v>21</v>
      </c>
      <c r="AU95" s="466">
        <v>2</v>
      </c>
      <c r="AV95" s="379">
        <v>23</v>
      </c>
      <c r="AW95" s="379">
        <v>345</v>
      </c>
      <c r="AX95" s="378">
        <v>30</v>
      </c>
      <c r="AY95" s="365">
        <v>25</v>
      </c>
      <c r="AZ95" s="365">
        <v>375</v>
      </c>
      <c r="BA95" s="378">
        <v>30</v>
      </c>
      <c r="BB95" s="378"/>
      <c r="BC95" s="378">
        <f t="shared" si="15"/>
        <v>25</v>
      </c>
      <c r="BD95" s="379">
        <v>0</v>
      </c>
      <c r="BE95" s="379">
        <v>0</v>
      </c>
      <c r="BF95" s="365">
        <v>0</v>
      </c>
      <c r="BO95" s="381">
        <f t="shared" si="10"/>
        <v>23</v>
      </c>
      <c r="BP95" s="381">
        <f t="shared" si="11"/>
        <v>2</v>
      </c>
      <c r="BQ95" s="381"/>
      <c r="BR95" s="381">
        <f>_xlfn.XLOOKUP(A95,'Summer data team '!B:B,'Summer data team '!BV:BV,0)</f>
        <v>23</v>
      </c>
      <c r="BS95" s="381">
        <f>_xlfn.XLOOKUP(A95,'Summer data team '!B:B,'Summer data team '!BW:BW,0)</f>
        <v>2</v>
      </c>
      <c r="BT95" s="381">
        <f t="shared" si="12"/>
        <v>0</v>
      </c>
      <c r="BU95" s="381">
        <f t="shared" si="13"/>
        <v>0</v>
      </c>
    </row>
    <row r="96" spans="1:73" ht="13" hidden="1" x14ac:dyDescent="0.3">
      <c r="A96" s="364">
        <v>3302171</v>
      </c>
      <c r="B96" s="364" t="s">
        <v>306</v>
      </c>
      <c r="C96" s="365">
        <v>0</v>
      </c>
      <c r="D96" s="365">
        <v>0</v>
      </c>
      <c r="E96" s="365">
        <v>0</v>
      </c>
      <c r="F96" s="365">
        <v>9</v>
      </c>
      <c r="G96" s="365">
        <v>12</v>
      </c>
      <c r="H96" s="377">
        <v>0</v>
      </c>
      <c r="I96" s="377">
        <v>21</v>
      </c>
      <c r="J96" s="365">
        <v>0</v>
      </c>
      <c r="K96" s="365">
        <v>0</v>
      </c>
      <c r="L96" s="377">
        <v>0</v>
      </c>
      <c r="M96" s="365">
        <v>0</v>
      </c>
      <c r="N96" s="365">
        <v>0</v>
      </c>
      <c r="O96" s="365">
        <v>135</v>
      </c>
      <c r="P96" s="365">
        <v>180</v>
      </c>
      <c r="Q96" s="377">
        <v>315</v>
      </c>
      <c r="R96" s="365">
        <v>0</v>
      </c>
      <c r="S96" s="365">
        <v>0</v>
      </c>
      <c r="T96" s="365">
        <v>0</v>
      </c>
      <c r="U96" s="365">
        <v>0</v>
      </c>
      <c r="V96" s="377">
        <v>0</v>
      </c>
      <c r="W96" s="365">
        <v>2</v>
      </c>
      <c r="X96" s="365">
        <v>30</v>
      </c>
      <c r="Y96" s="378">
        <v>0</v>
      </c>
      <c r="Z96" s="365">
        <v>0</v>
      </c>
      <c r="AA96" s="365">
        <v>0</v>
      </c>
      <c r="AB96" s="378">
        <v>0</v>
      </c>
      <c r="AC96" s="365">
        <v>19</v>
      </c>
      <c r="AD96" s="365">
        <v>285</v>
      </c>
      <c r="AE96" s="378">
        <v>0</v>
      </c>
      <c r="AF96" s="379">
        <v>0</v>
      </c>
      <c r="AG96" s="379">
        <v>0</v>
      </c>
      <c r="AH96" s="378">
        <v>0</v>
      </c>
      <c r="AI96" s="379">
        <v>6</v>
      </c>
      <c r="AJ96" s="379">
        <v>90</v>
      </c>
      <c r="AK96" s="378">
        <v>0</v>
      </c>
      <c r="AL96" s="365">
        <v>6</v>
      </c>
      <c r="AM96" s="365">
        <v>90</v>
      </c>
      <c r="AN96" s="378">
        <v>0</v>
      </c>
      <c r="AO96" s="378"/>
      <c r="AP96" s="378">
        <f t="shared" si="14"/>
        <v>6</v>
      </c>
      <c r="AQ96" s="465">
        <v>0</v>
      </c>
      <c r="AR96" s="379">
        <v>0</v>
      </c>
      <c r="AS96" s="378">
        <v>0</v>
      </c>
      <c r="AT96" s="466">
        <v>6</v>
      </c>
      <c r="AU96" s="466">
        <v>0</v>
      </c>
      <c r="AV96" s="379">
        <v>6</v>
      </c>
      <c r="AW96" s="379">
        <v>90</v>
      </c>
      <c r="AX96" s="378">
        <v>0</v>
      </c>
      <c r="AY96" s="365">
        <v>6</v>
      </c>
      <c r="AZ96" s="365">
        <v>90</v>
      </c>
      <c r="BA96" s="378">
        <v>0</v>
      </c>
      <c r="BB96" s="378"/>
      <c r="BC96" s="378">
        <f t="shared" si="15"/>
        <v>6</v>
      </c>
      <c r="BD96" s="379">
        <v>0</v>
      </c>
      <c r="BE96" s="379">
        <v>0</v>
      </c>
      <c r="BF96" s="365">
        <v>0</v>
      </c>
      <c r="BO96" s="381">
        <f t="shared" si="10"/>
        <v>6</v>
      </c>
      <c r="BP96" s="381">
        <f t="shared" si="11"/>
        <v>0</v>
      </c>
      <c r="BQ96" s="381"/>
      <c r="BR96" s="381">
        <f>_xlfn.XLOOKUP(A96,'Summer data team '!B:B,'Summer data team '!BV:BV,0)</f>
        <v>6</v>
      </c>
      <c r="BS96" s="381">
        <f>_xlfn.XLOOKUP(A96,'Summer data team '!B:B,'Summer data team '!BW:BW,0)</f>
        <v>0</v>
      </c>
      <c r="BT96" s="381">
        <f t="shared" si="12"/>
        <v>0</v>
      </c>
      <c r="BU96" s="381">
        <f t="shared" si="13"/>
        <v>0</v>
      </c>
    </row>
    <row r="97" spans="1:73" ht="13" hidden="1" x14ac:dyDescent="0.3">
      <c r="A97" s="364">
        <v>3302176</v>
      </c>
      <c r="B97" s="364" t="s">
        <v>307</v>
      </c>
      <c r="C97" s="365">
        <v>0</v>
      </c>
      <c r="D97" s="365">
        <v>0</v>
      </c>
      <c r="E97" s="365">
        <v>0</v>
      </c>
      <c r="F97" s="365">
        <v>37</v>
      </c>
      <c r="G97" s="365">
        <v>27</v>
      </c>
      <c r="H97" s="377">
        <v>0</v>
      </c>
      <c r="I97" s="377">
        <v>64</v>
      </c>
      <c r="J97" s="365">
        <v>4</v>
      </c>
      <c r="K97" s="365">
        <v>4</v>
      </c>
      <c r="L97" s="377">
        <v>8</v>
      </c>
      <c r="M97" s="365">
        <v>0</v>
      </c>
      <c r="N97" s="365">
        <v>0</v>
      </c>
      <c r="O97" s="365">
        <v>555</v>
      </c>
      <c r="P97" s="365">
        <v>405</v>
      </c>
      <c r="Q97" s="377">
        <v>960</v>
      </c>
      <c r="R97" s="365">
        <v>0</v>
      </c>
      <c r="S97" s="365">
        <v>0</v>
      </c>
      <c r="T97" s="365">
        <v>60</v>
      </c>
      <c r="U97" s="365">
        <v>60</v>
      </c>
      <c r="V97" s="377">
        <v>120</v>
      </c>
      <c r="W97" s="365">
        <v>4</v>
      </c>
      <c r="X97" s="365">
        <v>60</v>
      </c>
      <c r="Y97" s="378">
        <v>0</v>
      </c>
      <c r="Z97" s="365">
        <v>7</v>
      </c>
      <c r="AA97" s="365">
        <v>105</v>
      </c>
      <c r="AB97" s="378">
        <v>15</v>
      </c>
      <c r="AC97" s="365">
        <v>43</v>
      </c>
      <c r="AD97" s="365">
        <v>645</v>
      </c>
      <c r="AE97" s="378">
        <v>60</v>
      </c>
      <c r="AF97" s="379">
        <v>0</v>
      </c>
      <c r="AG97" s="379">
        <v>0</v>
      </c>
      <c r="AH97" s="378">
        <v>0</v>
      </c>
      <c r="AI97" s="379">
        <v>32</v>
      </c>
      <c r="AJ97" s="379">
        <v>480</v>
      </c>
      <c r="AK97" s="378">
        <v>30</v>
      </c>
      <c r="AL97" s="365">
        <v>32</v>
      </c>
      <c r="AM97" s="365">
        <v>480</v>
      </c>
      <c r="AN97" s="378">
        <v>30</v>
      </c>
      <c r="AO97" s="378"/>
      <c r="AP97" s="378">
        <f t="shared" si="14"/>
        <v>32</v>
      </c>
      <c r="AQ97" s="465">
        <v>0</v>
      </c>
      <c r="AR97" s="379">
        <v>0</v>
      </c>
      <c r="AS97" s="378">
        <v>0</v>
      </c>
      <c r="AT97" s="466">
        <v>0</v>
      </c>
      <c r="AU97" s="466">
        <v>2</v>
      </c>
      <c r="AV97" s="379">
        <v>2</v>
      </c>
      <c r="AW97" s="379">
        <v>30</v>
      </c>
      <c r="AX97" s="378">
        <v>30</v>
      </c>
      <c r="AY97" s="365">
        <v>2</v>
      </c>
      <c r="AZ97" s="365">
        <v>30</v>
      </c>
      <c r="BA97" s="378">
        <v>30</v>
      </c>
      <c r="BB97" s="378"/>
      <c r="BC97" s="378">
        <f t="shared" si="15"/>
        <v>2</v>
      </c>
      <c r="BD97" s="379">
        <v>0</v>
      </c>
      <c r="BE97" s="379">
        <v>0</v>
      </c>
      <c r="BF97" s="365">
        <v>0</v>
      </c>
      <c r="BO97" s="381">
        <f t="shared" si="10"/>
        <v>0</v>
      </c>
      <c r="BP97" s="381">
        <f t="shared" si="11"/>
        <v>2</v>
      </c>
      <c r="BQ97" s="381"/>
      <c r="BR97" s="381">
        <f>_xlfn.XLOOKUP(A97,'Summer data team '!B:B,'Summer data team '!BV:BV,0)</f>
        <v>0</v>
      </c>
      <c r="BS97" s="381">
        <f>_xlfn.XLOOKUP(A97,'Summer data team '!B:B,'Summer data team '!BW:BW,0)</f>
        <v>2</v>
      </c>
      <c r="BT97" s="381">
        <f t="shared" si="12"/>
        <v>0</v>
      </c>
      <c r="BU97" s="381">
        <f t="shared" si="13"/>
        <v>0</v>
      </c>
    </row>
    <row r="98" spans="1:73" ht="13" hidden="1" x14ac:dyDescent="0.3">
      <c r="A98" s="364">
        <v>3302178</v>
      </c>
      <c r="B98" s="364" t="s">
        <v>155</v>
      </c>
      <c r="C98" s="365">
        <v>0</v>
      </c>
      <c r="D98" s="365">
        <v>0</v>
      </c>
      <c r="E98" s="365">
        <v>0</v>
      </c>
      <c r="F98" s="365">
        <v>18</v>
      </c>
      <c r="G98" s="365">
        <v>6</v>
      </c>
      <c r="H98" s="377">
        <v>0</v>
      </c>
      <c r="I98" s="377">
        <v>24</v>
      </c>
      <c r="J98" s="365">
        <v>6</v>
      </c>
      <c r="K98" s="365">
        <v>2</v>
      </c>
      <c r="L98" s="377">
        <v>8</v>
      </c>
      <c r="M98" s="365">
        <v>0</v>
      </c>
      <c r="N98" s="365">
        <v>0</v>
      </c>
      <c r="O98" s="365">
        <v>270</v>
      </c>
      <c r="P98" s="365">
        <v>90</v>
      </c>
      <c r="Q98" s="377">
        <v>360</v>
      </c>
      <c r="R98" s="365">
        <v>0</v>
      </c>
      <c r="S98" s="365">
        <v>0</v>
      </c>
      <c r="T98" s="365">
        <v>84</v>
      </c>
      <c r="U98" s="365">
        <v>30</v>
      </c>
      <c r="V98" s="377">
        <v>114</v>
      </c>
      <c r="W98" s="365">
        <v>6</v>
      </c>
      <c r="X98" s="365">
        <v>90</v>
      </c>
      <c r="Y98" s="378">
        <v>30</v>
      </c>
      <c r="Z98" s="365">
        <v>1</v>
      </c>
      <c r="AA98" s="365">
        <v>15</v>
      </c>
      <c r="AB98" s="378">
        <v>15</v>
      </c>
      <c r="AC98" s="365">
        <v>10</v>
      </c>
      <c r="AD98" s="365">
        <v>150</v>
      </c>
      <c r="AE98" s="378">
        <v>30</v>
      </c>
      <c r="AF98" s="379">
        <v>0</v>
      </c>
      <c r="AG98" s="379">
        <v>0</v>
      </c>
      <c r="AH98" s="378">
        <v>0</v>
      </c>
      <c r="AI98" s="379">
        <v>5</v>
      </c>
      <c r="AJ98" s="379">
        <v>75</v>
      </c>
      <c r="AK98" s="378">
        <v>0</v>
      </c>
      <c r="AL98" s="365">
        <v>5</v>
      </c>
      <c r="AM98" s="365">
        <v>75</v>
      </c>
      <c r="AN98" s="378">
        <v>0</v>
      </c>
      <c r="AO98" s="378"/>
      <c r="AP98" s="378">
        <f t="shared" si="14"/>
        <v>5</v>
      </c>
      <c r="AQ98" s="465">
        <v>0</v>
      </c>
      <c r="AR98" s="379">
        <v>0</v>
      </c>
      <c r="AS98" s="378">
        <v>0</v>
      </c>
      <c r="AT98" s="466">
        <v>3</v>
      </c>
      <c r="AU98" s="466">
        <v>0</v>
      </c>
      <c r="AV98" s="379">
        <v>3</v>
      </c>
      <c r="AW98" s="379">
        <v>45</v>
      </c>
      <c r="AX98" s="378">
        <v>0</v>
      </c>
      <c r="AY98" s="365">
        <v>3</v>
      </c>
      <c r="AZ98" s="365">
        <v>45</v>
      </c>
      <c r="BA98" s="378">
        <v>0</v>
      </c>
      <c r="BB98" s="378"/>
      <c r="BC98" s="378">
        <f t="shared" si="15"/>
        <v>3</v>
      </c>
      <c r="BD98" s="379">
        <v>0</v>
      </c>
      <c r="BE98" s="379">
        <v>0</v>
      </c>
      <c r="BF98" s="365">
        <v>0</v>
      </c>
      <c r="BO98" s="381">
        <f t="shared" ref="BO98:BO129" si="16">AQ98+AT98</f>
        <v>3</v>
      </c>
      <c r="BP98" s="381">
        <f t="shared" ref="BP98:BP129" si="17">AU98</f>
        <v>0</v>
      </c>
      <c r="BQ98" s="381"/>
      <c r="BR98" s="381">
        <f>_xlfn.XLOOKUP(A98,'Summer data team '!B:B,'Summer data team '!BV:BV,0)</f>
        <v>3</v>
      </c>
      <c r="BS98" s="381">
        <f>_xlfn.XLOOKUP(A98,'Summer data team '!B:B,'Summer data team '!BW:BW,0)</f>
        <v>0</v>
      </c>
      <c r="BT98" s="381">
        <f t="shared" ref="BT98:BT129" si="18">BO98-BR98</f>
        <v>0</v>
      </c>
      <c r="BU98" s="381">
        <f t="shared" ref="BU98:BU129" si="19">BP98-BS98</f>
        <v>0</v>
      </c>
    </row>
    <row r="99" spans="1:73" ht="13" hidden="1" x14ac:dyDescent="0.3">
      <c r="A99" s="364">
        <v>3302180</v>
      </c>
      <c r="B99" s="364" t="s">
        <v>308</v>
      </c>
      <c r="C99" s="365">
        <v>0</v>
      </c>
      <c r="D99" s="365">
        <v>0</v>
      </c>
      <c r="E99" s="365">
        <v>0</v>
      </c>
      <c r="F99" s="365">
        <v>41</v>
      </c>
      <c r="G99" s="365">
        <v>26</v>
      </c>
      <c r="H99" s="377">
        <v>0</v>
      </c>
      <c r="I99" s="377">
        <v>67</v>
      </c>
      <c r="J99" s="365">
        <v>2</v>
      </c>
      <c r="K99" s="365">
        <v>1</v>
      </c>
      <c r="L99" s="377">
        <v>3</v>
      </c>
      <c r="M99" s="365">
        <v>0</v>
      </c>
      <c r="N99" s="365">
        <v>0</v>
      </c>
      <c r="O99" s="365">
        <v>615</v>
      </c>
      <c r="P99" s="365">
        <v>390</v>
      </c>
      <c r="Q99" s="377">
        <v>1005</v>
      </c>
      <c r="R99" s="365">
        <v>0</v>
      </c>
      <c r="S99" s="365">
        <v>0</v>
      </c>
      <c r="T99" s="365">
        <v>30</v>
      </c>
      <c r="U99" s="365">
        <v>15</v>
      </c>
      <c r="V99" s="377">
        <v>45</v>
      </c>
      <c r="W99" s="365">
        <v>1</v>
      </c>
      <c r="X99" s="365">
        <v>15</v>
      </c>
      <c r="Y99" s="378">
        <v>0</v>
      </c>
      <c r="Z99" s="365">
        <v>47</v>
      </c>
      <c r="AA99" s="365">
        <v>705</v>
      </c>
      <c r="AB99" s="378">
        <v>30</v>
      </c>
      <c r="AC99" s="365">
        <v>11</v>
      </c>
      <c r="AD99" s="365">
        <v>165</v>
      </c>
      <c r="AE99" s="378">
        <v>0</v>
      </c>
      <c r="AF99" s="379">
        <v>0</v>
      </c>
      <c r="AG99" s="379">
        <v>0</v>
      </c>
      <c r="AH99" s="378">
        <v>0</v>
      </c>
      <c r="AI99" s="379">
        <v>28</v>
      </c>
      <c r="AJ99" s="379">
        <v>420</v>
      </c>
      <c r="AK99" s="378">
        <v>15</v>
      </c>
      <c r="AL99" s="365">
        <v>28</v>
      </c>
      <c r="AM99" s="365">
        <v>420</v>
      </c>
      <c r="AN99" s="378">
        <v>15</v>
      </c>
      <c r="AO99" s="378"/>
      <c r="AP99" s="378">
        <f t="shared" si="14"/>
        <v>28</v>
      </c>
      <c r="AQ99" s="465">
        <v>0</v>
      </c>
      <c r="AR99" s="379">
        <v>0</v>
      </c>
      <c r="AS99" s="378">
        <v>0</v>
      </c>
      <c r="AT99" s="466">
        <v>27</v>
      </c>
      <c r="AU99" s="466">
        <v>1</v>
      </c>
      <c r="AV99" s="379">
        <v>28</v>
      </c>
      <c r="AW99" s="379">
        <v>420</v>
      </c>
      <c r="AX99" s="378">
        <v>15</v>
      </c>
      <c r="AY99" s="365">
        <v>28</v>
      </c>
      <c r="AZ99" s="365">
        <v>420</v>
      </c>
      <c r="BA99" s="378">
        <v>15</v>
      </c>
      <c r="BB99" s="378"/>
      <c r="BC99" s="378">
        <f t="shared" si="15"/>
        <v>28</v>
      </c>
      <c r="BD99" s="379">
        <v>0</v>
      </c>
      <c r="BE99" s="379">
        <v>0</v>
      </c>
      <c r="BF99" s="365">
        <v>0</v>
      </c>
      <c r="BO99" s="381">
        <f t="shared" si="16"/>
        <v>27</v>
      </c>
      <c r="BP99" s="381">
        <f t="shared" si="17"/>
        <v>1</v>
      </c>
      <c r="BQ99" s="381"/>
      <c r="BR99" s="381">
        <f>_xlfn.XLOOKUP(A99,'Summer data team '!B:B,'Summer data team '!BV:BV,0)</f>
        <v>27</v>
      </c>
      <c r="BS99" s="381">
        <f>_xlfn.XLOOKUP(A99,'Summer data team '!B:B,'Summer data team '!BW:BW,0)</f>
        <v>1</v>
      </c>
      <c r="BT99" s="381">
        <f t="shared" si="18"/>
        <v>0</v>
      </c>
      <c r="BU99" s="381">
        <f t="shared" si="19"/>
        <v>0</v>
      </c>
    </row>
    <row r="100" spans="1:73" ht="13" hidden="1" x14ac:dyDescent="0.3">
      <c r="A100" s="364">
        <v>3302181</v>
      </c>
      <c r="B100" s="364" t="s">
        <v>309</v>
      </c>
      <c r="C100" s="365">
        <v>0</v>
      </c>
      <c r="D100" s="365">
        <v>0</v>
      </c>
      <c r="E100" s="365">
        <v>0</v>
      </c>
      <c r="F100" s="365">
        <v>13</v>
      </c>
      <c r="G100" s="365">
        <v>10</v>
      </c>
      <c r="H100" s="377">
        <v>0</v>
      </c>
      <c r="I100" s="377">
        <v>23</v>
      </c>
      <c r="J100" s="365">
        <v>0</v>
      </c>
      <c r="K100" s="365">
        <v>0</v>
      </c>
      <c r="L100" s="377">
        <v>0</v>
      </c>
      <c r="M100" s="365">
        <v>0</v>
      </c>
      <c r="N100" s="365">
        <v>0</v>
      </c>
      <c r="O100" s="365">
        <v>195</v>
      </c>
      <c r="P100" s="365">
        <v>150</v>
      </c>
      <c r="Q100" s="377">
        <v>345</v>
      </c>
      <c r="R100" s="365">
        <v>0</v>
      </c>
      <c r="S100" s="365">
        <v>0</v>
      </c>
      <c r="T100" s="365">
        <v>0</v>
      </c>
      <c r="U100" s="365">
        <v>0</v>
      </c>
      <c r="V100" s="377">
        <v>0</v>
      </c>
      <c r="W100" s="365">
        <v>0</v>
      </c>
      <c r="X100" s="365">
        <v>0</v>
      </c>
      <c r="Y100" s="378">
        <v>0</v>
      </c>
      <c r="Z100" s="365">
        <v>0</v>
      </c>
      <c r="AA100" s="365">
        <v>0</v>
      </c>
      <c r="AB100" s="378">
        <v>0</v>
      </c>
      <c r="AC100" s="365">
        <v>13</v>
      </c>
      <c r="AD100" s="365">
        <v>195</v>
      </c>
      <c r="AE100" s="378">
        <v>0</v>
      </c>
      <c r="AF100" s="379">
        <v>0</v>
      </c>
      <c r="AG100" s="379">
        <v>0</v>
      </c>
      <c r="AH100" s="378">
        <v>0</v>
      </c>
      <c r="AI100" s="379">
        <v>0</v>
      </c>
      <c r="AJ100" s="379">
        <v>0</v>
      </c>
      <c r="AK100" s="378">
        <v>0</v>
      </c>
      <c r="AL100" s="365">
        <v>0</v>
      </c>
      <c r="AM100" s="365">
        <v>0</v>
      </c>
      <c r="AN100" s="378">
        <v>0</v>
      </c>
      <c r="AO100" s="378"/>
      <c r="AP100" s="378">
        <f t="shared" si="14"/>
        <v>0</v>
      </c>
      <c r="AQ100" s="465">
        <v>0</v>
      </c>
      <c r="AR100" s="379">
        <v>0</v>
      </c>
      <c r="AS100" s="378">
        <v>0</v>
      </c>
      <c r="AT100" s="466">
        <v>0</v>
      </c>
      <c r="AU100" s="466">
        <v>0</v>
      </c>
      <c r="AV100" s="379">
        <v>0</v>
      </c>
      <c r="AW100" s="379">
        <v>0</v>
      </c>
      <c r="AX100" s="378">
        <v>0</v>
      </c>
      <c r="AY100" s="365">
        <v>0</v>
      </c>
      <c r="AZ100" s="365">
        <v>0</v>
      </c>
      <c r="BA100" s="378">
        <v>0</v>
      </c>
      <c r="BB100" s="378"/>
      <c r="BC100" s="378">
        <f t="shared" si="15"/>
        <v>0</v>
      </c>
      <c r="BD100" s="379">
        <v>0</v>
      </c>
      <c r="BE100" s="379">
        <v>0</v>
      </c>
      <c r="BF100" s="365">
        <v>0</v>
      </c>
      <c r="BO100" s="381">
        <f t="shared" si="16"/>
        <v>0</v>
      </c>
      <c r="BP100" s="381">
        <f t="shared" si="17"/>
        <v>0</v>
      </c>
      <c r="BQ100" s="381"/>
      <c r="BR100" s="381">
        <f>_xlfn.XLOOKUP(A100,'Summer data team '!B:B,'Summer data team '!BV:BV,0)</f>
        <v>0</v>
      </c>
      <c r="BS100" s="381">
        <f>_xlfn.XLOOKUP(A100,'Summer data team '!B:B,'Summer data team '!BW:BW,0)</f>
        <v>0</v>
      </c>
      <c r="BT100" s="381">
        <f t="shared" si="18"/>
        <v>0</v>
      </c>
      <c r="BU100" s="381">
        <f t="shared" si="19"/>
        <v>0</v>
      </c>
    </row>
    <row r="101" spans="1:73" ht="13" hidden="1" x14ac:dyDescent="0.3">
      <c r="A101" s="364">
        <v>3302185</v>
      </c>
      <c r="B101" s="364" t="s">
        <v>65</v>
      </c>
      <c r="C101" s="365">
        <v>0</v>
      </c>
      <c r="D101" s="365">
        <v>0</v>
      </c>
      <c r="E101" s="365">
        <v>0</v>
      </c>
      <c r="F101" s="365">
        <v>13</v>
      </c>
      <c r="G101" s="365">
        <v>18</v>
      </c>
      <c r="H101" s="377">
        <v>0</v>
      </c>
      <c r="I101" s="377">
        <v>31</v>
      </c>
      <c r="J101" s="365">
        <v>4</v>
      </c>
      <c r="K101" s="365">
        <v>7</v>
      </c>
      <c r="L101" s="377">
        <v>11</v>
      </c>
      <c r="M101" s="365">
        <v>0</v>
      </c>
      <c r="N101" s="365">
        <v>0</v>
      </c>
      <c r="O101" s="365">
        <v>195</v>
      </c>
      <c r="P101" s="365">
        <v>270</v>
      </c>
      <c r="Q101" s="377">
        <v>465</v>
      </c>
      <c r="R101" s="365">
        <v>0</v>
      </c>
      <c r="S101" s="365">
        <v>0</v>
      </c>
      <c r="T101" s="365">
        <v>60</v>
      </c>
      <c r="U101" s="365">
        <v>105</v>
      </c>
      <c r="V101" s="377">
        <v>165</v>
      </c>
      <c r="W101" s="365">
        <v>0</v>
      </c>
      <c r="X101" s="365">
        <v>0</v>
      </c>
      <c r="Y101" s="378">
        <v>0</v>
      </c>
      <c r="Z101" s="365">
        <v>1</v>
      </c>
      <c r="AA101" s="365">
        <v>15</v>
      </c>
      <c r="AB101" s="378">
        <v>0</v>
      </c>
      <c r="AC101" s="365">
        <v>1</v>
      </c>
      <c r="AD101" s="365">
        <v>15</v>
      </c>
      <c r="AE101" s="378">
        <v>0</v>
      </c>
      <c r="AF101" s="379">
        <v>0</v>
      </c>
      <c r="AG101" s="379">
        <v>0</v>
      </c>
      <c r="AH101" s="378">
        <v>0</v>
      </c>
      <c r="AI101" s="379">
        <v>10</v>
      </c>
      <c r="AJ101" s="379">
        <v>150</v>
      </c>
      <c r="AK101" s="378">
        <v>30</v>
      </c>
      <c r="AL101" s="365">
        <v>10</v>
      </c>
      <c r="AM101" s="365">
        <v>150</v>
      </c>
      <c r="AN101" s="378">
        <v>30</v>
      </c>
      <c r="AO101" s="378"/>
      <c r="AP101" s="378">
        <f t="shared" si="14"/>
        <v>10</v>
      </c>
      <c r="AQ101" s="465">
        <v>0</v>
      </c>
      <c r="AR101" s="379">
        <v>0</v>
      </c>
      <c r="AS101" s="378">
        <v>0</v>
      </c>
      <c r="AT101" s="466">
        <v>0</v>
      </c>
      <c r="AU101" s="466">
        <v>1</v>
      </c>
      <c r="AV101" s="379">
        <v>1</v>
      </c>
      <c r="AW101" s="379">
        <v>15</v>
      </c>
      <c r="AX101" s="378">
        <v>15</v>
      </c>
      <c r="AY101" s="365">
        <v>1</v>
      </c>
      <c r="AZ101" s="365">
        <v>15</v>
      </c>
      <c r="BA101" s="378">
        <v>15</v>
      </c>
      <c r="BB101" s="378"/>
      <c r="BC101" s="378">
        <f t="shared" si="15"/>
        <v>1</v>
      </c>
      <c r="BD101" s="379">
        <v>0</v>
      </c>
      <c r="BE101" s="379">
        <v>0</v>
      </c>
      <c r="BF101" s="365">
        <v>0</v>
      </c>
      <c r="BO101" s="381">
        <f t="shared" si="16"/>
        <v>0</v>
      </c>
      <c r="BP101" s="381">
        <f t="shared" si="17"/>
        <v>1</v>
      </c>
      <c r="BQ101" s="381"/>
      <c r="BR101" s="381">
        <f>_xlfn.XLOOKUP(A101,'Summer data team '!B:B,'Summer data team '!BV:BV,0)</f>
        <v>0</v>
      </c>
      <c r="BS101" s="381">
        <f>_xlfn.XLOOKUP(A101,'Summer data team '!B:B,'Summer data team '!BW:BW,0)</f>
        <v>1</v>
      </c>
      <c r="BT101" s="381">
        <f t="shared" si="18"/>
        <v>0</v>
      </c>
      <c r="BU101" s="381">
        <f t="shared" si="19"/>
        <v>0</v>
      </c>
    </row>
    <row r="102" spans="1:73" ht="13" hidden="1" x14ac:dyDescent="0.3">
      <c r="A102" s="364">
        <v>3302186</v>
      </c>
      <c r="B102" s="364" t="s">
        <v>310</v>
      </c>
      <c r="C102" s="365">
        <v>0</v>
      </c>
      <c r="D102" s="365">
        <v>0</v>
      </c>
      <c r="E102" s="365">
        <v>0</v>
      </c>
      <c r="F102" s="365">
        <v>35</v>
      </c>
      <c r="G102" s="365">
        <v>24</v>
      </c>
      <c r="H102" s="377">
        <v>0</v>
      </c>
      <c r="I102" s="377">
        <v>59</v>
      </c>
      <c r="J102" s="365">
        <v>5</v>
      </c>
      <c r="K102" s="365">
        <v>4</v>
      </c>
      <c r="L102" s="377">
        <v>9</v>
      </c>
      <c r="M102" s="365">
        <v>0</v>
      </c>
      <c r="N102" s="365">
        <v>0</v>
      </c>
      <c r="O102" s="365">
        <v>525</v>
      </c>
      <c r="P102" s="365">
        <v>360</v>
      </c>
      <c r="Q102" s="377">
        <v>885</v>
      </c>
      <c r="R102" s="365">
        <v>0</v>
      </c>
      <c r="S102" s="365">
        <v>0</v>
      </c>
      <c r="T102" s="365">
        <v>75</v>
      </c>
      <c r="U102" s="365">
        <v>60</v>
      </c>
      <c r="V102" s="377">
        <v>135</v>
      </c>
      <c r="W102" s="365">
        <v>0</v>
      </c>
      <c r="X102" s="365">
        <v>0</v>
      </c>
      <c r="Y102" s="378">
        <v>0</v>
      </c>
      <c r="Z102" s="365">
        <v>11</v>
      </c>
      <c r="AA102" s="365">
        <v>165</v>
      </c>
      <c r="AB102" s="378">
        <v>30</v>
      </c>
      <c r="AC102" s="365">
        <v>31</v>
      </c>
      <c r="AD102" s="365">
        <v>465</v>
      </c>
      <c r="AE102" s="378">
        <v>60</v>
      </c>
      <c r="AF102" s="379">
        <v>0</v>
      </c>
      <c r="AG102" s="379">
        <v>0</v>
      </c>
      <c r="AH102" s="378">
        <v>0</v>
      </c>
      <c r="AI102" s="379">
        <v>25</v>
      </c>
      <c r="AJ102" s="379">
        <v>375</v>
      </c>
      <c r="AK102" s="378">
        <v>60</v>
      </c>
      <c r="AL102" s="365">
        <v>25</v>
      </c>
      <c r="AM102" s="365">
        <v>375</v>
      </c>
      <c r="AN102" s="378">
        <v>60</v>
      </c>
      <c r="AO102" s="378"/>
      <c r="AP102" s="378">
        <f t="shared" si="14"/>
        <v>25</v>
      </c>
      <c r="AQ102" s="465">
        <v>0</v>
      </c>
      <c r="AR102" s="379">
        <v>0</v>
      </c>
      <c r="AS102" s="378">
        <v>0</v>
      </c>
      <c r="AT102" s="466">
        <v>21</v>
      </c>
      <c r="AU102" s="466">
        <v>3</v>
      </c>
      <c r="AV102" s="379">
        <v>24</v>
      </c>
      <c r="AW102" s="379">
        <v>360</v>
      </c>
      <c r="AX102" s="378">
        <v>45</v>
      </c>
      <c r="AY102" s="365">
        <v>24</v>
      </c>
      <c r="AZ102" s="365">
        <v>360</v>
      </c>
      <c r="BA102" s="378">
        <v>45</v>
      </c>
      <c r="BB102" s="378"/>
      <c r="BC102" s="378">
        <f t="shared" si="15"/>
        <v>24</v>
      </c>
      <c r="BD102" s="379">
        <v>0</v>
      </c>
      <c r="BE102" s="379">
        <v>0</v>
      </c>
      <c r="BF102" s="365">
        <v>0</v>
      </c>
      <c r="BO102" s="381">
        <f t="shared" si="16"/>
        <v>21</v>
      </c>
      <c r="BP102" s="381">
        <f t="shared" si="17"/>
        <v>3</v>
      </c>
      <c r="BQ102" s="381"/>
      <c r="BR102" s="381">
        <f>_xlfn.XLOOKUP(A102,'Summer data team '!B:B,'Summer data team '!BV:BV,0)</f>
        <v>21</v>
      </c>
      <c r="BS102" s="381">
        <f>_xlfn.XLOOKUP(A102,'Summer data team '!B:B,'Summer data team '!BW:BW,0)</f>
        <v>3</v>
      </c>
      <c r="BT102" s="381">
        <f t="shared" si="18"/>
        <v>0</v>
      </c>
      <c r="BU102" s="381">
        <f t="shared" si="19"/>
        <v>0</v>
      </c>
    </row>
    <row r="103" spans="1:73" ht="13" hidden="1" x14ac:dyDescent="0.3">
      <c r="A103" s="364">
        <v>3302187</v>
      </c>
      <c r="B103" s="364" t="s">
        <v>311</v>
      </c>
      <c r="C103" s="365">
        <v>0</v>
      </c>
      <c r="D103" s="365">
        <v>0</v>
      </c>
      <c r="E103" s="365">
        <v>0</v>
      </c>
      <c r="F103" s="365">
        <v>26</v>
      </c>
      <c r="G103" s="365">
        <v>17</v>
      </c>
      <c r="H103" s="377">
        <v>0</v>
      </c>
      <c r="I103" s="377">
        <v>43</v>
      </c>
      <c r="J103" s="365">
        <v>3</v>
      </c>
      <c r="K103" s="365">
        <v>3</v>
      </c>
      <c r="L103" s="377">
        <v>6</v>
      </c>
      <c r="M103" s="365">
        <v>0</v>
      </c>
      <c r="N103" s="365">
        <v>0</v>
      </c>
      <c r="O103" s="365">
        <v>390</v>
      </c>
      <c r="P103" s="365">
        <v>255</v>
      </c>
      <c r="Q103" s="377">
        <v>645</v>
      </c>
      <c r="R103" s="365">
        <v>0</v>
      </c>
      <c r="S103" s="365">
        <v>0</v>
      </c>
      <c r="T103" s="365">
        <v>45</v>
      </c>
      <c r="U103" s="365">
        <v>45</v>
      </c>
      <c r="V103" s="377">
        <v>90</v>
      </c>
      <c r="W103" s="365">
        <v>6</v>
      </c>
      <c r="X103" s="365">
        <v>90</v>
      </c>
      <c r="Y103" s="378">
        <v>15</v>
      </c>
      <c r="Z103" s="365">
        <v>7</v>
      </c>
      <c r="AA103" s="365">
        <v>105</v>
      </c>
      <c r="AB103" s="378">
        <v>15</v>
      </c>
      <c r="AC103" s="365">
        <v>8</v>
      </c>
      <c r="AD103" s="365">
        <v>120</v>
      </c>
      <c r="AE103" s="378">
        <v>15</v>
      </c>
      <c r="AF103" s="379">
        <v>0</v>
      </c>
      <c r="AG103" s="379">
        <v>0</v>
      </c>
      <c r="AH103" s="378">
        <v>0</v>
      </c>
      <c r="AI103" s="379">
        <v>11</v>
      </c>
      <c r="AJ103" s="379">
        <v>165</v>
      </c>
      <c r="AK103" s="378">
        <v>15</v>
      </c>
      <c r="AL103" s="365">
        <v>11</v>
      </c>
      <c r="AM103" s="365">
        <v>165</v>
      </c>
      <c r="AN103" s="378">
        <v>15</v>
      </c>
      <c r="AO103" s="378"/>
      <c r="AP103" s="378">
        <f t="shared" si="14"/>
        <v>11</v>
      </c>
      <c r="AQ103" s="465">
        <v>0</v>
      </c>
      <c r="AR103" s="379">
        <v>0</v>
      </c>
      <c r="AS103" s="378">
        <v>0</v>
      </c>
      <c r="AT103" s="466">
        <v>0</v>
      </c>
      <c r="AU103" s="466">
        <v>1</v>
      </c>
      <c r="AV103" s="379">
        <v>1</v>
      </c>
      <c r="AW103" s="379">
        <v>15</v>
      </c>
      <c r="AX103" s="378">
        <v>15</v>
      </c>
      <c r="AY103" s="365">
        <v>1</v>
      </c>
      <c r="AZ103" s="365">
        <v>15</v>
      </c>
      <c r="BA103" s="378">
        <v>15</v>
      </c>
      <c r="BB103" s="378"/>
      <c r="BC103" s="378">
        <f t="shared" si="15"/>
        <v>1</v>
      </c>
      <c r="BD103" s="379">
        <v>0</v>
      </c>
      <c r="BE103" s="379">
        <v>1</v>
      </c>
      <c r="BF103" s="365">
        <v>1</v>
      </c>
      <c r="BO103" s="381">
        <f t="shared" si="16"/>
        <v>0</v>
      </c>
      <c r="BP103" s="381">
        <f t="shared" si="17"/>
        <v>1</v>
      </c>
      <c r="BQ103" s="381"/>
      <c r="BR103" s="381">
        <f>_xlfn.XLOOKUP(A103,'Summer data team '!B:B,'Summer data team '!BV:BV,0)</f>
        <v>0</v>
      </c>
      <c r="BS103" s="381">
        <f>_xlfn.XLOOKUP(A103,'Summer data team '!B:B,'Summer data team '!BW:BW,0)</f>
        <v>1</v>
      </c>
      <c r="BT103" s="381">
        <f t="shared" si="18"/>
        <v>0</v>
      </c>
      <c r="BU103" s="381">
        <f t="shared" si="19"/>
        <v>0</v>
      </c>
    </row>
    <row r="104" spans="1:73" ht="13" hidden="1" x14ac:dyDescent="0.3">
      <c r="A104" s="364">
        <v>3302188</v>
      </c>
      <c r="B104" s="364" t="s">
        <v>312</v>
      </c>
      <c r="C104" s="365">
        <v>0</v>
      </c>
      <c r="D104" s="365">
        <v>0</v>
      </c>
      <c r="E104" s="365">
        <v>0</v>
      </c>
      <c r="F104" s="365">
        <v>8</v>
      </c>
      <c r="G104" s="365">
        <v>13</v>
      </c>
      <c r="H104" s="377">
        <v>0</v>
      </c>
      <c r="I104" s="377">
        <v>21</v>
      </c>
      <c r="J104" s="365">
        <v>0</v>
      </c>
      <c r="K104" s="365">
        <v>0</v>
      </c>
      <c r="L104" s="377">
        <v>0</v>
      </c>
      <c r="M104" s="365">
        <v>0</v>
      </c>
      <c r="N104" s="365">
        <v>0</v>
      </c>
      <c r="O104" s="365">
        <v>120</v>
      </c>
      <c r="P104" s="365">
        <v>195</v>
      </c>
      <c r="Q104" s="377">
        <v>315</v>
      </c>
      <c r="R104" s="365">
        <v>0</v>
      </c>
      <c r="S104" s="365">
        <v>0</v>
      </c>
      <c r="T104" s="365">
        <v>0</v>
      </c>
      <c r="U104" s="365">
        <v>0</v>
      </c>
      <c r="V104" s="377">
        <v>0</v>
      </c>
      <c r="W104" s="365">
        <v>1</v>
      </c>
      <c r="X104" s="365">
        <v>15</v>
      </c>
      <c r="Y104" s="378">
        <v>0</v>
      </c>
      <c r="Z104" s="365">
        <v>0</v>
      </c>
      <c r="AA104" s="365">
        <v>0</v>
      </c>
      <c r="AB104" s="378">
        <v>0</v>
      </c>
      <c r="AC104" s="365">
        <v>2</v>
      </c>
      <c r="AD104" s="365">
        <v>30</v>
      </c>
      <c r="AE104" s="378">
        <v>0</v>
      </c>
      <c r="AF104" s="379">
        <v>0</v>
      </c>
      <c r="AG104" s="379">
        <v>0</v>
      </c>
      <c r="AH104" s="378">
        <v>0</v>
      </c>
      <c r="AI104" s="379">
        <v>7</v>
      </c>
      <c r="AJ104" s="379">
        <v>105</v>
      </c>
      <c r="AK104" s="378">
        <v>0</v>
      </c>
      <c r="AL104" s="365">
        <v>7</v>
      </c>
      <c r="AM104" s="365">
        <v>105</v>
      </c>
      <c r="AN104" s="378">
        <v>0</v>
      </c>
      <c r="AO104" s="378"/>
      <c r="AP104" s="378">
        <f t="shared" si="14"/>
        <v>7</v>
      </c>
      <c r="AQ104" s="465">
        <v>0</v>
      </c>
      <c r="AR104" s="379">
        <v>0</v>
      </c>
      <c r="AS104" s="378">
        <v>0</v>
      </c>
      <c r="AT104" s="466">
        <v>7</v>
      </c>
      <c r="AU104" s="466">
        <v>0</v>
      </c>
      <c r="AV104" s="379">
        <v>7</v>
      </c>
      <c r="AW104" s="379">
        <v>105</v>
      </c>
      <c r="AX104" s="378">
        <v>0</v>
      </c>
      <c r="AY104" s="365">
        <v>7</v>
      </c>
      <c r="AZ104" s="365">
        <v>105</v>
      </c>
      <c r="BA104" s="378">
        <v>0</v>
      </c>
      <c r="BB104" s="378"/>
      <c r="BC104" s="378">
        <f t="shared" si="15"/>
        <v>7</v>
      </c>
      <c r="BD104" s="379">
        <v>0</v>
      </c>
      <c r="BE104" s="379">
        <v>0</v>
      </c>
      <c r="BF104" s="365">
        <v>0</v>
      </c>
      <c r="BO104" s="381">
        <f t="shared" si="16"/>
        <v>7</v>
      </c>
      <c r="BP104" s="381">
        <f t="shared" si="17"/>
        <v>0</v>
      </c>
      <c r="BQ104" s="381"/>
      <c r="BR104" s="381">
        <f>_xlfn.XLOOKUP(A104,'Summer data team '!B:B,'Summer data team '!BV:BV,0)</f>
        <v>7</v>
      </c>
      <c r="BS104" s="381">
        <f>_xlfn.XLOOKUP(A104,'Summer data team '!B:B,'Summer data team '!BW:BW,0)</f>
        <v>0</v>
      </c>
      <c r="BT104" s="381">
        <f t="shared" si="18"/>
        <v>0</v>
      </c>
      <c r="BU104" s="381">
        <f t="shared" si="19"/>
        <v>0</v>
      </c>
    </row>
    <row r="105" spans="1:73" ht="13" hidden="1" x14ac:dyDescent="0.3">
      <c r="A105" s="364">
        <v>3302189</v>
      </c>
      <c r="B105" s="364" t="s">
        <v>183</v>
      </c>
      <c r="C105" s="365">
        <v>0</v>
      </c>
      <c r="D105" s="365">
        <v>0</v>
      </c>
      <c r="E105" s="365">
        <v>0</v>
      </c>
      <c r="F105" s="365">
        <v>15</v>
      </c>
      <c r="G105" s="365">
        <v>12</v>
      </c>
      <c r="H105" s="377">
        <v>0</v>
      </c>
      <c r="I105" s="377">
        <v>27</v>
      </c>
      <c r="J105" s="365">
        <v>0</v>
      </c>
      <c r="K105" s="365">
        <v>0</v>
      </c>
      <c r="L105" s="377">
        <v>0</v>
      </c>
      <c r="M105" s="365">
        <v>0</v>
      </c>
      <c r="N105" s="365">
        <v>0</v>
      </c>
      <c r="O105" s="365">
        <v>225</v>
      </c>
      <c r="P105" s="365">
        <v>180</v>
      </c>
      <c r="Q105" s="377">
        <v>405</v>
      </c>
      <c r="R105" s="365">
        <v>0</v>
      </c>
      <c r="S105" s="365">
        <v>0</v>
      </c>
      <c r="T105" s="365">
        <v>0</v>
      </c>
      <c r="U105" s="365">
        <v>0</v>
      </c>
      <c r="V105" s="377">
        <v>0</v>
      </c>
      <c r="W105" s="365">
        <v>10</v>
      </c>
      <c r="X105" s="365">
        <v>150</v>
      </c>
      <c r="Y105" s="378">
        <v>0</v>
      </c>
      <c r="Z105" s="365">
        <v>14</v>
      </c>
      <c r="AA105" s="365">
        <v>210</v>
      </c>
      <c r="AB105" s="378">
        <v>0</v>
      </c>
      <c r="AC105" s="365">
        <v>2</v>
      </c>
      <c r="AD105" s="365">
        <v>30</v>
      </c>
      <c r="AE105" s="378">
        <v>0</v>
      </c>
      <c r="AF105" s="379">
        <v>0</v>
      </c>
      <c r="AG105" s="379">
        <v>0</v>
      </c>
      <c r="AH105" s="378">
        <v>0</v>
      </c>
      <c r="AI105" s="379">
        <v>13</v>
      </c>
      <c r="AJ105" s="379">
        <v>195</v>
      </c>
      <c r="AK105" s="378">
        <v>0</v>
      </c>
      <c r="AL105" s="365">
        <v>13</v>
      </c>
      <c r="AM105" s="365">
        <v>195</v>
      </c>
      <c r="AN105" s="378">
        <v>0</v>
      </c>
      <c r="AO105" s="378"/>
      <c r="AP105" s="378">
        <f t="shared" si="14"/>
        <v>13</v>
      </c>
      <c r="AQ105" s="465">
        <v>0</v>
      </c>
      <c r="AR105" s="379">
        <v>0</v>
      </c>
      <c r="AS105" s="378">
        <v>0</v>
      </c>
      <c r="AT105" s="466">
        <v>13</v>
      </c>
      <c r="AU105" s="466">
        <v>0</v>
      </c>
      <c r="AV105" s="379">
        <v>13</v>
      </c>
      <c r="AW105" s="379">
        <v>195</v>
      </c>
      <c r="AX105" s="378">
        <v>0</v>
      </c>
      <c r="AY105" s="365">
        <v>13</v>
      </c>
      <c r="AZ105" s="365">
        <v>195</v>
      </c>
      <c r="BA105" s="378">
        <v>0</v>
      </c>
      <c r="BB105" s="378"/>
      <c r="BC105" s="378">
        <f t="shared" si="15"/>
        <v>13</v>
      </c>
      <c r="BD105" s="379">
        <v>0</v>
      </c>
      <c r="BE105" s="379">
        <v>0</v>
      </c>
      <c r="BF105" s="365">
        <v>0</v>
      </c>
      <c r="BO105" s="381">
        <f t="shared" si="16"/>
        <v>13</v>
      </c>
      <c r="BP105" s="381">
        <f t="shared" si="17"/>
        <v>0</v>
      </c>
      <c r="BQ105" s="381"/>
      <c r="BR105" s="381">
        <f>_xlfn.XLOOKUP(A105,'Summer data team '!B:B,'Summer data team '!BV:BV,0)</f>
        <v>13</v>
      </c>
      <c r="BS105" s="381">
        <f>_xlfn.XLOOKUP(A105,'Summer data team '!B:B,'Summer data team '!BW:BW,0)</f>
        <v>0</v>
      </c>
      <c r="BT105" s="381">
        <f t="shared" si="18"/>
        <v>0</v>
      </c>
      <c r="BU105" s="381">
        <f t="shared" si="19"/>
        <v>0</v>
      </c>
    </row>
    <row r="106" spans="1:73" ht="13" hidden="1" x14ac:dyDescent="0.3">
      <c r="A106" s="364">
        <v>3302191</v>
      </c>
      <c r="B106" s="364" t="s">
        <v>313</v>
      </c>
      <c r="C106" s="365">
        <v>0</v>
      </c>
      <c r="D106" s="365">
        <v>0</v>
      </c>
      <c r="E106" s="365">
        <v>0</v>
      </c>
      <c r="F106" s="365">
        <v>9</v>
      </c>
      <c r="G106" s="365">
        <v>16</v>
      </c>
      <c r="H106" s="377">
        <v>0</v>
      </c>
      <c r="I106" s="377">
        <v>25</v>
      </c>
      <c r="J106" s="365">
        <v>0</v>
      </c>
      <c r="K106" s="365">
        <v>4</v>
      </c>
      <c r="L106" s="377">
        <v>4</v>
      </c>
      <c r="M106" s="365">
        <v>0</v>
      </c>
      <c r="N106" s="365">
        <v>0</v>
      </c>
      <c r="O106" s="365">
        <v>135</v>
      </c>
      <c r="P106" s="365">
        <v>240</v>
      </c>
      <c r="Q106" s="377">
        <v>375</v>
      </c>
      <c r="R106" s="365">
        <v>0</v>
      </c>
      <c r="S106" s="365">
        <v>0</v>
      </c>
      <c r="T106" s="365">
        <v>0</v>
      </c>
      <c r="U106" s="365">
        <v>60</v>
      </c>
      <c r="V106" s="377">
        <v>60</v>
      </c>
      <c r="W106" s="365">
        <v>9</v>
      </c>
      <c r="X106" s="365">
        <v>135</v>
      </c>
      <c r="Y106" s="378">
        <v>15</v>
      </c>
      <c r="Z106" s="365">
        <v>0</v>
      </c>
      <c r="AA106" s="365">
        <v>0</v>
      </c>
      <c r="AB106" s="378">
        <v>0</v>
      </c>
      <c r="AC106" s="365">
        <v>14</v>
      </c>
      <c r="AD106" s="365">
        <v>210</v>
      </c>
      <c r="AE106" s="378">
        <v>30</v>
      </c>
      <c r="AF106" s="379">
        <v>0</v>
      </c>
      <c r="AG106" s="379">
        <v>0</v>
      </c>
      <c r="AH106" s="378">
        <v>0</v>
      </c>
      <c r="AI106" s="379">
        <v>11</v>
      </c>
      <c r="AJ106" s="379">
        <v>165</v>
      </c>
      <c r="AK106" s="378">
        <v>0</v>
      </c>
      <c r="AL106" s="365">
        <v>11</v>
      </c>
      <c r="AM106" s="365">
        <v>165</v>
      </c>
      <c r="AN106" s="378">
        <v>0</v>
      </c>
      <c r="AO106" s="378"/>
      <c r="AP106" s="378">
        <f t="shared" si="14"/>
        <v>11</v>
      </c>
      <c r="AQ106" s="465">
        <v>0</v>
      </c>
      <c r="AR106" s="379">
        <v>0</v>
      </c>
      <c r="AS106" s="378">
        <v>0</v>
      </c>
      <c r="AT106" s="466">
        <v>4</v>
      </c>
      <c r="AU106" s="466">
        <v>0</v>
      </c>
      <c r="AV106" s="379">
        <v>4</v>
      </c>
      <c r="AW106" s="379">
        <v>60</v>
      </c>
      <c r="AX106" s="378">
        <v>0</v>
      </c>
      <c r="AY106" s="365">
        <v>4</v>
      </c>
      <c r="AZ106" s="365">
        <v>60</v>
      </c>
      <c r="BA106" s="378">
        <v>0</v>
      </c>
      <c r="BB106" s="378"/>
      <c r="BC106" s="378">
        <f t="shared" si="15"/>
        <v>4</v>
      </c>
      <c r="BD106" s="379">
        <v>0</v>
      </c>
      <c r="BE106" s="379">
        <v>0</v>
      </c>
      <c r="BF106" s="365">
        <v>0</v>
      </c>
      <c r="BO106" s="381">
        <f t="shared" si="16"/>
        <v>4</v>
      </c>
      <c r="BP106" s="381">
        <f t="shared" si="17"/>
        <v>0</v>
      </c>
      <c r="BQ106" s="381"/>
      <c r="BR106" s="381">
        <f>_xlfn.XLOOKUP(A106,'Summer data team '!B:B,'Summer data team '!BV:BV,0)</f>
        <v>4</v>
      </c>
      <c r="BS106" s="381">
        <f>_xlfn.XLOOKUP(A106,'Summer data team '!B:B,'Summer data team '!BW:BW,0)</f>
        <v>0</v>
      </c>
      <c r="BT106" s="381">
        <f t="shared" si="18"/>
        <v>0</v>
      </c>
      <c r="BU106" s="381">
        <f t="shared" si="19"/>
        <v>0</v>
      </c>
    </row>
    <row r="107" spans="1:73" ht="13" hidden="1" x14ac:dyDescent="0.3">
      <c r="A107" s="364">
        <v>3302194</v>
      </c>
      <c r="B107" s="364" t="s">
        <v>314</v>
      </c>
      <c r="C107" s="365">
        <v>0</v>
      </c>
      <c r="D107" s="365">
        <v>0</v>
      </c>
      <c r="E107" s="365">
        <v>0</v>
      </c>
      <c r="F107" s="365">
        <v>33</v>
      </c>
      <c r="G107" s="365">
        <v>24</v>
      </c>
      <c r="H107" s="377">
        <v>0</v>
      </c>
      <c r="I107" s="377">
        <v>57</v>
      </c>
      <c r="J107" s="365">
        <v>1</v>
      </c>
      <c r="K107" s="365">
        <v>1</v>
      </c>
      <c r="L107" s="377">
        <v>2</v>
      </c>
      <c r="M107" s="365">
        <v>0</v>
      </c>
      <c r="N107" s="365">
        <v>0</v>
      </c>
      <c r="O107" s="365">
        <v>495</v>
      </c>
      <c r="P107" s="365">
        <v>360</v>
      </c>
      <c r="Q107" s="377">
        <v>855</v>
      </c>
      <c r="R107" s="365">
        <v>0</v>
      </c>
      <c r="S107" s="365">
        <v>0</v>
      </c>
      <c r="T107" s="365">
        <v>15</v>
      </c>
      <c r="U107" s="365">
        <v>15</v>
      </c>
      <c r="V107" s="377">
        <v>30</v>
      </c>
      <c r="W107" s="365">
        <v>2</v>
      </c>
      <c r="X107" s="365">
        <v>30</v>
      </c>
      <c r="Y107" s="378">
        <v>0</v>
      </c>
      <c r="Z107" s="365">
        <v>0</v>
      </c>
      <c r="AA107" s="365">
        <v>0</v>
      </c>
      <c r="AB107" s="378">
        <v>0</v>
      </c>
      <c r="AC107" s="365">
        <v>18</v>
      </c>
      <c r="AD107" s="365">
        <v>270</v>
      </c>
      <c r="AE107" s="378">
        <v>0</v>
      </c>
      <c r="AF107" s="379">
        <v>0</v>
      </c>
      <c r="AG107" s="379">
        <v>0</v>
      </c>
      <c r="AH107" s="378">
        <v>0</v>
      </c>
      <c r="AI107" s="379">
        <v>13</v>
      </c>
      <c r="AJ107" s="379">
        <v>195</v>
      </c>
      <c r="AK107" s="378">
        <v>15</v>
      </c>
      <c r="AL107" s="365">
        <v>13</v>
      </c>
      <c r="AM107" s="365">
        <v>195</v>
      </c>
      <c r="AN107" s="378">
        <v>15</v>
      </c>
      <c r="AO107" s="378"/>
      <c r="AP107" s="378">
        <f t="shared" si="14"/>
        <v>13</v>
      </c>
      <c r="AQ107" s="465">
        <v>0</v>
      </c>
      <c r="AR107" s="379">
        <v>0</v>
      </c>
      <c r="AS107" s="378">
        <v>0</v>
      </c>
      <c r="AT107" s="466">
        <v>12</v>
      </c>
      <c r="AU107" s="466">
        <v>1</v>
      </c>
      <c r="AV107" s="379">
        <v>13</v>
      </c>
      <c r="AW107" s="379">
        <v>195</v>
      </c>
      <c r="AX107" s="378">
        <v>15</v>
      </c>
      <c r="AY107" s="365">
        <v>13</v>
      </c>
      <c r="AZ107" s="365">
        <v>195</v>
      </c>
      <c r="BA107" s="378">
        <v>15</v>
      </c>
      <c r="BB107" s="378"/>
      <c r="BC107" s="378">
        <f t="shared" si="15"/>
        <v>13</v>
      </c>
      <c r="BD107" s="379">
        <v>0</v>
      </c>
      <c r="BE107" s="379">
        <v>0</v>
      </c>
      <c r="BF107" s="365">
        <v>0</v>
      </c>
      <c r="BO107" s="381">
        <f t="shared" si="16"/>
        <v>12</v>
      </c>
      <c r="BP107" s="381">
        <f t="shared" si="17"/>
        <v>1</v>
      </c>
      <c r="BQ107" s="381"/>
      <c r="BR107" s="381">
        <f>_xlfn.XLOOKUP(A107,'Summer data team '!B:B,'Summer data team '!BV:BV,0)</f>
        <v>12</v>
      </c>
      <c r="BS107" s="381">
        <f>_xlfn.XLOOKUP(A107,'Summer data team '!B:B,'Summer data team '!BW:BW,0)</f>
        <v>1</v>
      </c>
      <c r="BT107" s="381">
        <f t="shared" si="18"/>
        <v>0</v>
      </c>
      <c r="BU107" s="381">
        <f t="shared" si="19"/>
        <v>0</v>
      </c>
    </row>
    <row r="108" spans="1:73" ht="13" hidden="1" x14ac:dyDescent="0.3">
      <c r="A108" s="364">
        <v>3302195</v>
      </c>
      <c r="B108" s="364" t="s">
        <v>315</v>
      </c>
      <c r="C108" s="365">
        <v>0</v>
      </c>
      <c r="D108" s="365">
        <v>11</v>
      </c>
      <c r="E108" s="365">
        <v>0</v>
      </c>
      <c r="F108" s="365">
        <v>42</v>
      </c>
      <c r="G108" s="365">
        <v>20</v>
      </c>
      <c r="H108" s="377">
        <v>11</v>
      </c>
      <c r="I108" s="377">
        <v>62</v>
      </c>
      <c r="J108" s="365">
        <v>0</v>
      </c>
      <c r="K108" s="365">
        <v>0</v>
      </c>
      <c r="L108" s="377">
        <v>0</v>
      </c>
      <c r="M108" s="365">
        <v>0</v>
      </c>
      <c r="N108" s="365">
        <v>165</v>
      </c>
      <c r="O108" s="365">
        <v>624</v>
      </c>
      <c r="P108" s="365">
        <v>300</v>
      </c>
      <c r="Q108" s="377">
        <v>924</v>
      </c>
      <c r="R108" s="365">
        <v>0</v>
      </c>
      <c r="S108" s="365">
        <v>165</v>
      </c>
      <c r="T108" s="365">
        <v>0</v>
      </c>
      <c r="U108" s="365">
        <v>0</v>
      </c>
      <c r="V108" s="377">
        <v>0</v>
      </c>
      <c r="W108" s="365">
        <v>27</v>
      </c>
      <c r="X108" s="365">
        <v>405</v>
      </c>
      <c r="Y108" s="378">
        <v>0</v>
      </c>
      <c r="Z108" s="365">
        <v>19</v>
      </c>
      <c r="AA108" s="365">
        <v>285</v>
      </c>
      <c r="AB108" s="378">
        <v>0</v>
      </c>
      <c r="AC108" s="365">
        <v>13</v>
      </c>
      <c r="AD108" s="365">
        <v>195</v>
      </c>
      <c r="AE108" s="378">
        <v>0</v>
      </c>
      <c r="AF108" s="379">
        <v>6</v>
      </c>
      <c r="AG108" s="379">
        <v>90</v>
      </c>
      <c r="AH108" s="378">
        <v>0</v>
      </c>
      <c r="AI108" s="379">
        <v>23</v>
      </c>
      <c r="AJ108" s="379">
        <v>345</v>
      </c>
      <c r="AK108" s="378">
        <v>0</v>
      </c>
      <c r="AL108" s="365">
        <v>29</v>
      </c>
      <c r="AM108" s="365">
        <v>435</v>
      </c>
      <c r="AN108" s="378">
        <v>0</v>
      </c>
      <c r="AO108" s="378"/>
      <c r="AP108" s="378">
        <f t="shared" si="14"/>
        <v>29</v>
      </c>
      <c r="AQ108" s="465">
        <v>1</v>
      </c>
      <c r="AR108" s="379">
        <v>15</v>
      </c>
      <c r="AS108" s="378">
        <v>0</v>
      </c>
      <c r="AT108" s="466">
        <v>22</v>
      </c>
      <c r="AU108" s="466">
        <v>0</v>
      </c>
      <c r="AV108" s="379">
        <v>22</v>
      </c>
      <c r="AW108" s="379">
        <v>330</v>
      </c>
      <c r="AX108" s="378">
        <v>0</v>
      </c>
      <c r="AY108" s="365">
        <v>23</v>
      </c>
      <c r="AZ108" s="365">
        <v>345</v>
      </c>
      <c r="BA108" s="378">
        <v>0</v>
      </c>
      <c r="BB108" s="378"/>
      <c r="BC108" s="378">
        <f t="shared" si="15"/>
        <v>23</v>
      </c>
      <c r="BD108" s="379">
        <v>0</v>
      </c>
      <c r="BE108" s="379">
        <v>0</v>
      </c>
      <c r="BF108" s="365">
        <v>0</v>
      </c>
      <c r="BO108" s="381">
        <f t="shared" si="16"/>
        <v>23</v>
      </c>
      <c r="BP108" s="381">
        <f t="shared" si="17"/>
        <v>0</v>
      </c>
      <c r="BQ108" s="381"/>
      <c r="BR108" s="381">
        <f>_xlfn.XLOOKUP(A108,'Summer data team '!B:B,'Summer data team '!BV:BV,0)</f>
        <v>23</v>
      </c>
      <c r="BS108" s="381">
        <f>_xlfn.XLOOKUP(A108,'Summer data team '!B:B,'Summer data team '!BW:BW,0)</f>
        <v>0</v>
      </c>
      <c r="BT108" s="381">
        <f t="shared" si="18"/>
        <v>0</v>
      </c>
      <c r="BU108" s="381">
        <f t="shared" si="19"/>
        <v>0</v>
      </c>
    </row>
    <row r="109" spans="1:73" ht="13" hidden="1" x14ac:dyDescent="0.3">
      <c r="A109" s="364">
        <v>3302196</v>
      </c>
      <c r="B109" s="364" t="s">
        <v>316</v>
      </c>
      <c r="C109" s="365">
        <v>0</v>
      </c>
      <c r="D109" s="365">
        <v>0</v>
      </c>
      <c r="E109" s="365">
        <v>0</v>
      </c>
      <c r="F109" s="365">
        <v>11</v>
      </c>
      <c r="G109" s="365">
        <v>12</v>
      </c>
      <c r="H109" s="377">
        <v>0</v>
      </c>
      <c r="I109" s="377">
        <v>23</v>
      </c>
      <c r="J109" s="365">
        <v>0</v>
      </c>
      <c r="K109" s="365">
        <v>0</v>
      </c>
      <c r="L109" s="377">
        <v>0</v>
      </c>
      <c r="M109" s="365">
        <v>0</v>
      </c>
      <c r="N109" s="365">
        <v>0</v>
      </c>
      <c r="O109" s="365">
        <v>165</v>
      </c>
      <c r="P109" s="365">
        <v>180</v>
      </c>
      <c r="Q109" s="377">
        <v>345</v>
      </c>
      <c r="R109" s="365">
        <v>0</v>
      </c>
      <c r="S109" s="365">
        <v>0</v>
      </c>
      <c r="T109" s="365">
        <v>0</v>
      </c>
      <c r="U109" s="365">
        <v>0</v>
      </c>
      <c r="V109" s="377">
        <v>0</v>
      </c>
      <c r="W109" s="365">
        <v>7</v>
      </c>
      <c r="X109" s="365">
        <v>105</v>
      </c>
      <c r="Y109" s="378">
        <v>0</v>
      </c>
      <c r="Z109" s="365">
        <v>12</v>
      </c>
      <c r="AA109" s="365">
        <v>180</v>
      </c>
      <c r="AB109" s="378">
        <v>0</v>
      </c>
      <c r="AC109" s="365">
        <v>4</v>
      </c>
      <c r="AD109" s="365">
        <v>60</v>
      </c>
      <c r="AE109" s="378">
        <v>0</v>
      </c>
      <c r="AF109" s="379">
        <v>0</v>
      </c>
      <c r="AG109" s="379">
        <v>0</v>
      </c>
      <c r="AH109" s="378">
        <v>0</v>
      </c>
      <c r="AI109" s="379">
        <v>8</v>
      </c>
      <c r="AJ109" s="379">
        <v>120</v>
      </c>
      <c r="AK109" s="378">
        <v>0</v>
      </c>
      <c r="AL109" s="365">
        <v>8</v>
      </c>
      <c r="AM109" s="365">
        <v>120</v>
      </c>
      <c r="AN109" s="378">
        <v>0</v>
      </c>
      <c r="AO109" s="378"/>
      <c r="AP109" s="378">
        <f t="shared" si="14"/>
        <v>8</v>
      </c>
      <c r="AQ109" s="465">
        <v>0</v>
      </c>
      <c r="AR109" s="379">
        <v>0</v>
      </c>
      <c r="AS109" s="378">
        <v>0</v>
      </c>
      <c r="AT109" s="466">
        <v>8</v>
      </c>
      <c r="AU109" s="466">
        <v>0</v>
      </c>
      <c r="AV109" s="379">
        <v>8</v>
      </c>
      <c r="AW109" s="379">
        <v>120</v>
      </c>
      <c r="AX109" s="378">
        <v>0</v>
      </c>
      <c r="AY109" s="365">
        <v>8</v>
      </c>
      <c r="AZ109" s="365">
        <v>120</v>
      </c>
      <c r="BA109" s="378">
        <v>0</v>
      </c>
      <c r="BB109" s="378"/>
      <c r="BC109" s="378">
        <f t="shared" si="15"/>
        <v>8</v>
      </c>
      <c r="BD109" s="379">
        <v>0</v>
      </c>
      <c r="BE109" s="379">
        <v>0</v>
      </c>
      <c r="BF109" s="365">
        <v>0</v>
      </c>
      <c r="BO109" s="381">
        <f t="shared" si="16"/>
        <v>8</v>
      </c>
      <c r="BP109" s="381">
        <f t="shared" si="17"/>
        <v>0</v>
      </c>
      <c r="BQ109" s="381"/>
      <c r="BR109" s="381">
        <f>_xlfn.XLOOKUP(A109,'Summer data team '!B:B,'Summer data team '!BV:BV,0)</f>
        <v>8</v>
      </c>
      <c r="BS109" s="381">
        <f>_xlfn.XLOOKUP(A109,'Summer data team '!B:B,'Summer data team '!BW:BW,0)</f>
        <v>0</v>
      </c>
      <c r="BT109" s="381">
        <f t="shared" si="18"/>
        <v>0</v>
      </c>
      <c r="BU109" s="381">
        <f t="shared" si="19"/>
        <v>0</v>
      </c>
    </row>
    <row r="110" spans="1:73" ht="13" hidden="1" x14ac:dyDescent="0.3">
      <c r="A110" s="364">
        <v>3302204</v>
      </c>
      <c r="B110" s="364" t="s">
        <v>317</v>
      </c>
      <c r="C110" s="365">
        <v>0</v>
      </c>
      <c r="D110" s="365">
        <v>0</v>
      </c>
      <c r="E110" s="365">
        <v>0</v>
      </c>
      <c r="F110" s="365">
        <v>10</v>
      </c>
      <c r="G110" s="365">
        <v>7</v>
      </c>
      <c r="H110" s="377">
        <v>0</v>
      </c>
      <c r="I110" s="377">
        <v>17</v>
      </c>
      <c r="J110" s="365">
        <v>2</v>
      </c>
      <c r="K110" s="365">
        <v>0</v>
      </c>
      <c r="L110" s="377">
        <v>2</v>
      </c>
      <c r="M110" s="365">
        <v>0</v>
      </c>
      <c r="N110" s="365">
        <v>0</v>
      </c>
      <c r="O110" s="365">
        <v>150</v>
      </c>
      <c r="P110" s="365">
        <v>105</v>
      </c>
      <c r="Q110" s="377">
        <v>255</v>
      </c>
      <c r="R110" s="365">
        <v>0</v>
      </c>
      <c r="S110" s="365">
        <v>0</v>
      </c>
      <c r="T110" s="365">
        <v>30</v>
      </c>
      <c r="U110" s="365">
        <v>0</v>
      </c>
      <c r="V110" s="377">
        <v>30</v>
      </c>
      <c r="W110" s="365">
        <v>6</v>
      </c>
      <c r="X110" s="365">
        <v>90</v>
      </c>
      <c r="Y110" s="378">
        <v>15</v>
      </c>
      <c r="Z110" s="365">
        <v>2</v>
      </c>
      <c r="AA110" s="365">
        <v>30</v>
      </c>
      <c r="AB110" s="378">
        <v>0</v>
      </c>
      <c r="AC110" s="365">
        <v>1</v>
      </c>
      <c r="AD110" s="365">
        <v>15</v>
      </c>
      <c r="AE110" s="378">
        <v>0</v>
      </c>
      <c r="AF110" s="379">
        <v>0</v>
      </c>
      <c r="AG110" s="379">
        <v>0</v>
      </c>
      <c r="AH110" s="378">
        <v>0</v>
      </c>
      <c r="AI110" s="379">
        <v>8</v>
      </c>
      <c r="AJ110" s="379">
        <v>120</v>
      </c>
      <c r="AK110" s="378">
        <v>15</v>
      </c>
      <c r="AL110" s="365">
        <v>8</v>
      </c>
      <c r="AM110" s="365">
        <v>120</v>
      </c>
      <c r="AN110" s="378">
        <v>15</v>
      </c>
      <c r="AO110" s="378"/>
      <c r="AP110" s="378">
        <f t="shared" si="14"/>
        <v>8</v>
      </c>
      <c r="AQ110" s="465">
        <v>0</v>
      </c>
      <c r="AR110" s="379">
        <v>0</v>
      </c>
      <c r="AS110" s="378">
        <v>0</v>
      </c>
      <c r="AT110" s="466">
        <v>6</v>
      </c>
      <c r="AU110" s="466">
        <v>1</v>
      </c>
      <c r="AV110" s="379">
        <v>7</v>
      </c>
      <c r="AW110" s="379">
        <v>105</v>
      </c>
      <c r="AX110" s="378">
        <v>15</v>
      </c>
      <c r="AY110" s="365">
        <v>7</v>
      </c>
      <c r="AZ110" s="365">
        <v>105</v>
      </c>
      <c r="BA110" s="378">
        <v>15</v>
      </c>
      <c r="BB110" s="378"/>
      <c r="BC110" s="378">
        <f t="shared" si="15"/>
        <v>7</v>
      </c>
      <c r="BD110" s="379">
        <v>0</v>
      </c>
      <c r="BE110" s="379">
        <v>0</v>
      </c>
      <c r="BF110" s="365">
        <v>0</v>
      </c>
      <c r="BO110" s="381">
        <f t="shared" si="16"/>
        <v>6</v>
      </c>
      <c r="BP110" s="381">
        <f t="shared" si="17"/>
        <v>1</v>
      </c>
      <c r="BQ110" s="381"/>
      <c r="BR110" s="381">
        <f>_xlfn.XLOOKUP(A110,'Summer data team '!B:B,'Summer data team '!BV:BV,0)</f>
        <v>6</v>
      </c>
      <c r="BS110" s="381">
        <f>_xlfn.XLOOKUP(A110,'Summer data team '!B:B,'Summer data team '!BW:BW,0)</f>
        <v>1</v>
      </c>
      <c r="BT110" s="381">
        <f t="shared" si="18"/>
        <v>0</v>
      </c>
      <c r="BU110" s="381">
        <f t="shared" si="19"/>
        <v>0</v>
      </c>
    </row>
    <row r="111" spans="1:73" ht="13" hidden="1" x14ac:dyDescent="0.3">
      <c r="A111" s="364">
        <v>3302211</v>
      </c>
      <c r="B111" s="364" t="s">
        <v>851</v>
      </c>
      <c r="C111" s="365">
        <v>0</v>
      </c>
      <c r="D111" s="365">
        <v>0</v>
      </c>
      <c r="E111" s="365">
        <v>0</v>
      </c>
      <c r="F111" s="365">
        <v>45</v>
      </c>
      <c r="G111" s="365">
        <v>16</v>
      </c>
      <c r="H111" s="377">
        <v>0</v>
      </c>
      <c r="I111" s="377">
        <v>61</v>
      </c>
      <c r="J111" s="365">
        <v>7</v>
      </c>
      <c r="K111" s="365">
        <v>5</v>
      </c>
      <c r="L111" s="377">
        <v>12</v>
      </c>
      <c r="M111" s="365">
        <v>0</v>
      </c>
      <c r="N111" s="365">
        <v>0</v>
      </c>
      <c r="O111" s="365">
        <v>675</v>
      </c>
      <c r="P111" s="365">
        <v>240</v>
      </c>
      <c r="Q111" s="377">
        <v>915</v>
      </c>
      <c r="R111" s="365">
        <v>0</v>
      </c>
      <c r="S111" s="365">
        <v>0</v>
      </c>
      <c r="T111" s="365">
        <v>105</v>
      </c>
      <c r="U111" s="365">
        <v>75</v>
      </c>
      <c r="V111" s="377">
        <v>180</v>
      </c>
      <c r="W111" s="365">
        <v>5</v>
      </c>
      <c r="X111" s="365">
        <v>75</v>
      </c>
      <c r="Y111" s="378">
        <v>0</v>
      </c>
      <c r="Z111" s="365">
        <v>32</v>
      </c>
      <c r="AA111" s="365">
        <v>480</v>
      </c>
      <c r="AB111" s="378">
        <v>75</v>
      </c>
      <c r="AC111" s="365">
        <v>5</v>
      </c>
      <c r="AD111" s="365">
        <v>75</v>
      </c>
      <c r="AE111" s="378">
        <v>45</v>
      </c>
      <c r="AF111" s="379">
        <v>0</v>
      </c>
      <c r="AG111" s="379">
        <v>0</v>
      </c>
      <c r="AH111" s="378">
        <v>0</v>
      </c>
      <c r="AI111" s="379">
        <v>26</v>
      </c>
      <c r="AJ111" s="379">
        <v>390</v>
      </c>
      <c r="AK111" s="378">
        <v>60</v>
      </c>
      <c r="AL111" s="365">
        <v>26</v>
      </c>
      <c r="AM111" s="365">
        <v>390</v>
      </c>
      <c r="AN111" s="378">
        <v>60</v>
      </c>
      <c r="AO111" s="378"/>
      <c r="AP111" s="378">
        <f t="shared" si="14"/>
        <v>26</v>
      </c>
      <c r="AQ111" s="465">
        <v>0</v>
      </c>
      <c r="AR111" s="379">
        <v>0</v>
      </c>
      <c r="AS111" s="378">
        <v>0</v>
      </c>
      <c r="AT111" s="466">
        <v>22</v>
      </c>
      <c r="AU111" s="466">
        <v>4</v>
      </c>
      <c r="AV111" s="379">
        <v>26</v>
      </c>
      <c r="AW111" s="379">
        <v>390</v>
      </c>
      <c r="AX111" s="378">
        <v>60</v>
      </c>
      <c r="AY111" s="365">
        <v>26</v>
      </c>
      <c r="AZ111" s="365">
        <v>390</v>
      </c>
      <c r="BA111" s="378">
        <v>60</v>
      </c>
      <c r="BB111" s="378"/>
      <c r="BC111" s="378">
        <f t="shared" si="15"/>
        <v>26</v>
      </c>
      <c r="BD111" s="379">
        <v>0</v>
      </c>
      <c r="BE111" s="379">
        <v>0</v>
      </c>
      <c r="BF111" s="365">
        <v>0</v>
      </c>
      <c r="BO111" s="381">
        <f t="shared" si="16"/>
        <v>22</v>
      </c>
      <c r="BP111" s="381">
        <f t="shared" si="17"/>
        <v>4</v>
      </c>
      <c r="BQ111" s="381"/>
      <c r="BR111" s="381">
        <f>_xlfn.XLOOKUP(A111,'Summer data team '!B:B,'Summer data team '!BV:BV,0)</f>
        <v>22</v>
      </c>
      <c r="BS111" s="381">
        <f>_xlfn.XLOOKUP(A111,'Summer data team '!B:B,'Summer data team '!BW:BW,0)</f>
        <v>4</v>
      </c>
      <c r="BT111" s="381">
        <f t="shared" si="18"/>
        <v>0</v>
      </c>
      <c r="BU111" s="381">
        <f t="shared" si="19"/>
        <v>0</v>
      </c>
    </row>
    <row r="112" spans="1:73" ht="13" hidden="1" x14ac:dyDescent="0.3">
      <c r="A112" s="364">
        <v>3302212</v>
      </c>
      <c r="B112" s="364" t="s">
        <v>648</v>
      </c>
      <c r="C112" s="365">
        <v>0</v>
      </c>
      <c r="D112" s="365">
        <v>0</v>
      </c>
      <c r="E112" s="365">
        <v>0</v>
      </c>
      <c r="F112" s="365">
        <v>5</v>
      </c>
      <c r="G112" s="365">
        <v>9</v>
      </c>
      <c r="H112" s="377">
        <v>0</v>
      </c>
      <c r="I112" s="377">
        <v>14</v>
      </c>
      <c r="J112" s="365">
        <v>0</v>
      </c>
      <c r="K112" s="365">
        <v>0</v>
      </c>
      <c r="L112" s="377">
        <v>0</v>
      </c>
      <c r="M112" s="365">
        <v>0</v>
      </c>
      <c r="N112" s="365">
        <v>0</v>
      </c>
      <c r="O112" s="365">
        <v>75</v>
      </c>
      <c r="P112" s="365">
        <v>135</v>
      </c>
      <c r="Q112" s="377">
        <v>210</v>
      </c>
      <c r="R112" s="365">
        <v>0</v>
      </c>
      <c r="S112" s="365">
        <v>0</v>
      </c>
      <c r="T112" s="365">
        <v>0</v>
      </c>
      <c r="U112" s="365">
        <v>0</v>
      </c>
      <c r="V112" s="377">
        <v>0</v>
      </c>
      <c r="W112" s="365">
        <v>6</v>
      </c>
      <c r="X112" s="365">
        <v>90</v>
      </c>
      <c r="Y112" s="378">
        <v>0</v>
      </c>
      <c r="Z112" s="365">
        <v>8</v>
      </c>
      <c r="AA112" s="365">
        <v>120</v>
      </c>
      <c r="AB112" s="378">
        <v>0</v>
      </c>
      <c r="AC112" s="365">
        <v>0</v>
      </c>
      <c r="AD112" s="365">
        <v>0</v>
      </c>
      <c r="AE112" s="378">
        <v>0</v>
      </c>
      <c r="AF112" s="379">
        <v>0</v>
      </c>
      <c r="AG112" s="379">
        <v>0</v>
      </c>
      <c r="AH112" s="378">
        <v>0</v>
      </c>
      <c r="AI112" s="379">
        <v>0</v>
      </c>
      <c r="AJ112" s="379">
        <v>0</v>
      </c>
      <c r="AK112" s="378">
        <v>0</v>
      </c>
      <c r="AL112" s="365">
        <v>0</v>
      </c>
      <c r="AM112" s="365">
        <v>0</v>
      </c>
      <c r="AN112" s="378">
        <v>0</v>
      </c>
      <c r="AO112" s="378"/>
      <c r="AP112" s="378">
        <f t="shared" si="14"/>
        <v>0</v>
      </c>
      <c r="AQ112" s="465">
        <v>0</v>
      </c>
      <c r="AR112" s="379">
        <v>0</v>
      </c>
      <c r="AS112" s="378">
        <v>0</v>
      </c>
      <c r="AT112" s="466">
        <v>0</v>
      </c>
      <c r="AU112" s="466">
        <v>0</v>
      </c>
      <c r="AV112" s="379">
        <v>0</v>
      </c>
      <c r="AW112" s="379">
        <v>0</v>
      </c>
      <c r="AX112" s="378">
        <v>0</v>
      </c>
      <c r="AY112" s="365">
        <v>0</v>
      </c>
      <c r="AZ112" s="365">
        <v>0</v>
      </c>
      <c r="BA112" s="378">
        <v>0</v>
      </c>
      <c r="BB112" s="378"/>
      <c r="BC112" s="378">
        <f t="shared" si="15"/>
        <v>0</v>
      </c>
      <c r="BD112" s="379">
        <v>0</v>
      </c>
      <c r="BE112" s="379">
        <v>0</v>
      </c>
      <c r="BF112" s="365">
        <v>0</v>
      </c>
      <c r="BO112" s="381">
        <f t="shared" si="16"/>
        <v>0</v>
      </c>
      <c r="BP112" s="381">
        <f t="shared" si="17"/>
        <v>0</v>
      </c>
      <c r="BQ112" s="381"/>
      <c r="BR112" s="381">
        <f>_xlfn.XLOOKUP(A112,'Summer data team '!B:B,'Summer data team '!BV:BV,0)</f>
        <v>0</v>
      </c>
      <c r="BS112" s="381">
        <f>_xlfn.XLOOKUP(A112,'Summer data team '!B:B,'Summer data team '!BW:BW,0)</f>
        <v>0</v>
      </c>
      <c r="BT112" s="381">
        <f t="shared" si="18"/>
        <v>0</v>
      </c>
      <c r="BU112" s="381">
        <f t="shared" si="19"/>
        <v>0</v>
      </c>
    </row>
    <row r="113" spans="1:73" ht="13" hidden="1" x14ac:dyDescent="0.3">
      <c r="A113" s="364">
        <v>3302214</v>
      </c>
      <c r="B113" s="364" t="s">
        <v>852</v>
      </c>
      <c r="C113" s="365">
        <v>0</v>
      </c>
      <c r="D113" s="365">
        <v>0</v>
      </c>
      <c r="E113" s="365">
        <v>0</v>
      </c>
      <c r="F113" s="365">
        <v>16</v>
      </c>
      <c r="G113" s="365">
        <v>22</v>
      </c>
      <c r="H113" s="377">
        <v>0</v>
      </c>
      <c r="I113" s="377">
        <v>38</v>
      </c>
      <c r="J113" s="365">
        <v>0</v>
      </c>
      <c r="K113" s="365">
        <v>0</v>
      </c>
      <c r="L113" s="377">
        <v>0</v>
      </c>
      <c r="M113" s="365">
        <v>0</v>
      </c>
      <c r="N113" s="365">
        <v>0</v>
      </c>
      <c r="O113" s="365">
        <v>240</v>
      </c>
      <c r="P113" s="365">
        <v>330</v>
      </c>
      <c r="Q113" s="377">
        <v>570</v>
      </c>
      <c r="R113" s="365">
        <v>0</v>
      </c>
      <c r="S113" s="365">
        <v>0</v>
      </c>
      <c r="T113" s="365">
        <v>0</v>
      </c>
      <c r="U113" s="365">
        <v>0</v>
      </c>
      <c r="V113" s="377">
        <v>0</v>
      </c>
      <c r="W113" s="365">
        <v>16</v>
      </c>
      <c r="X113" s="365">
        <v>240</v>
      </c>
      <c r="Y113" s="378">
        <v>0</v>
      </c>
      <c r="Z113" s="365">
        <v>3</v>
      </c>
      <c r="AA113" s="365">
        <v>45</v>
      </c>
      <c r="AB113" s="378">
        <v>0</v>
      </c>
      <c r="AC113" s="365">
        <v>3</v>
      </c>
      <c r="AD113" s="365">
        <v>45</v>
      </c>
      <c r="AE113" s="378">
        <v>0</v>
      </c>
      <c r="AF113" s="379">
        <v>0</v>
      </c>
      <c r="AG113" s="379">
        <v>0</v>
      </c>
      <c r="AH113" s="378">
        <v>0</v>
      </c>
      <c r="AI113" s="379">
        <v>20</v>
      </c>
      <c r="AJ113" s="379">
        <v>300</v>
      </c>
      <c r="AK113" s="378">
        <v>0</v>
      </c>
      <c r="AL113" s="365">
        <v>20</v>
      </c>
      <c r="AM113" s="365">
        <v>300</v>
      </c>
      <c r="AN113" s="378">
        <v>0</v>
      </c>
      <c r="AO113" s="378"/>
      <c r="AP113" s="378">
        <f t="shared" si="14"/>
        <v>20</v>
      </c>
      <c r="AQ113" s="465">
        <v>0</v>
      </c>
      <c r="AR113" s="379">
        <v>0</v>
      </c>
      <c r="AS113" s="378">
        <v>0</v>
      </c>
      <c r="AT113" s="466">
        <v>0</v>
      </c>
      <c r="AU113" s="466">
        <v>0</v>
      </c>
      <c r="AV113" s="379">
        <v>0</v>
      </c>
      <c r="AW113" s="379">
        <v>0</v>
      </c>
      <c r="AX113" s="378">
        <v>0</v>
      </c>
      <c r="AY113" s="365">
        <v>0</v>
      </c>
      <c r="AZ113" s="365">
        <v>0</v>
      </c>
      <c r="BA113" s="378">
        <v>0</v>
      </c>
      <c r="BB113" s="378"/>
      <c r="BC113" s="378">
        <f t="shared" si="15"/>
        <v>0</v>
      </c>
      <c r="BD113" s="379">
        <v>0</v>
      </c>
      <c r="BE113" s="379">
        <v>0</v>
      </c>
      <c r="BF113" s="365">
        <v>0</v>
      </c>
      <c r="BO113" s="381">
        <f t="shared" si="16"/>
        <v>0</v>
      </c>
      <c r="BP113" s="381">
        <f t="shared" si="17"/>
        <v>0</v>
      </c>
      <c r="BQ113" s="381"/>
      <c r="BR113" s="381">
        <f>_xlfn.XLOOKUP(A113,'Summer data team '!B:B,'Summer data team '!BV:BV,0)</f>
        <v>0</v>
      </c>
      <c r="BS113" s="381">
        <f>_xlfn.XLOOKUP(A113,'Summer data team '!B:B,'Summer data team '!BW:BW,0)</f>
        <v>0</v>
      </c>
      <c r="BT113" s="381">
        <f t="shared" si="18"/>
        <v>0</v>
      </c>
      <c r="BU113" s="381">
        <f t="shared" si="19"/>
        <v>0</v>
      </c>
    </row>
    <row r="114" spans="1:73" ht="13" hidden="1" x14ac:dyDescent="0.3">
      <c r="A114" s="364">
        <v>3302221</v>
      </c>
      <c r="B114" s="364" t="s">
        <v>649</v>
      </c>
      <c r="C114" s="365">
        <v>0</v>
      </c>
      <c r="D114" s="365">
        <v>0</v>
      </c>
      <c r="E114" s="365">
        <v>0</v>
      </c>
      <c r="F114" s="365">
        <v>19</v>
      </c>
      <c r="G114" s="365">
        <v>24</v>
      </c>
      <c r="H114" s="377">
        <v>0</v>
      </c>
      <c r="I114" s="377">
        <v>43</v>
      </c>
      <c r="J114" s="365">
        <v>0</v>
      </c>
      <c r="K114" s="365">
        <v>0</v>
      </c>
      <c r="L114" s="377">
        <v>0</v>
      </c>
      <c r="M114" s="365">
        <v>0</v>
      </c>
      <c r="N114" s="365">
        <v>0</v>
      </c>
      <c r="O114" s="365">
        <v>285</v>
      </c>
      <c r="P114" s="365">
        <v>360</v>
      </c>
      <c r="Q114" s="377">
        <v>645</v>
      </c>
      <c r="R114" s="365">
        <v>0</v>
      </c>
      <c r="S114" s="365">
        <v>0</v>
      </c>
      <c r="T114" s="365">
        <v>0</v>
      </c>
      <c r="U114" s="365">
        <v>0</v>
      </c>
      <c r="V114" s="377">
        <v>0</v>
      </c>
      <c r="W114" s="365">
        <v>0</v>
      </c>
      <c r="X114" s="365">
        <v>0</v>
      </c>
      <c r="Y114" s="378">
        <v>0</v>
      </c>
      <c r="Z114" s="365">
        <v>1</v>
      </c>
      <c r="AA114" s="365">
        <v>15</v>
      </c>
      <c r="AB114" s="378">
        <v>0</v>
      </c>
      <c r="AC114" s="365">
        <v>37</v>
      </c>
      <c r="AD114" s="365">
        <v>555</v>
      </c>
      <c r="AE114" s="378">
        <v>0</v>
      </c>
      <c r="AF114" s="379">
        <v>0</v>
      </c>
      <c r="AG114" s="379">
        <v>0</v>
      </c>
      <c r="AH114" s="378">
        <v>0</v>
      </c>
      <c r="AI114" s="379">
        <v>16</v>
      </c>
      <c r="AJ114" s="379">
        <v>240</v>
      </c>
      <c r="AK114" s="378">
        <v>0</v>
      </c>
      <c r="AL114" s="365">
        <v>16</v>
      </c>
      <c r="AM114" s="365">
        <v>240</v>
      </c>
      <c r="AN114" s="378">
        <v>0</v>
      </c>
      <c r="AO114" s="378"/>
      <c r="AP114" s="378">
        <f t="shared" si="14"/>
        <v>16</v>
      </c>
      <c r="AQ114" s="465">
        <v>0</v>
      </c>
      <c r="AR114" s="379">
        <v>0</v>
      </c>
      <c r="AS114" s="378">
        <v>0</v>
      </c>
      <c r="AT114" s="466">
        <v>15</v>
      </c>
      <c r="AU114" s="466">
        <v>0</v>
      </c>
      <c r="AV114" s="379">
        <v>15</v>
      </c>
      <c r="AW114" s="379">
        <v>225</v>
      </c>
      <c r="AX114" s="378">
        <v>0</v>
      </c>
      <c r="AY114" s="365">
        <v>15</v>
      </c>
      <c r="AZ114" s="365">
        <v>225</v>
      </c>
      <c r="BA114" s="378">
        <v>0</v>
      </c>
      <c r="BB114" s="378"/>
      <c r="BC114" s="378">
        <f t="shared" si="15"/>
        <v>15</v>
      </c>
      <c r="BD114" s="379">
        <v>0</v>
      </c>
      <c r="BE114" s="379">
        <v>0</v>
      </c>
      <c r="BF114" s="365">
        <v>0</v>
      </c>
      <c r="BO114" s="381">
        <f t="shared" si="16"/>
        <v>15</v>
      </c>
      <c r="BP114" s="381">
        <f t="shared" si="17"/>
        <v>0</v>
      </c>
      <c r="BQ114" s="381"/>
      <c r="BR114" s="381">
        <f>_xlfn.XLOOKUP(A114,'Summer data team '!B:B,'Summer data team '!BV:BV,0)</f>
        <v>15</v>
      </c>
      <c r="BS114" s="381">
        <f>_xlfn.XLOOKUP(A114,'Summer data team '!B:B,'Summer data team '!BW:BW,0)</f>
        <v>0</v>
      </c>
      <c r="BT114" s="381">
        <f t="shared" si="18"/>
        <v>0</v>
      </c>
      <c r="BU114" s="381">
        <f t="shared" si="19"/>
        <v>0</v>
      </c>
    </row>
    <row r="115" spans="1:73" ht="13" hidden="1" x14ac:dyDescent="0.3">
      <c r="A115" s="364">
        <v>3302227</v>
      </c>
      <c r="B115" s="364" t="s">
        <v>319</v>
      </c>
      <c r="C115" s="365">
        <v>0</v>
      </c>
      <c r="D115" s="365">
        <v>0</v>
      </c>
      <c r="E115" s="365">
        <v>0</v>
      </c>
      <c r="F115" s="365">
        <v>30</v>
      </c>
      <c r="G115" s="365">
        <v>17</v>
      </c>
      <c r="H115" s="377">
        <v>0</v>
      </c>
      <c r="I115" s="377">
        <v>47</v>
      </c>
      <c r="J115" s="365">
        <v>3</v>
      </c>
      <c r="K115" s="365">
        <v>3</v>
      </c>
      <c r="L115" s="377">
        <v>6</v>
      </c>
      <c r="M115" s="365">
        <v>0</v>
      </c>
      <c r="N115" s="365">
        <v>0</v>
      </c>
      <c r="O115" s="365">
        <v>450</v>
      </c>
      <c r="P115" s="365">
        <v>255</v>
      </c>
      <c r="Q115" s="377">
        <v>705</v>
      </c>
      <c r="R115" s="365">
        <v>0</v>
      </c>
      <c r="S115" s="365">
        <v>0</v>
      </c>
      <c r="T115" s="365">
        <v>45</v>
      </c>
      <c r="U115" s="365">
        <v>45</v>
      </c>
      <c r="V115" s="377">
        <v>90</v>
      </c>
      <c r="W115" s="365">
        <v>7</v>
      </c>
      <c r="X115" s="365">
        <v>105</v>
      </c>
      <c r="Y115" s="378">
        <v>45</v>
      </c>
      <c r="Z115" s="365">
        <v>21</v>
      </c>
      <c r="AA115" s="365">
        <v>315</v>
      </c>
      <c r="AB115" s="378">
        <v>15</v>
      </c>
      <c r="AC115" s="365">
        <v>12</v>
      </c>
      <c r="AD115" s="365">
        <v>180</v>
      </c>
      <c r="AE115" s="378">
        <v>15</v>
      </c>
      <c r="AF115" s="379">
        <v>0</v>
      </c>
      <c r="AG115" s="379">
        <v>0</v>
      </c>
      <c r="AH115" s="378">
        <v>0</v>
      </c>
      <c r="AI115" s="379">
        <v>27</v>
      </c>
      <c r="AJ115" s="379">
        <v>405</v>
      </c>
      <c r="AK115" s="378">
        <v>15</v>
      </c>
      <c r="AL115" s="365">
        <v>27</v>
      </c>
      <c r="AM115" s="365">
        <v>405</v>
      </c>
      <c r="AN115" s="378">
        <v>15</v>
      </c>
      <c r="AO115" s="378"/>
      <c r="AP115" s="378">
        <f t="shared" si="14"/>
        <v>27</v>
      </c>
      <c r="AQ115" s="465">
        <v>0</v>
      </c>
      <c r="AR115" s="379">
        <v>0</v>
      </c>
      <c r="AS115" s="378">
        <v>0</v>
      </c>
      <c r="AT115" s="466">
        <v>26</v>
      </c>
      <c r="AU115" s="466">
        <v>1</v>
      </c>
      <c r="AV115" s="379">
        <v>27</v>
      </c>
      <c r="AW115" s="379">
        <v>405</v>
      </c>
      <c r="AX115" s="378">
        <v>15</v>
      </c>
      <c r="AY115" s="365">
        <v>27</v>
      </c>
      <c r="AZ115" s="365">
        <v>405</v>
      </c>
      <c r="BA115" s="378">
        <v>15</v>
      </c>
      <c r="BB115" s="378"/>
      <c r="BC115" s="378">
        <f t="shared" si="15"/>
        <v>27</v>
      </c>
      <c r="BD115" s="379">
        <v>0</v>
      </c>
      <c r="BE115" s="379">
        <v>1</v>
      </c>
      <c r="BF115" s="365">
        <v>1</v>
      </c>
      <c r="BO115" s="381">
        <f t="shared" si="16"/>
        <v>26</v>
      </c>
      <c r="BP115" s="381">
        <f t="shared" si="17"/>
        <v>1</v>
      </c>
      <c r="BQ115" s="381"/>
      <c r="BR115" s="381">
        <f>_xlfn.XLOOKUP(A115,'Summer data team '!B:B,'Summer data team '!BV:BV,0)</f>
        <v>26</v>
      </c>
      <c r="BS115" s="381">
        <f>_xlfn.XLOOKUP(A115,'Summer data team '!B:B,'Summer data team '!BW:BW,0)</f>
        <v>1</v>
      </c>
      <c r="BT115" s="381">
        <f t="shared" si="18"/>
        <v>0</v>
      </c>
      <c r="BU115" s="381">
        <f t="shared" si="19"/>
        <v>0</v>
      </c>
    </row>
    <row r="116" spans="1:73" ht="13" hidden="1" x14ac:dyDescent="0.3">
      <c r="A116" s="364">
        <v>3302231</v>
      </c>
      <c r="B116" s="364" t="s">
        <v>320</v>
      </c>
      <c r="C116" s="365">
        <v>0</v>
      </c>
      <c r="D116" s="365">
        <v>0</v>
      </c>
      <c r="E116" s="365">
        <v>0</v>
      </c>
      <c r="F116" s="365">
        <v>9</v>
      </c>
      <c r="G116" s="365">
        <v>20</v>
      </c>
      <c r="H116" s="377">
        <v>0</v>
      </c>
      <c r="I116" s="377">
        <v>29</v>
      </c>
      <c r="J116" s="365">
        <v>3</v>
      </c>
      <c r="K116" s="365">
        <v>3</v>
      </c>
      <c r="L116" s="377">
        <v>6</v>
      </c>
      <c r="M116" s="365">
        <v>0</v>
      </c>
      <c r="N116" s="365">
        <v>0</v>
      </c>
      <c r="O116" s="365">
        <v>135</v>
      </c>
      <c r="P116" s="365">
        <v>300</v>
      </c>
      <c r="Q116" s="377">
        <v>435</v>
      </c>
      <c r="R116" s="365">
        <v>0</v>
      </c>
      <c r="S116" s="365">
        <v>0</v>
      </c>
      <c r="T116" s="365">
        <v>45</v>
      </c>
      <c r="U116" s="365">
        <v>45</v>
      </c>
      <c r="V116" s="377">
        <v>90</v>
      </c>
      <c r="W116" s="365">
        <v>0</v>
      </c>
      <c r="X116" s="365">
        <v>0</v>
      </c>
      <c r="Y116" s="378">
        <v>0</v>
      </c>
      <c r="Z116" s="365">
        <v>1</v>
      </c>
      <c r="AA116" s="365">
        <v>15</v>
      </c>
      <c r="AB116" s="378">
        <v>0</v>
      </c>
      <c r="AC116" s="365">
        <v>14</v>
      </c>
      <c r="AD116" s="365">
        <v>210</v>
      </c>
      <c r="AE116" s="378">
        <v>60</v>
      </c>
      <c r="AF116" s="379">
        <v>0</v>
      </c>
      <c r="AG116" s="379">
        <v>0</v>
      </c>
      <c r="AH116" s="378">
        <v>0</v>
      </c>
      <c r="AI116" s="379">
        <v>0</v>
      </c>
      <c r="AJ116" s="379">
        <v>0</v>
      </c>
      <c r="AK116" s="378">
        <v>0</v>
      </c>
      <c r="AL116" s="365">
        <v>0</v>
      </c>
      <c r="AM116" s="365">
        <v>0</v>
      </c>
      <c r="AN116" s="378">
        <v>0</v>
      </c>
      <c r="AO116" s="378"/>
      <c r="AP116" s="378">
        <f t="shared" si="14"/>
        <v>0</v>
      </c>
      <c r="AQ116" s="465">
        <v>0</v>
      </c>
      <c r="AR116" s="379">
        <v>0</v>
      </c>
      <c r="AS116" s="378">
        <v>0</v>
      </c>
      <c r="AT116" s="466">
        <v>0</v>
      </c>
      <c r="AU116" s="466">
        <v>0</v>
      </c>
      <c r="AV116" s="379">
        <v>0</v>
      </c>
      <c r="AW116" s="379">
        <v>0</v>
      </c>
      <c r="AX116" s="378">
        <v>0</v>
      </c>
      <c r="AY116" s="365">
        <v>0</v>
      </c>
      <c r="AZ116" s="365">
        <v>0</v>
      </c>
      <c r="BA116" s="378">
        <v>0</v>
      </c>
      <c r="BB116" s="378"/>
      <c r="BC116" s="378">
        <f t="shared" si="15"/>
        <v>0</v>
      </c>
      <c r="BD116" s="379">
        <v>0</v>
      </c>
      <c r="BE116" s="379">
        <v>0</v>
      </c>
      <c r="BF116" s="365">
        <v>0</v>
      </c>
      <c r="BO116" s="381">
        <f t="shared" si="16"/>
        <v>0</v>
      </c>
      <c r="BP116" s="381">
        <f t="shared" si="17"/>
        <v>0</v>
      </c>
      <c r="BQ116" s="381"/>
      <c r="BR116" s="381">
        <f>_xlfn.XLOOKUP(A116,'Summer data team '!B:B,'Summer data team '!BV:BV,0)</f>
        <v>0</v>
      </c>
      <c r="BS116" s="381">
        <f>_xlfn.XLOOKUP(A116,'Summer data team '!B:B,'Summer data team '!BW:BW,0)</f>
        <v>0</v>
      </c>
      <c r="BT116" s="381">
        <f t="shared" si="18"/>
        <v>0</v>
      </c>
      <c r="BU116" s="381">
        <f t="shared" si="19"/>
        <v>0</v>
      </c>
    </row>
    <row r="117" spans="1:73" ht="13" hidden="1" x14ac:dyDescent="0.3">
      <c r="A117" s="364">
        <v>3302238</v>
      </c>
      <c r="B117" s="364" t="s">
        <v>48</v>
      </c>
      <c r="C117" s="365">
        <v>0</v>
      </c>
      <c r="D117" s="365">
        <v>0</v>
      </c>
      <c r="E117" s="365">
        <v>0</v>
      </c>
      <c r="F117" s="365">
        <v>9</v>
      </c>
      <c r="G117" s="365">
        <v>15</v>
      </c>
      <c r="H117" s="377">
        <v>0</v>
      </c>
      <c r="I117" s="377">
        <v>24</v>
      </c>
      <c r="J117" s="365">
        <v>4</v>
      </c>
      <c r="K117" s="365">
        <v>5</v>
      </c>
      <c r="L117" s="377">
        <v>9</v>
      </c>
      <c r="M117" s="365">
        <v>0</v>
      </c>
      <c r="N117" s="365">
        <v>0</v>
      </c>
      <c r="O117" s="365">
        <v>135</v>
      </c>
      <c r="P117" s="365">
        <v>225</v>
      </c>
      <c r="Q117" s="377">
        <v>360</v>
      </c>
      <c r="R117" s="365">
        <v>0</v>
      </c>
      <c r="S117" s="365">
        <v>0</v>
      </c>
      <c r="T117" s="365">
        <v>60</v>
      </c>
      <c r="U117" s="365">
        <v>75</v>
      </c>
      <c r="V117" s="377">
        <v>135</v>
      </c>
      <c r="W117" s="365">
        <v>5</v>
      </c>
      <c r="X117" s="365">
        <v>75</v>
      </c>
      <c r="Y117" s="378">
        <v>30</v>
      </c>
      <c r="Z117" s="365">
        <v>3</v>
      </c>
      <c r="AA117" s="365">
        <v>45</v>
      </c>
      <c r="AB117" s="378">
        <v>30</v>
      </c>
      <c r="AC117" s="365">
        <v>1</v>
      </c>
      <c r="AD117" s="365">
        <v>15</v>
      </c>
      <c r="AE117" s="378">
        <v>15</v>
      </c>
      <c r="AF117" s="379">
        <v>0</v>
      </c>
      <c r="AG117" s="379">
        <v>0</v>
      </c>
      <c r="AH117" s="378">
        <v>0</v>
      </c>
      <c r="AI117" s="379">
        <v>10</v>
      </c>
      <c r="AJ117" s="379">
        <v>150</v>
      </c>
      <c r="AK117" s="378">
        <v>30</v>
      </c>
      <c r="AL117" s="365">
        <v>10</v>
      </c>
      <c r="AM117" s="365">
        <v>150</v>
      </c>
      <c r="AN117" s="378">
        <v>30</v>
      </c>
      <c r="AO117" s="378"/>
      <c r="AP117" s="378">
        <f t="shared" si="14"/>
        <v>10</v>
      </c>
      <c r="AQ117" s="465">
        <v>0</v>
      </c>
      <c r="AR117" s="379">
        <v>0</v>
      </c>
      <c r="AS117" s="378">
        <v>0</v>
      </c>
      <c r="AT117" s="466">
        <v>0</v>
      </c>
      <c r="AU117" s="466">
        <v>0</v>
      </c>
      <c r="AV117" s="379">
        <v>0</v>
      </c>
      <c r="AW117" s="379">
        <v>0</v>
      </c>
      <c r="AX117" s="378">
        <v>0</v>
      </c>
      <c r="AY117" s="365">
        <v>0</v>
      </c>
      <c r="AZ117" s="365">
        <v>0</v>
      </c>
      <c r="BA117" s="378">
        <v>0</v>
      </c>
      <c r="BB117" s="378"/>
      <c r="BC117" s="378">
        <f t="shared" si="15"/>
        <v>0</v>
      </c>
      <c r="BD117" s="379">
        <v>0</v>
      </c>
      <c r="BE117" s="379">
        <v>0</v>
      </c>
      <c r="BF117" s="365">
        <v>0</v>
      </c>
      <c r="BO117" s="381">
        <f t="shared" si="16"/>
        <v>0</v>
      </c>
      <c r="BP117" s="381">
        <f t="shared" si="17"/>
        <v>0</v>
      </c>
      <c r="BQ117" s="381"/>
      <c r="BR117" s="381">
        <f>_xlfn.XLOOKUP(A117,'Summer data team '!B:B,'Summer data team '!BV:BV,0)</f>
        <v>0</v>
      </c>
      <c r="BS117" s="381">
        <f>_xlfn.XLOOKUP(A117,'Summer data team '!B:B,'Summer data team '!BW:BW,0)</f>
        <v>0</v>
      </c>
      <c r="BT117" s="381">
        <f t="shared" si="18"/>
        <v>0</v>
      </c>
      <c r="BU117" s="381">
        <f t="shared" si="19"/>
        <v>0</v>
      </c>
    </row>
    <row r="118" spans="1:73" ht="13" hidden="1" x14ac:dyDescent="0.3">
      <c r="A118" s="364">
        <v>3302239</v>
      </c>
      <c r="B118" s="364" t="s">
        <v>322</v>
      </c>
      <c r="C118" s="365">
        <v>0</v>
      </c>
      <c r="D118" s="365">
        <v>0</v>
      </c>
      <c r="E118" s="365">
        <v>0</v>
      </c>
      <c r="F118" s="365">
        <v>16</v>
      </c>
      <c r="G118" s="365">
        <v>25</v>
      </c>
      <c r="H118" s="377">
        <v>0</v>
      </c>
      <c r="I118" s="377">
        <v>41</v>
      </c>
      <c r="J118" s="365">
        <v>7</v>
      </c>
      <c r="K118" s="365">
        <v>8</v>
      </c>
      <c r="L118" s="377">
        <v>15</v>
      </c>
      <c r="M118" s="365">
        <v>0</v>
      </c>
      <c r="N118" s="365">
        <v>0</v>
      </c>
      <c r="O118" s="365">
        <v>240</v>
      </c>
      <c r="P118" s="365">
        <v>375</v>
      </c>
      <c r="Q118" s="377">
        <v>615</v>
      </c>
      <c r="R118" s="365">
        <v>0</v>
      </c>
      <c r="S118" s="365">
        <v>0</v>
      </c>
      <c r="T118" s="365">
        <v>105</v>
      </c>
      <c r="U118" s="365">
        <v>120</v>
      </c>
      <c r="V118" s="377">
        <v>225</v>
      </c>
      <c r="W118" s="365">
        <v>18</v>
      </c>
      <c r="X118" s="365">
        <v>270</v>
      </c>
      <c r="Y118" s="378">
        <v>75</v>
      </c>
      <c r="Z118" s="365">
        <v>6</v>
      </c>
      <c r="AA118" s="365">
        <v>90</v>
      </c>
      <c r="AB118" s="378">
        <v>60</v>
      </c>
      <c r="AC118" s="365">
        <v>6</v>
      </c>
      <c r="AD118" s="365">
        <v>90</v>
      </c>
      <c r="AE118" s="378">
        <v>30</v>
      </c>
      <c r="AF118" s="379">
        <v>0</v>
      </c>
      <c r="AG118" s="379">
        <v>0</v>
      </c>
      <c r="AH118" s="378">
        <v>0</v>
      </c>
      <c r="AI118" s="379">
        <v>16</v>
      </c>
      <c r="AJ118" s="379">
        <v>240</v>
      </c>
      <c r="AK118" s="378">
        <v>30</v>
      </c>
      <c r="AL118" s="365">
        <v>16</v>
      </c>
      <c r="AM118" s="365">
        <v>240</v>
      </c>
      <c r="AN118" s="378">
        <v>30</v>
      </c>
      <c r="AO118" s="378"/>
      <c r="AP118" s="378">
        <f t="shared" si="14"/>
        <v>16</v>
      </c>
      <c r="AQ118" s="465">
        <v>0</v>
      </c>
      <c r="AR118" s="379">
        <v>0</v>
      </c>
      <c r="AS118" s="378">
        <v>0</v>
      </c>
      <c r="AT118" s="466">
        <v>14</v>
      </c>
      <c r="AU118" s="466">
        <v>2</v>
      </c>
      <c r="AV118" s="379">
        <v>16</v>
      </c>
      <c r="AW118" s="379">
        <v>240</v>
      </c>
      <c r="AX118" s="378">
        <v>30</v>
      </c>
      <c r="AY118" s="365">
        <v>16</v>
      </c>
      <c r="AZ118" s="365">
        <v>240</v>
      </c>
      <c r="BA118" s="378">
        <v>30</v>
      </c>
      <c r="BB118" s="378"/>
      <c r="BC118" s="378">
        <f t="shared" si="15"/>
        <v>16</v>
      </c>
      <c r="BD118" s="379">
        <v>0</v>
      </c>
      <c r="BE118" s="379">
        <v>3</v>
      </c>
      <c r="BF118" s="365">
        <v>3</v>
      </c>
      <c r="BO118" s="381">
        <f t="shared" si="16"/>
        <v>14</v>
      </c>
      <c r="BP118" s="381">
        <f t="shared" si="17"/>
        <v>2</v>
      </c>
      <c r="BQ118" s="381"/>
      <c r="BR118" s="381">
        <f>_xlfn.XLOOKUP(A118,'Summer data team '!B:B,'Summer data team '!BV:BV,0)</f>
        <v>14</v>
      </c>
      <c r="BS118" s="381">
        <f>_xlfn.XLOOKUP(A118,'Summer data team '!B:B,'Summer data team '!BW:BW,0)</f>
        <v>2</v>
      </c>
      <c r="BT118" s="381">
        <f t="shared" si="18"/>
        <v>0</v>
      </c>
      <c r="BU118" s="381">
        <f t="shared" si="19"/>
        <v>0</v>
      </c>
    </row>
    <row r="119" spans="1:73" ht="13" hidden="1" x14ac:dyDescent="0.3">
      <c r="A119" s="364">
        <v>3302245</v>
      </c>
      <c r="B119" s="364" t="s">
        <v>323</v>
      </c>
      <c r="C119" s="365">
        <v>0</v>
      </c>
      <c r="D119" s="365">
        <v>0</v>
      </c>
      <c r="E119" s="365">
        <v>0</v>
      </c>
      <c r="F119" s="365">
        <v>11</v>
      </c>
      <c r="G119" s="365">
        <v>11</v>
      </c>
      <c r="H119" s="377">
        <v>0</v>
      </c>
      <c r="I119" s="377">
        <v>22</v>
      </c>
      <c r="J119" s="365">
        <v>0</v>
      </c>
      <c r="K119" s="365">
        <v>0</v>
      </c>
      <c r="L119" s="377">
        <v>0</v>
      </c>
      <c r="M119" s="365">
        <v>0</v>
      </c>
      <c r="N119" s="365">
        <v>0</v>
      </c>
      <c r="O119" s="365">
        <v>165</v>
      </c>
      <c r="P119" s="365">
        <v>165</v>
      </c>
      <c r="Q119" s="377">
        <v>330</v>
      </c>
      <c r="R119" s="365">
        <v>0</v>
      </c>
      <c r="S119" s="365">
        <v>0</v>
      </c>
      <c r="T119" s="365">
        <v>0</v>
      </c>
      <c r="U119" s="365">
        <v>0</v>
      </c>
      <c r="V119" s="377">
        <v>0</v>
      </c>
      <c r="W119" s="365">
        <v>19</v>
      </c>
      <c r="X119" s="365">
        <v>285</v>
      </c>
      <c r="Y119" s="378">
        <v>0</v>
      </c>
      <c r="Z119" s="365">
        <v>1</v>
      </c>
      <c r="AA119" s="365">
        <v>15</v>
      </c>
      <c r="AB119" s="378">
        <v>0</v>
      </c>
      <c r="AC119" s="365">
        <v>0</v>
      </c>
      <c r="AD119" s="365">
        <v>0</v>
      </c>
      <c r="AE119" s="378">
        <v>0</v>
      </c>
      <c r="AF119" s="379">
        <v>0</v>
      </c>
      <c r="AG119" s="379">
        <v>0</v>
      </c>
      <c r="AH119" s="378">
        <v>0</v>
      </c>
      <c r="AI119" s="379">
        <v>19</v>
      </c>
      <c r="AJ119" s="379">
        <v>285</v>
      </c>
      <c r="AK119" s="378">
        <v>0</v>
      </c>
      <c r="AL119" s="365">
        <v>19</v>
      </c>
      <c r="AM119" s="365">
        <v>285</v>
      </c>
      <c r="AN119" s="378">
        <v>0</v>
      </c>
      <c r="AO119" s="378"/>
      <c r="AP119" s="378">
        <f t="shared" si="14"/>
        <v>19</v>
      </c>
      <c r="AQ119" s="465">
        <v>0</v>
      </c>
      <c r="AR119" s="379">
        <v>0</v>
      </c>
      <c r="AS119" s="378">
        <v>0</v>
      </c>
      <c r="AT119" s="466">
        <v>19</v>
      </c>
      <c r="AU119" s="466">
        <v>0</v>
      </c>
      <c r="AV119" s="379">
        <v>19</v>
      </c>
      <c r="AW119" s="379">
        <v>285</v>
      </c>
      <c r="AX119" s="378">
        <v>0</v>
      </c>
      <c r="AY119" s="365">
        <v>19</v>
      </c>
      <c r="AZ119" s="365">
        <v>285</v>
      </c>
      <c r="BA119" s="378">
        <v>0</v>
      </c>
      <c r="BB119" s="378"/>
      <c r="BC119" s="378">
        <f t="shared" si="15"/>
        <v>19</v>
      </c>
      <c r="BD119" s="379">
        <v>0</v>
      </c>
      <c r="BE119" s="379">
        <v>0</v>
      </c>
      <c r="BF119" s="365">
        <v>0</v>
      </c>
      <c r="BO119" s="381">
        <f t="shared" si="16"/>
        <v>19</v>
      </c>
      <c r="BP119" s="381">
        <f t="shared" si="17"/>
        <v>0</v>
      </c>
      <c r="BQ119" s="381"/>
      <c r="BR119" s="381">
        <f>_xlfn.XLOOKUP(A119,'Summer data team '!B:B,'Summer data team '!BV:BV,0)</f>
        <v>19</v>
      </c>
      <c r="BS119" s="381">
        <f>_xlfn.XLOOKUP(A119,'Summer data team '!B:B,'Summer data team '!BW:BW,0)</f>
        <v>0</v>
      </c>
      <c r="BT119" s="381">
        <f t="shared" si="18"/>
        <v>0</v>
      </c>
      <c r="BU119" s="381">
        <f t="shared" si="19"/>
        <v>0</v>
      </c>
    </row>
    <row r="120" spans="1:73" ht="13" hidden="1" x14ac:dyDescent="0.3">
      <c r="A120" s="364">
        <v>3302251</v>
      </c>
      <c r="B120" s="364" t="s">
        <v>324</v>
      </c>
      <c r="C120" s="365">
        <v>0</v>
      </c>
      <c r="D120" s="365">
        <v>0</v>
      </c>
      <c r="E120" s="365">
        <v>0</v>
      </c>
      <c r="F120" s="365">
        <v>9</v>
      </c>
      <c r="G120" s="365">
        <v>15</v>
      </c>
      <c r="H120" s="377">
        <v>0</v>
      </c>
      <c r="I120" s="377">
        <v>24</v>
      </c>
      <c r="J120" s="365">
        <v>8</v>
      </c>
      <c r="K120" s="365">
        <v>13</v>
      </c>
      <c r="L120" s="377">
        <v>21</v>
      </c>
      <c r="M120" s="365">
        <v>0</v>
      </c>
      <c r="N120" s="365">
        <v>0</v>
      </c>
      <c r="O120" s="365">
        <v>135</v>
      </c>
      <c r="P120" s="365">
        <v>225</v>
      </c>
      <c r="Q120" s="377">
        <v>360</v>
      </c>
      <c r="R120" s="365">
        <v>0</v>
      </c>
      <c r="S120" s="365">
        <v>0</v>
      </c>
      <c r="T120" s="365">
        <v>120</v>
      </c>
      <c r="U120" s="365">
        <v>195</v>
      </c>
      <c r="V120" s="377">
        <v>315</v>
      </c>
      <c r="W120" s="365">
        <v>0</v>
      </c>
      <c r="X120" s="365">
        <v>0</v>
      </c>
      <c r="Y120" s="378">
        <v>0</v>
      </c>
      <c r="Z120" s="365">
        <v>0</v>
      </c>
      <c r="AA120" s="365">
        <v>0</v>
      </c>
      <c r="AB120" s="378">
        <v>0</v>
      </c>
      <c r="AC120" s="365">
        <v>1</v>
      </c>
      <c r="AD120" s="365">
        <v>15</v>
      </c>
      <c r="AE120" s="378">
        <v>0</v>
      </c>
      <c r="AF120" s="379">
        <v>0</v>
      </c>
      <c r="AG120" s="379">
        <v>0</v>
      </c>
      <c r="AH120" s="378">
        <v>0</v>
      </c>
      <c r="AI120" s="379">
        <v>2</v>
      </c>
      <c r="AJ120" s="379">
        <v>30</v>
      </c>
      <c r="AK120" s="378">
        <v>30</v>
      </c>
      <c r="AL120" s="365">
        <v>2</v>
      </c>
      <c r="AM120" s="365">
        <v>30</v>
      </c>
      <c r="AN120" s="378">
        <v>30</v>
      </c>
      <c r="AO120" s="378"/>
      <c r="AP120" s="378">
        <f t="shared" si="14"/>
        <v>2</v>
      </c>
      <c r="AQ120" s="465">
        <v>0</v>
      </c>
      <c r="AR120" s="379">
        <v>0</v>
      </c>
      <c r="AS120" s="378">
        <v>0</v>
      </c>
      <c r="AT120" s="466">
        <v>0</v>
      </c>
      <c r="AU120" s="466">
        <v>2</v>
      </c>
      <c r="AV120" s="379">
        <v>2</v>
      </c>
      <c r="AW120" s="379">
        <v>30</v>
      </c>
      <c r="AX120" s="378">
        <v>30</v>
      </c>
      <c r="AY120" s="365">
        <v>2</v>
      </c>
      <c r="AZ120" s="365">
        <v>30</v>
      </c>
      <c r="BA120" s="378">
        <v>30</v>
      </c>
      <c r="BB120" s="378"/>
      <c r="BC120" s="378">
        <f t="shared" si="15"/>
        <v>2</v>
      </c>
      <c r="BD120" s="379">
        <v>0</v>
      </c>
      <c r="BE120" s="379">
        <v>0</v>
      </c>
      <c r="BF120" s="365">
        <v>0</v>
      </c>
      <c r="BO120" s="381">
        <f t="shared" si="16"/>
        <v>0</v>
      </c>
      <c r="BP120" s="381">
        <f t="shared" si="17"/>
        <v>2</v>
      </c>
      <c r="BQ120" s="381"/>
      <c r="BR120" s="381">
        <f>_xlfn.XLOOKUP(A120,'Summer data team '!B:B,'Summer data team '!BV:BV,0)</f>
        <v>0</v>
      </c>
      <c r="BS120" s="381">
        <f>_xlfn.XLOOKUP(A120,'Summer data team '!B:B,'Summer data team '!BW:BW,0)</f>
        <v>2</v>
      </c>
      <c r="BT120" s="381">
        <f t="shared" si="18"/>
        <v>0</v>
      </c>
      <c r="BU120" s="381">
        <f t="shared" si="19"/>
        <v>0</v>
      </c>
    </row>
    <row r="121" spans="1:73" ht="13" hidden="1" x14ac:dyDescent="0.3">
      <c r="A121" s="364">
        <v>3302293</v>
      </c>
      <c r="B121" s="364" t="s">
        <v>173</v>
      </c>
      <c r="C121" s="365">
        <v>0</v>
      </c>
      <c r="D121" s="365">
        <v>0</v>
      </c>
      <c r="E121" s="365">
        <v>0</v>
      </c>
      <c r="F121" s="365">
        <v>23</v>
      </c>
      <c r="G121" s="365">
        <v>43</v>
      </c>
      <c r="H121" s="377">
        <v>0</v>
      </c>
      <c r="I121" s="377">
        <v>66</v>
      </c>
      <c r="J121" s="365">
        <v>0</v>
      </c>
      <c r="K121" s="365">
        <v>0</v>
      </c>
      <c r="L121" s="377">
        <v>0</v>
      </c>
      <c r="M121" s="365">
        <v>0</v>
      </c>
      <c r="N121" s="365">
        <v>0</v>
      </c>
      <c r="O121" s="365">
        <v>345</v>
      </c>
      <c r="P121" s="365">
        <v>645</v>
      </c>
      <c r="Q121" s="377">
        <v>990</v>
      </c>
      <c r="R121" s="365">
        <v>0</v>
      </c>
      <c r="S121" s="365">
        <v>0</v>
      </c>
      <c r="T121" s="365">
        <v>0</v>
      </c>
      <c r="U121" s="365">
        <v>0</v>
      </c>
      <c r="V121" s="377">
        <v>0</v>
      </c>
      <c r="W121" s="365">
        <v>0</v>
      </c>
      <c r="X121" s="365">
        <v>0</v>
      </c>
      <c r="Y121" s="378">
        <v>0</v>
      </c>
      <c r="Z121" s="365">
        <v>11</v>
      </c>
      <c r="AA121" s="365">
        <v>165</v>
      </c>
      <c r="AB121" s="378">
        <v>0</v>
      </c>
      <c r="AC121" s="365">
        <v>50</v>
      </c>
      <c r="AD121" s="365">
        <v>750</v>
      </c>
      <c r="AE121" s="378">
        <v>0</v>
      </c>
      <c r="AF121" s="379">
        <v>0</v>
      </c>
      <c r="AG121" s="379">
        <v>0</v>
      </c>
      <c r="AH121" s="378">
        <v>0</v>
      </c>
      <c r="AI121" s="379">
        <v>24</v>
      </c>
      <c r="AJ121" s="379">
        <v>360</v>
      </c>
      <c r="AK121" s="378">
        <v>0</v>
      </c>
      <c r="AL121" s="365">
        <v>24</v>
      </c>
      <c r="AM121" s="365">
        <v>360</v>
      </c>
      <c r="AN121" s="378">
        <v>0</v>
      </c>
      <c r="AO121" s="378"/>
      <c r="AP121" s="378">
        <f t="shared" si="14"/>
        <v>24</v>
      </c>
      <c r="AQ121" s="465">
        <v>0</v>
      </c>
      <c r="AR121" s="379">
        <v>0</v>
      </c>
      <c r="AS121" s="378">
        <v>0</v>
      </c>
      <c r="AT121" s="466">
        <v>0</v>
      </c>
      <c r="AU121" s="466">
        <v>0</v>
      </c>
      <c r="AV121" s="379">
        <v>0</v>
      </c>
      <c r="AW121" s="379">
        <v>0</v>
      </c>
      <c r="AX121" s="378">
        <v>0</v>
      </c>
      <c r="AY121" s="365">
        <v>0</v>
      </c>
      <c r="AZ121" s="365">
        <v>0</v>
      </c>
      <c r="BA121" s="378">
        <v>0</v>
      </c>
      <c r="BB121" s="378"/>
      <c r="BC121" s="378">
        <f t="shared" si="15"/>
        <v>0</v>
      </c>
      <c r="BD121" s="379">
        <v>0</v>
      </c>
      <c r="BE121" s="379">
        <v>0</v>
      </c>
      <c r="BF121" s="365">
        <v>0</v>
      </c>
      <c r="BO121" s="381">
        <f t="shared" si="16"/>
        <v>0</v>
      </c>
      <c r="BP121" s="381">
        <f t="shared" si="17"/>
        <v>0</v>
      </c>
      <c r="BQ121" s="381"/>
      <c r="BR121" s="381">
        <f>_xlfn.XLOOKUP(A121,'Summer data team '!B:B,'Summer data team '!BV:BV,0)</f>
        <v>0</v>
      </c>
      <c r="BS121" s="381">
        <f>_xlfn.XLOOKUP(A121,'Summer data team '!B:B,'Summer data team '!BW:BW,0)</f>
        <v>0</v>
      </c>
      <c r="BT121" s="381">
        <f t="shared" si="18"/>
        <v>0</v>
      </c>
      <c r="BU121" s="381">
        <f t="shared" si="19"/>
        <v>0</v>
      </c>
    </row>
    <row r="122" spans="1:73" ht="13" hidden="1" x14ac:dyDescent="0.3">
      <c r="A122" s="364">
        <v>3302299</v>
      </c>
      <c r="B122" s="364" t="s">
        <v>853</v>
      </c>
      <c r="C122" s="365">
        <v>0</v>
      </c>
      <c r="D122" s="365">
        <v>0</v>
      </c>
      <c r="E122" s="365">
        <v>0</v>
      </c>
      <c r="F122" s="365">
        <v>41</v>
      </c>
      <c r="G122" s="365">
        <v>27</v>
      </c>
      <c r="H122" s="377">
        <v>0</v>
      </c>
      <c r="I122" s="377">
        <v>68</v>
      </c>
      <c r="J122" s="365">
        <v>7</v>
      </c>
      <c r="K122" s="365">
        <v>1</v>
      </c>
      <c r="L122" s="377">
        <v>8</v>
      </c>
      <c r="M122" s="365">
        <v>0</v>
      </c>
      <c r="N122" s="365">
        <v>0</v>
      </c>
      <c r="O122" s="365">
        <v>615</v>
      </c>
      <c r="P122" s="365">
        <v>405</v>
      </c>
      <c r="Q122" s="377">
        <v>1020</v>
      </c>
      <c r="R122" s="365">
        <v>0</v>
      </c>
      <c r="S122" s="365">
        <v>0</v>
      </c>
      <c r="T122" s="365">
        <v>105</v>
      </c>
      <c r="U122" s="365">
        <v>15</v>
      </c>
      <c r="V122" s="377">
        <v>120</v>
      </c>
      <c r="W122" s="365">
        <v>0</v>
      </c>
      <c r="X122" s="365">
        <v>0</v>
      </c>
      <c r="Y122" s="378">
        <v>0</v>
      </c>
      <c r="Z122" s="365">
        <v>14</v>
      </c>
      <c r="AA122" s="365">
        <v>210</v>
      </c>
      <c r="AB122" s="378">
        <v>45</v>
      </c>
      <c r="AC122" s="365">
        <v>6</v>
      </c>
      <c r="AD122" s="365">
        <v>90</v>
      </c>
      <c r="AE122" s="378">
        <v>15</v>
      </c>
      <c r="AF122" s="379">
        <v>0</v>
      </c>
      <c r="AG122" s="379">
        <v>0</v>
      </c>
      <c r="AH122" s="378">
        <v>0</v>
      </c>
      <c r="AI122" s="379">
        <v>19</v>
      </c>
      <c r="AJ122" s="379">
        <v>285</v>
      </c>
      <c r="AK122" s="378">
        <v>15</v>
      </c>
      <c r="AL122" s="365">
        <v>19</v>
      </c>
      <c r="AM122" s="365">
        <v>285</v>
      </c>
      <c r="AN122" s="378">
        <v>15</v>
      </c>
      <c r="AO122" s="378"/>
      <c r="AP122" s="378">
        <f t="shared" si="14"/>
        <v>19</v>
      </c>
      <c r="AQ122" s="465">
        <v>0</v>
      </c>
      <c r="AR122" s="379">
        <v>0</v>
      </c>
      <c r="AS122" s="378">
        <v>0</v>
      </c>
      <c r="AT122" s="466">
        <v>0</v>
      </c>
      <c r="AU122" s="466">
        <v>0</v>
      </c>
      <c r="AV122" s="379">
        <v>0</v>
      </c>
      <c r="AW122" s="379">
        <v>0</v>
      </c>
      <c r="AX122" s="378">
        <v>0</v>
      </c>
      <c r="AY122" s="365">
        <v>0</v>
      </c>
      <c r="AZ122" s="365">
        <v>0</v>
      </c>
      <c r="BA122" s="378">
        <v>0</v>
      </c>
      <c r="BB122" s="378"/>
      <c r="BC122" s="378">
        <f t="shared" si="15"/>
        <v>0</v>
      </c>
      <c r="BD122" s="379">
        <v>0</v>
      </c>
      <c r="BE122" s="379">
        <v>0</v>
      </c>
      <c r="BF122" s="365">
        <v>0</v>
      </c>
      <c r="BO122" s="381">
        <f t="shared" si="16"/>
        <v>0</v>
      </c>
      <c r="BP122" s="381">
        <f t="shared" si="17"/>
        <v>0</v>
      </c>
      <c r="BQ122" s="381"/>
      <c r="BR122" s="381">
        <f>_xlfn.XLOOKUP(A122,'Summer data team '!B:B,'Summer data team '!BV:BV,0)</f>
        <v>0</v>
      </c>
      <c r="BS122" s="381">
        <f>_xlfn.XLOOKUP(A122,'Summer data team '!B:B,'Summer data team '!BW:BW,0)</f>
        <v>0</v>
      </c>
      <c r="BT122" s="381">
        <f t="shared" si="18"/>
        <v>0</v>
      </c>
      <c r="BU122" s="381">
        <f t="shared" si="19"/>
        <v>0</v>
      </c>
    </row>
    <row r="123" spans="1:73" ht="13" hidden="1" x14ac:dyDescent="0.3">
      <c r="A123" s="364">
        <v>3302300</v>
      </c>
      <c r="B123" s="364" t="s">
        <v>36</v>
      </c>
      <c r="C123" s="365">
        <v>0</v>
      </c>
      <c r="D123" s="365">
        <v>0</v>
      </c>
      <c r="E123" s="365">
        <v>0</v>
      </c>
      <c r="F123" s="365">
        <v>30</v>
      </c>
      <c r="G123" s="365">
        <v>40</v>
      </c>
      <c r="H123" s="377">
        <v>0</v>
      </c>
      <c r="I123" s="377">
        <v>70</v>
      </c>
      <c r="J123" s="365">
        <v>2</v>
      </c>
      <c r="K123" s="365">
        <v>4</v>
      </c>
      <c r="L123" s="377">
        <v>6</v>
      </c>
      <c r="M123" s="365">
        <v>0</v>
      </c>
      <c r="N123" s="365">
        <v>0</v>
      </c>
      <c r="O123" s="365">
        <v>450</v>
      </c>
      <c r="P123" s="365">
        <v>600</v>
      </c>
      <c r="Q123" s="377">
        <v>1050</v>
      </c>
      <c r="R123" s="365">
        <v>0</v>
      </c>
      <c r="S123" s="365">
        <v>0</v>
      </c>
      <c r="T123" s="365">
        <v>30</v>
      </c>
      <c r="U123" s="365">
        <v>60</v>
      </c>
      <c r="V123" s="377">
        <v>90</v>
      </c>
      <c r="W123" s="365">
        <v>6</v>
      </c>
      <c r="X123" s="365">
        <v>90</v>
      </c>
      <c r="Y123" s="378">
        <v>0</v>
      </c>
      <c r="Z123" s="365">
        <v>25</v>
      </c>
      <c r="AA123" s="365">
        <v>375</v>
      </c>
      <c r="AB123" s="378">
        <v>45</v>
      </c>
      <c r="AC123" s="365">
        <v>36</v>
      </c>
      <c r="AD123" s="365">
        <v>540</v>
      </c>
      <c r="AE123" s="378">
        <v>30</v>
      </c>
      <c r="AF123" s="379">
        <v>0</v>
      </c>
      <c r="AG123" s="379">
        <v>0</v>
      </c>
      <c r="AH123" s="378">
        <v>0</v>
      </c>
      <c r="AI123" s="379">
        <v>26</v>
      </c>
      <c r="AJ123" s="379">
        <v>390</v>
      </c>
      <c r="AK123" s="378">
        <v>0</v>
      </c>
      <c r="AL123" s="365">
        <v>26</v>
      </c>
      <c r="AM123" s="365">
        <v>390</v>
      </c>
      <c r="AN123" s="378">
        <v>0</v>
      </c>
      <c r="AO123" s="378"/>
      <c r="AP123" s="378">
        <f t="shared" si="14"/>
        <v>26</v>
      </c>
      <c r="AQ123" s="465">
        <v>0</v>
      </c>
      <c r="AR123" s="379">
        <v>0</v>
      </c>
      <c r="AS123" s="378">
        <v>0</v>
      </c>
      <c r="AT123" s="466">
        <v>26</v>
      </c>
      <c r="AU123" s="466">
        <v>0</v>
      </c>
      <c r="AV123" s="379">
        <v>26</v>
      </c>
      <c r="AW123" s="379">
        <v>390</v>
      </c>
      <c r="AX123" s="378">
        <v>0</v>
      </c>
      <c r="AY123" s="365">
        <v>26</v>
      </c>
      <c r="AZ123" s="365">
        <v>390</v>
      </c>
      <c r="BA123" s="378">
        <v>0</v>
      </c>
      <c r="BB123" s="378"/>
      <c r="BC123" s="378">
        <f t="shared" si="15"/>
        <v>26</v>
      </c>
      <c r="BD123" s="379">
        <v>0</v>
      </c>
      <c r="BE123" s="379">
        <v>0</v>
      </c>
      <c r="BF123" s="365">
        <v>0</v>
      </c>
      <c r="BO123" s="381">
        <f t="shared" si="16"/>
        <v>26</v>
      </c>
      <c r="BP123" s="381">
        <f t="shared" si="17"/>
        <v>0</v>
      </c>
      <c r="BQ123" s="381"/>
      <c r="BR123" s="381">
        <f>_xlfn.XLOOKUP(A123,'Summer data team '!B:B,'Summer data team '!BV:BV,0)</f>
        <v>26</v>
      </c>
      <c r="BS123" s="381">
        <f>_xlfn.XLOOKUP(A123,'Summer data team '!B:B,'Summer data team '!BW:BW,0)</f>
        <v>0</v>
      </c>
      <c r="BT123" s="381">
        <f t="shared" si="18"/>
        <v>0</v>
      </c>
      <c r="BU123" s="381">
        <f t="shared" si="19"/>
        <v>0</v>
      </c>
    </row>
    <row r="124" spans="1:73" ht="13" hidden="1" x14ac:dyDescent="0.3">
      <c r="A124" s="364">
        <v>3302308</v>
      </c>
      <c r="B124" s="364" t="s">
        <v>163</v>
      </c>
      <c r="C124" s="365">
        <v>0</v>
      </c>
      <c r="D124" s="365">
        <v>0</v>
      </c>
      <c r="E124" s="365">
        <v>0</v>
      </c>
      <c r="F124" s="365">
        <v>26</v>
      </c>
      <c r="G124" s="365">
        <v>12</v>
      </c>
      <c r="H124" s="377">
        <v>0</v>
      </c>
      <c r="I124" s="377">
        <v>38</v>
      </c>
      <c r="J124" s="365">
        <v>2</v>
      </c>
      <c r="K124" s="365">
        <v>4</v>
      </c>
      <c r="L124" s="377">
        <v>6</v>
      </c>
      <c r="M124" s="365">
        <v>0</v>
      </c>
      <c r="N124" s="365">
        <v>0</v>
      </c>
      <c r="O124" s="365">
        <v>390</v>
      </c>
      <c r="P124" s="365">
        <v>180</v>
      </c>
      <c r="Q124" s="377">
        <v>570</v>
      </c>
      <c r="R124" s="365">
        <v>0</v>
      </c>
      <c r="S124" s="365">
        <v>0</v>
      </c>
      <c r="T124" s="365">
        <v>30</v>
      </c>
      <c r="U124" s="365">
        <v>60</v>
      </c>
      <c r="V124" s="377">
        <v>90</v>
      </c>
      <c r="W124" s="365">
        <v>0</v>
      </c>
      <c r="X124" s="365">
        <v>0</v>
      </c>
      <c r="Y124" s="378">
        <v>0</v>
      </c>
      <c r="Z124" s="365">
        <v>31</v>
      </c>
      <c r="AA124" s="365">
        <v>465</v>
      </c>
      <c r="AB124" s="378">
        <v>75</v>
      </c>
      <c r="AC124" s="365">
        <v>5</v>
      </c>
      <c r="AD124" s="365">
        <v>75</v>
      </c>
      <c r="AE124" s="378">
        <v>0</v>
      </c>
      <c r="AF124" s="379">
        <v>0</v>
      </c>
      <c r="AG124" s="379">
        <v>0</v>
      </c>
      <c r="AH124" s="378">
        <v>0</v>
      </c>
      <c r="AI124" s="379">
        <v>11</v>
      </c>
      <c r="AJ124" s="379">
        <v>165</v>
      </c>
      <c r="AK124" s="378">
        <v>0</v>
      </c>
      <c r="AL124" s="365">
        <v>11</v>
      </c>
      <c r="AM124" s="365">
        <v>165</v>
      </c>
      <c r="AN124" s="378">
        <v>0</v>
      </c>
      <c r="AO124" s="378"/>
      <c r="AP124" s="378">
        <f t="shared" si="14"/>
        <v>11</v>
      </c>
      <c r="AQ124" s="465">
        <v>0</v>
      </c>
      <c r="AR124" s="379">
        <v>0</v>
      </c>
      <c r="AS124" s="378">
        <v>0</v>
      </c>
      <c r="AT124" s="466">
        <v>0</v>
      </c>
      <c r="AU124" s="466">
        <v>0</v>
      </c>
      <c r="AV124" s="379">
        <v>0</v>
      </c>
      <c r="AW124" s="379">
        <v>0</v>
      </c>
      <c r="AX124" s="378">
        <v>0</v>
      </c>
      <c r="AY124" s="365">
        <v>0</v>
      </c>
      <c r="AZ124" s="365">
        <v>0</v>
      </c>
      <c r="BA124" s="378">
        <v>0</v>
      </c>
      <c r="BB124" s="378"/>
      <c r="BC124" s="378">
        <f t="shared" si="15"/>
        <v>0</v>
      </c>
      <c r="BD124" s="379">
        <v>0</v>
      </c>
      <c r="BE124" s="379">
        <v>0</v>
      </c>
      <c r="BF124" s="365">
        <v>0</v>
      </c>
      <c r="BO124" s="381">
        <f t="shared" si="16"/>
        <v>0</v>
      </c>
      <c r="BP124" s="381">
        <f t="shared" si="17"/>
        <v>0</v>
      </c>
      <c r="BQ124" s="381"/>
      <c r="BR124" s="381">
        <f>_xlfn.XLOOKUP(A124,'Summer data team '!B:B,'Summer data team '!BV:BV,0)</f>
        <v>0</v>
      </c>
      <c r="BS124" s="381">
        <f>_xlfn.XLOOKUP(A124,'Summer data team '!B:B,'Summer data team '!BW:BW,0)</f>
        <v>0</v>
      </c>
      <c r="BT124" s="381">
        <f t="shared" si="18"/>
        <v>0</v>
      </c>
      <c r="BU124" s="381">
        <f t="shared" si="19"/>
        <v>0</v>
      </c>
    </row>
    <row r="125" spans="1:73" ht="13" hidden="1" x14ac:dyDescent="0.3">
      <c r="A125" s="364">
        <v>3302309</v>
      </c>
      <c r="B125" s="364" t="s">
        <v>327</v>
      </c>
      <c r="C125" s="365">
        <v>0</v>
      </c>
      <c r="D125" s="365">
        <v>0</v>
      </c>
      <c r="E125" s="365">
        <v>0</v>
      </c>
      <c r="F125" s="365">
        <v>18</v>
      </c>
      <c r="G125" s="365">
        <v>24</v>
      </c>
      <c r="H125" s="377">
        <v>0</v>
      </c>
      <c r="I125" s="377">
        <v>42</v>
      </c>
      <c r="J125" s="365">
        <v>4</v>
      </c>
      <c r="K125" s="365">
        <v>3</v>
      </c>
      <c r="L125" s="377">
        <v>7</v>
      </c>
      <c r="M125" s="365">
        <v>0</v>
      </c>
      <c r="N125" s="365">
        <v>0</v>
      </c>
      <c r="O125" s="365">
        <v>270</v>
      </c>
      <c r="P125" s="365">
        <v>360</v>
      </c>
      <c r="Q125" s="377">
        <v>630</v>
      </c>
      <c r="R125" s="365">
        <v>0</v>
      </c>
      <c r="S125" s="365">
        <v>0</v>
      </c>
      <c r="T125" s="365">
        <v>60</v>
      </c>
      <c r="U125" s="365">
        <v>45</v>
      </c>
      <c r="V125" s="377">
        <v>105</v>
      </c>
      <c r="W125" s="365">
        <v>1</v>
      </c>
      <c r="X125" s="365">
        <v>15</v>
      </c>
      <c r="Y125" s="378">
        <v>15</v>
      </c>
      <c r="Z125" s="365">
        <v>17</v>
      </c>
      <c r="AA125" s="365">
        <v>255</v>
      </c>
      <c r="AB125" s="378">
        <v>30</v>
      </c>
      <c r="AC125" s="365">
        <v>24</v>
      </c>
      <c r="AD125" s="365">
        <v>360</v>
      </c>
      <c r="AE125" s="378">
        <v>60</v>
      </c>
      <c r="AF125" s="379">
        <v>0</v>
      </c>
      <c r="AG125" s="379">
        <v>0</v>
      </c>
      <c r="AH125" s="378">
        <v>0</v>
      </c>
      <c r="AI125" s="379">
        <v>15</v>
      </c>
      <c r="AJ125" s="379">
        <v>225</v>
      </c>
      <c r="AK125" s="378">
        <v>0</v>
      </c>
      <c r="AL125" s="365">
        <v>15</v>
      </c>
      <c r="AM125" s="365">
        <v>225</v>
      </c>
      <c r="AN125" s="378">
        <v>0</v>
      </c>
      <c r="AO125" s="378"/>
      <c r="AP125" s="378">
        <f t="shared" si="14"/>
        <v>15</v>
      </c>
      <c r="AQ125" s="465">
        <v>0</v>
      </c>
      <c r="AR125" s="379">
        <v>0</v>
      </c>
      <c r="AS125" s="378">
        <v>0</v>
      </c>
      <c r="AT125" s="466">
        <v>15</v>
      </c>
      <c r="AU125" s="466">
        <v>0</v>
      </c>
      <c r="AV125" s="379">
        <v>15</v>
      </c>
      <c r="AW125" s="379">
        <v>225</v>
      </c>
      <c r="AX125" s="378">
        <v>0</v>
      </c>
      <c r="AY125" s="365">
        <v>15</v>
      </c>
      <c r="AZ125" s="365">
        <v>225</v>
      </c>
      <c r="BA125" s="378">
        <v>0</v>
      </c>
      <c r="BB125" s="378"/>
      <c r="BC125" s="378">
        <f t="shared" si="15"/>
        <v>15</v>
      </c>
      <c r="BD125" s="379">
        <v>0</v>
      </c>
      <c r="BE125" s="379">
        <v>0</v>
      </c>
      <c r="BF125" s="365">
        <v>0</v>
      </c>
      <c r="BO125" s="381">
        <f t="shared" si="16"/>
        <v>15</v>
      </c>
      <c r="BP125" s="381">
        <f t="shared" si="17"/>
        <v>0</v>
      </c>
      <c r="BQ125" s="381"/>
      <c r="BR125" s="381">
        <f>_xlfn.XLOOKUP(A125,'Summer data team '!B:B,'Summer data team '!BV:BV,0)</f>
        <v>15</v>
      </c>
      <c r="BS125" s="381">
        <f>_xlfn.XLOOKUP(A125,'Summer data team '!B:B,'Summer data team '!BW:BW,0)</f>
        <v>0</v>
      </c>
      <c r="BT125" s="381">
        <f t="shared" si="18"/>
        <v>0</v>
      </c>
      <c r="BU125" s="381">
        <f t="shared" si="19"/>
        <v>0</v>
      </c>
    </row>
    <row r="126" spans="1:73" ht="13" hidden="1" x14ac:dyDescent="0.3">
      <c r="A126" s="364">
        <v>3302317</v>
      </c>
      <c r="B126" s="364" t="s">
        <v>328</v>
      </c>
      <c r="C126" s="365">
        <v>0</v>
      </c>
      <c r="D126" s="365">
        <v>0</v>
      </c>
      <c r="E126" s="365">
        <v>0</v>
      </c>
      <c r="F126" s="365">
        <v>33</v>
      </c>
      <c r="G126" s="365">
        <v>25</v>
      </c>
      <c r="H126" s="377">
        <v>0</v>
      </c>
      <c r="I126" s="377">
        <v>58</v>
      </c>
      <c r="J126" s="365">
        <v>18</v>
      </c>
      <c r="K126" s="365">
        <v>7</v>
      </c>
      <c r="L126" s="377">
        <v>25</v>
      </c>
      <c r="M126" s="365">
        <v>0</v>
      </c>
      <c r="N126" s="365">
        <v>0</v>
      </c>
      <c r="O126" s="365">
        <v>495</v>
      </c>
      <c r="P126" s="365">
        <v>375</v>
      </c>
      <c r="Q126" s="377">
        <v>870</v>
      </c>
      <c r="R126" s="365">
        <v>0</v>
      </c>
      <c r="S126" s="365">
        <v>0</v>
      </c>
      <c r="T126" s="365">
        <v>270</v>
      </c>
      <c r="U126" s="365">
        <v>105</v>
      </c>
      <c r="V126" s="377">
        <v>375</v>
      </c>
      <c r="W126" s="365">
        <v>10</v>
      </c>
      <c r="X126" s="365">
        <v>150</v>
      </c>
      <c r="Y126" s="378">
        <v>45</v>
      </c>
      <c r="Z126" s="365">
        <v>10</v>
      </c>
      <c r="AA126" s="365">
        <v>150</v>
      </c>
      <c r="AB126" s="378">
        <v>45</v>
      </c>
      <c r="AC126" s="365">
        <v>24</v>
      </c>
      <c r="AD126" s="365">
        <v>360</v>
      </c>
      <c r="AE126" s="378">
        <v>120</v>
      </c>
      <c r="AF126" s="379">
        <v>0</v>
      </c>
      <c r="AG126" s="379">
        <v>0</v>
      </c>
      <c r="AH126" s="378">
        <v>0</v>
      </c>
      <c r="AI126" s="379">
        <v>12</v>
      </c>
      <c r="AJ126" s="379">
        <v>180</v>
      </c>
      <c r="AK126" s="378">
        <v>15</v>
      </c>
      <c r="AL126" s="365">
        <v>12</v>
      </c>
      <c r="AM126" s="365">
        <v>180</v>
      </c>
      <c r="AN126" s="378">
        <v>15</v>
      </c>
      <c r="AO126" s="378"/>
      <c r="AP126" s="378">
        <f t="shared" si="14"/>
        <v>12</v>
      </c>
      <c r="AQ126" s="465">
        <v>0</v>
      </c>
      <c r="AR126" s="379">
        <v>0</v>
      </c>
      <c r="AS126" s="378">
        <v>0</v>
      </c>
      <c r="AT126" s="466">
        <v>11</v>
      </c>
      <c r="AU126" s="466">
        <v>1</v>
      </c>
      <c r="AV126" s="379">
        <v>12</v>
      </c>
      <c r="AW126" s="379">
        <v>180</v>
      </c>
      <c r="AX126" s="378">
        <v>15</v>
      </c>
      <c r="AY126" s="365">
        <v>12</v>
      </c>
      <c r="AZ126" s="365">
        <v>180</v>
      </c>
      <c r="BA126" s="378">
        <v>15</v>
      </c>
      <c r="BB126" s="378"/>
      <c r="BC126" s="378">
        <f t="shared" si="15"/>
        <v>12</v>
      </c>
      <c r="BD126" s="379">
        <v>0</v>
      </c>
      <c r="BE126" s="379">
        <v>0</v>
      </c>
      <c r="BF126" s="365">
        <v>0</v>
      </c>
      <c r="BO126" s="381">
        <f t="shared" si="16"/>
        <v>11</v>
      </c>
      <c r="BP126" s="381">
        <f t="shared" si="17"/>
        <v>1</v>
      </c>
      <c r="BQ126" s="381"/>
      <c r="BR126" s="381">
        <f>_xlfn.XLOOKUP(A126,'Summer data team '!B:B,'Summer data team '!BV:BV,0)</f>
        <v>11</v>
      </c>
      <c r="BS126" s="381">
        <f>_xlfn.XLOOKUP(A126,'Summer data team '!B:B,'Summer data team '!BW:BW,0)</f>
        <v>1</v>
      </c>
      <c r="BT126" s="381">
        <f t="shared" si="18"/>
        <v>0</v>
      </c>
      <c r="BU126" s="381">
        <f t="shared" si="19"/>
        <v>0</v>
      </c>
    </row>
    <row r="127" spans="1:73" ht="13" hidden="1" x14ac:dyDescent="0.3">
      <c r="A127" s="364">
        <v>3302402</v>
      </c>
      <c r="B127" s="364" t="s">
        <v>42</v>
      </c>
      <c r="C127" s="365">
        <v>0</v>
      </c>
      <c r="D127" s="365">
        <v>0</v>
      </c>
      <c r="E127" s="365">
        <v>0</v>
      </c>
      <c r="F127" s="365">
        <v>17</v>
      </c>
      <c r="G127" s="365">
        <v>16</v>
      </c>
      <c r="H127" s="377">
        <v>0</v>
      </c>
      <c r="I127" s="377">
        <v>33</v>
      </c>
      <c r="J127" s="365">
        <v>10</v>
      </c>
      <c r="K127" s="365">
        <v>7</v>
      </c>
      <c r="L127" s="377">
        <v>17</v>
      </c>
      <c r="M127" s="365">
        <v>0</v>
      </c>
      <c r="N127" s="365">
        <v>0</v>
      </c>
      <c r="O127" s="365">
        <v>255</v>
      </c>
      <c r="P127" s="365">
        <v>240</v>
      </c>
      <c r="Q127" s="377">
        <v>495</v>
      </c>
      <c r="R127" s="365">
        <v>0</v>
      </c>
      <c r="S127" s="365">
        <v>0</v>
      </c>
      <c r="T127" s="365">
        <v>150</v>
      </c>
      <c r="U127" s="365">
        <v>105</v>
      </c>
      <c r="V127" s="377">
        <v>255</v>
      </c>
      <c r="W127" s="365">
        <v>0</v>
      </c>
      <c r="X127" s="365">
        <v>0</v>
      </c>
      <c r="Y127" s="378">
        <v>0</v>
      </c>
      <c r="Z127" s="365">
        <v>0</v>
      </c>
      <c r="AA127" s="365">
        <v>0</v>
      </c>
      <c r="AB127" s="378">
        <v>0</v>
      </c>
      <c r="AC127" s="365">
        <v>1</v>
      </c>
      <c r="AD127" s="365">
        <v>15</v>
      </c>
      <c r="AE127" s="378">
        <v>0</v>
      </c>
      <c r="AF127" s="379">
        <v>0</v>
      </c>
      <c r="AG127" s="379">
        <v>0</v>
      </c>
      <c r="AH127" s="378">
        <v>0</v>
      </c>
      <c r="AI127" s="379">
        <v>7</v>
      </c>
      <c r="AJ127" s="379">
        <v>105</v>
      </c>
      <c r="AK127" s="378">
        <v>30</v>
      </c>
      <c r="AL127" s="365">
        <v>7</v>
      </c>
      <c r="AM127" s="365">
        <v>105</v>
      </c>
      <c r="AN127" s="378">
        <v>30</v>
      </c>
      <c r="AO127" s="378"/>
      <c r="AP127" s="378">
        <f t="shared" si="14"/>
        <v>7</v>
      </c>
      <c r="AQ127" s="465">
        <v>0</v>
      </c>
      <c r="AR127" s="379">
        <v>0</v>
      </c>
      <c r="AS127" s="378">
        <v>0</v>
      </c>
      <c r="AT127" s="466">
        <v>0</v>
      </c>
      <c r="AU127" s="466">
        <v>0</v>
      </c>
      <c r="AV127" s="379">
        <v>0</v>
      </c>
      <c r="AW127" s="379">
        <v>0</v>
      </c>
      <c r="AX127" s="378">
        <v>0</v>
      </c>
      <c r="AY127" s="365">
        <v>0</v>
      </c>
      <c r="AZ127" s="365">
        <v>0</v>
      </c>
      <c r="BA127" s="378">
        <v>0</v>
      </c>
      <c r="BB127" s="378"/>
      <c r="BC127" s="378">
        <f t="shared" si="15"/>
        <v>0</v>
      </c>
      <c r="BD127" s="379">
        <v>0</v>
      </c>
      <c r="BE127" s="379">
        <v>0</v>
      </c>
      <c r="BF127" s="365">
        <v>0</v>
      </c>
      <c r="BO127" s="381">
        <f t="shared" si="16"/>
        <v>0</v>
      </c>
      <c r="BP127" s="381">
        <f t="shared" si="17"/>
        <v>0</v>
      </c>
      <c r="BQ127" s="381"/>
      <c r="BR127" s="381">
        <f>_xlfn.XLOOKUP(A127,'Summer data team '!B:B,'Summer data team '!BV:BV,0)</f>
        <v>0</v>
      </c>
      <c r="BS127" s="381">
        <f>_xlfn.XLOOKUP(A127,'Summer data team '!B:B,'Summer data team '!BW:BW,0)</f>
        <v>0</v>
      </c>
      <c r="BT127" s="381">
        <f t="shared" si="18"/>
        <v>0</v>
      </c>
      <c r="BU127" s="381">
        <f t="shared" si="19"/>
        <v>0</v>
      </c>
    </row>
    <row r="128" spans="1:73" ht="13" hidden="1" x14ac:dyDescent="0.3">
      <c r="A128" s="364">
        <v>3302429</v>
      </c>
      <c r="B128" s="364" t="s">
        <v>329</v>
      </c>
      <c r="C128" s="365">
        <v>0</v>
      </c>
      <c r="D128" s="365">
        <v>0</v>
      </c>
      <c r="E128" s="365">
        <v>0</v>
      </c>
      <c r="F128" s="365">
        <v>21</v>
      </c>
      <c r="G128" s="365">
        <v>14</v>
      </c>
      <c r="H128" s="377">
        <v>0</v>
      </c>
      <c r="I128" s="377">
        <v>35</v>
      </c>
      <c r="J128" s="365">
        <v>8</v>
      </c>
      <c r="K128" s="365">
        <v>7</v>
      </c>
      <c r="L128" s="377">
        <v>15</v>
      </c>
      <c r="M128" s="365">
        <v>0</v>
      </c>
      <c r="N128" s="365">
        <v>0</v>
      </c>
      <c r="O128" s="365">
        <v>315</v>
      </c>
      <c r="P128" s="365">
        <v>210</v>
      </c>
      <c r="Q128" s="377">
        <v>525</v>
      </c>
      <c r="R128" s="365">
        <v>0</v>
      </c>
      <c r="S128" s="365">
        <v>0</v>
      </c>
      <c r="T128" s="365">
        <v>120</v>
      </c>
      <c r="U128" s="365">
        <v>105</v>
      </c>
      <c r="V128" s="377">
        <v>225</v>
      </c>
      <c r="W128" s="365">
        <v>0</v>
      </c>
      <c r="X128" s="365">
        <v>0</v>
      </c>
      <c r="Y128" s="378">
        <v>0</v>
      </c>
      <c r="Z128" s="365">
        <v>0</v>
      </c>
      <c r="AA128" s="365">
        <v>0</v>
      </c>
      <c r="AB128" s="378">
        <v>0</v>
      </c>
      <c r="AC128" s="365">
        <v>1</v>
      </c>
      <c r="AD128" s="365">
        <v>15</v>
      </c>
      <c r="AE128" s="378">
        <v>15</v>
      </c>
      <c r="AF128" s="379">
        <v>0</v>
      </c>
      <c r="AG128" s="379">
        <v>0</v>
      </c>
      <c r="AH128" s="378">
        <v>0</v>
      </c>
      <c r="AI128" s="379">
        <v>6</v>
      </c>
      <c r="AJ128" s="379">
        <v>90</v>
      </c>
      <c r="AK128" s="378">
        <v>30</v>
      </c>
      <c r="AL128" s="365">
        <v>6</v>
      </c>
      <c r="AM128" s="365">
        <v>90</v>
      </c>
      <c r="AN128" s="378">
        <v>30</v>
      </c>
      <c r="AO128" s="378"/>
      <c r="AP128" s="378">
        <f t="shared" si="14"/>
        <v>6</v>
      </c>
      <c r="AQ128" s="465">
        <v>0</v>
      </c>
      <c r="AR128" s="379">
        <v>0</v>
      </c>
      <c r="AS128" s="378">
        <v>0</v>
      </c>
      <c r="AT128" s="466">
        <v>3</v>
      </c>
      <c r="AU128" s="466">
        <v>2</v>
      </c>
      <c r="AV128" s="379">
        <v>5</v>
      </c>
      <c r="AW128" s="379">
        <v>75</v>
      </c>
      <c r="AX128" s="378">
        <v>30</v>
      </c>
      <c r="AY128" s="365">
        <v>5</v>
      </c>
      <c r="AZ128" s="365">
        <v>75</v>
      </c>
      <c r="BA128" s="378">
        <v>30</v>
      </c>
      <c r="BB128" s="378"/>
      <c r="BC128" s="378">
        <f t="shared" si="15"/>
        <v>5</v>
      </c>
      <c r="BD128" s="379">
        <v>0</v>
      </c>
      <c r="BE128" s="379">
        <v>0</v>
      </c>
      <c r="BF128" s="365">
        <v>0</v>
      </c>
      <c r="BO128" s="381">
        <f t="shared" si="16"/>
        <v>3</v>
      </c>
      <c r="BP128" s="381">
        <f t="shared" si="17"/>
        <v>2</v>
      </c>
      <c r="BQ128" s="381"/>
      <c r="BR128" s="381">
        <f>_xlfn.XLOOKUP(A128,'Summer data team '!B:B,'Summer data team '!BV:BV,0)</f>
        <v>3</v>
      </c>
      <c r="BS128" s="381">
        <f>_xlfn.XLOOKUP(A128,'Summer data team '!B:B,'Summer data team '!BW:BW,0)</f>
        <v>2</v>
      </c>
      <c r="BT128" s="381">
        <f t="shared" si="18"/>
        <v>0</v>
      </c>
      <c r="BU128" s="381">
        <f t="shared" si="19"/>
        <v>0</v>
      </c>
    </row>
    <row r="129" spans="1:73" ht="13" hidden="1" x14ac:dyDescent="0.3">
      <c r="A129" s="364">
        <v>3302434</v>
      </c>
      <c r="B129" s="364" t="s">
        <v>330</v>
      </c>
      <c r="C129" s="365">
        <v>0</v>
      </c>
      <c r="D129" s="365">
        <v>1</v>
      </c>
      <c r="E129" s="365">
        <v>0</v>
      </c>
      <c r="F129" s="365">
        <v>23</v>
      </c>
      <c r="G129" s="365">
        <v>20</v>
      </c>
      <c r="H129" s="377">
        <v>1</v>
      </c>
      <c r="I129" s="377">
        <v>43</v>
      </c>
      <c r="J129" s="365">
        <v>11</v>
      </c>
      <c r="K129" s="365">
        <v>8</v>
      </c>
      <c r="L129" s="377">
        <v>19</v>
      </c>
      <c r="M129" s="365">
        <v>0</v>
      </c>
      <c r="N129" s="365">
        <v>15</v>
      </c>
      <c r="O129" s="365">
        <v>345</v>
      </c>
      <c r="P129" s="365">
        <v>300</v>
      </c>
      <c r="Q129" s="377">
        <v>645</v>
      </c>
      <c r="R129" s="365">
        <v>0</v>
      </c>
      <c r="S129" s="365">
        <v>15</v>
      </c>
      <c r="T129" s="365">
        <v>165</v>
      </c>
      <c r="U129" s="365">
        <v>120</v>
      </c>
      <c r="V129" s="377">
        <v>285</v>
      </c>
      <c r="W129" s="365">
        <v>9</v>
      </c>
      <c r="X129" s="365">
        <v>135</v>
      </c>
      <c r="Y129" s="378">
        <v>60</v>
      </c>
      <c r="Z129" s="365">
        <v>6</v>
      </c>
      <c r="AA129" s="365">
        <v>90</v>
      </c>
      <c r="AB129" s="378">
        <v>75</v>
      </c>
      <c r="AC129" s="365">
        <v>22</v>
      </c>
      <c r="AD129" s="365">
        <v>330</v>
      </c>
      <c r="AE129" s="378">
        <v>90</v>
      </c>
      <c r="AF129" s="379">
        <v>0</v>
      </c>
      <c r="AG129" s="379">
        <v>0</v>
      </c>
      <c r="AH129" s="378">
        <v>0</v>
      </c>
      <c r="AI129" s="379">
        <v>13</v>
      </c>
      <c r="AJ129" s="379">
        <v>195</v>
      </c>
      <c r="AK129" s="378">
        <v>30</v>
      </c>
      <c r="AL129" s="365">
        <v>13</v>
      </c>
      <c r="AM129" s="365">
        <v>195</v>
      </c>
      <c r="AN129" s="378">
        <v>30</v>
      </c>
      <c r="AO129" s="378"/>
      <c r="AP129" s="378">
        <f t="shared" si="14"/>
        <v>13</v>
      </c>
      <c r="AQ129" s="465">
        <v>0</v>
      </c>
      <c r="AR129" s="379">
        <v>0</v>
      </c>
      <c r="AS129" s="378">
        <v>0</v>
      </c>
      <c r="AT129" s="466">
        <v>11</v>
      </c>
      <c r="AU129" s="466">
        <v>2</v>
      </c>
      <c r="AV129" s="379">
        <v>13</v>
      </c>
      <c r="AW129" s="379">
        <v>195</v>
      </c>
      <c r="AX129" s="378">
        <v>30</v>
      </c>
      <c r="AY129" s="365">
        <v>13</v>
      </c>
      <c r="AZ129" s="365">
        <v>195</v>
      </c>
      <c r="BA129" s="378">
        <v>30</v>
      </c>
      <c r="BB129" s="378"/>
      <c r="BC129" s="378">
        <f t="shared" si="15"/>
        <v>13</v>
      </c>
      <c r="BD129" s="379">
        <v>0</v>
      </c>
      <c r="BE129" s="379">
        <v>0</v>
      </c>
      <c r="BF129" s="365">
        <v>0</v>
      </c>
      <c r="BO129" s="381">
        <f t="shared" si="16"/>
        <v>11</v>
      </c>
      <c r="BP129" s="381">
        <f t="shared" si="17"/>
        <v>2</v>
      </c>
      <c r="BQ129" s="381"/>
      <c r="BR129" s="381">
        <f>_xlfn.XLOOKUP(A129,'Summer data team '!B:B,'Summer data team '!BV:BV,0)</f>
        <v>11</v>
      </c>
      <c r="BS129" s="381">
        <f>_xlfn.XLOOKUP(A129,'Summer data team '!B:B,'Summer data team '!BW:BW,0)</f>
        <v>2</v>
      </c>
      <c r="BT129" s="381">
        <f t="shared" si="18"/>
        <v>0</v>
      </c>
      <c r="BU129" s="381">
        <f t="shared" si="19"/>
        <v>0</v>
      </c>
    </row>
    <row r="130" spans="1:73" ht="13" hidden="1" x14ac:dyDescent="0.3">
      <c r="A130" s="364">
        <v>3302441</v>
      </c>
      <c r="B130" s="364" t="s">
        <v>105</v>
      </c>
      <c r="C130" s="365">
        <v>0</v>
      </c>
      <c r="D130" s="365">
        <v>0</v>
      </c>
      <c r="E130" s="365">
        <v>0</v>
      </c>
      <c r="F130" s="365">
        <v>12</v>
      </c>
      <c r="G130" s="365">
        <v>6</v>
      </c>
      <c r="H130" s="377">
        <v>0</v>
      </c>
      <c r="I130" s="377">
        <v>18</v>
      </c>
      <c r="J130" s="365">
        <v>0</v>
      </c>
      <c r="K130" s="365">
        <v>0</v>
      </c>
      <c r="L130" s="377">
        <v>0</v>
      </c>
      <c r="M130" s="365">
        <v>0</v>
      </c>
      <c r="N130" s="365">
        <v>0</v>
      </c>
      <c r="O130" s="365">
        <v>180</v>
      </c>
      <c r="P130" s="365">
        <v>90</v>
      </c>
      <c r="Q130" s="377">
        <v>270</v>
      </c>
      <c r="R130" s="365">
        <v>0</v>
      </c>
      <c r="S130" s="365">
        <v>0</v>
      </c>
      <c r="T130" s="365">
        <v>0</v>
      </c>
      <c r="U130" s="365">
        <v>0</v>
      </c>
      <c r="V130" s="377">
        <v>0</v>
      </c>
      <c r="W130" s="365">
        <v>6</v>
      </c>
      <c r="X130" s="365">
        <v>90</v>
      </c>
      <c r="Y130" s="378">
        <v>0</v>
      </c>
      <c r="Z130" s="365">
        <v>10</v>
      </c>
      <c r="AA130" s="365">
        <v>150</v>
      </c>
      <c r="AB130" s="378">
        <v>0</v>
      </c>
      <c r="AC130" s="365">
        <v>0</v>
      </c>
      <c r="AD130" s="365">
        <v>0</v>
      </c>
      <c r="AE130" s="378">
        <v>0</v>
      </c>
      <c r="AF130" s="379">
        <v>0</v>
      </c>
      <c r="AG130" s="379">
        <v>0</v>
      </c>
      <c r="AH130" s="378">
        <v>0</v>
      </c>
      <c r="AI130" s="379">
        <v>7</v>
      </c>
      <c r="AJ130" s="379">
        <v>105</v>
      </c>
      <c r="AK130" s="378">
        <v>0</v>
      </c>
      <c r="AL130" s="365">
        <v>7</v>
      </c>
      <c r="AM130" s="365">
        <v>105</v>
      </c>
      <c r="AN130" s="378">
        <v>0</v>
      </c>
      <c r="AO130" s="378"/>
      <c r="AP130" s="378">
        <f t="shared" si="14"/>
        <v>7</v>
      </c>
      <c r="AQ130" s="465">
        <v>0</v>
      </c>
      <c r="AR130" s="379">
        <v>0</v>
      </c>
      <c r="AS130" s="378">
        <v>0</v>
      </c>
      <c r="AT130" s="466">
        <v>0</v>
      </c>
      <c r="AU130" s="466">
        <v>0</v>
      </c>
      <c r="AV130" s="379">
        <v>0</v>
      </c>
      <c r="AW130" s="379">
        <v>0</v>
      </c>
      <c r="AX130" s="378">
        <v>0</v>
      </c>
      <c r="AY130" s="365">
        <v>0</v>
      </c>
      <c r="AZ130" s="365">
        <v>0</v>
      </c>
      <c r="BA130" s="378">
        <v>0</v>
      </c>
      <c r="BB130" s="378"/>
      <c r="BC130" s="378">
        <f t="shared" si="15"/>
        <v>0</v>
      </c>
      <c r="BD130" s="379">
        <v>0</v>
      </c>
      <c r="BE130" s="379">
        <v>0</v>
      </c>
      <c r="BF130" s="365">
        <v>0</v>
      </c>
      <c r="BO130" s="381">
        <f t="shared" ref="BO130:BO161" si="20">AQ130+AT130</f>
        <v>0</v>
      </c>
      <c r="BP130" s="381">
        <f t="shared" ref="BP130:BP161" si="21">AU130</f>
        <v>0</v>
      </c>
      <c r="BQ130" s="381"/>
      <c r="BR130" s="381">
        <f>_xlfn.XLOOKUP(A130,'Summer data team '!B:B,'Summer data team '!BV:BV,0)</f>
        <v>0</v>
      </c>
      <c r="BS130" s="381">
        <f>_xlfn.XLOOKUP(A130,'Summer data team '!B:B,'Summer data team '!BW:BW,0)</f>
        <v>0</v>
      </c>
      <c r="BT130" s="381">
        <f t="shared" ref="BT130:BT161" si="22">BO130-BR130</f>
        <v>0</v>
      </c>
      <c r="BU130" s="381">
        <f t="shared" ref="BU130:BU161" si="23">BP130-BS130</f>
        <v>0</v>
      </c>
    </row>
    <row r="131" spans="1:73" ht="13" hidden="1" x14ac:dyDescent="0.3">
      <c r="A131" s="364">
        <v>3302443</v>
      </c>
      <c r="B131" s="364" t="s">
        <v>332</v>
      </c>
      <c r="C131" s="365">
        <v>0</v>
      </c>
      <c r="D131" s="365">
        <v>0</v>
      </c>
      <c r="E131" s="365">
        <v>0</v>
      </c>
      <c r="F131" s="365">
        <v>12</v>
      </c>
      <c r="G131" s="365">
        <v>16</v>
      </c>
      <c r="H131" s="377">
        <v>0</v>
      </c>
      <c r="I131" s="377">
        <v>28</v>
      </c>
      <c r="J131" s="365">
        <v>0</v>
      </c>
      <c r="K131" s="365">
        <v>0</v>
      </c>
      <c r="L131" s="377">
        <v>0</v>
      </c>
      <c r="M131" s="365">
        <v>0</v>
      </c>
      <c r="N131" s="365">
        <v>0</v>
      </c>
      <c r="O131" s="365">
        <v>180</v>
      </c>
      <c r="P131" s="365">
        <v>240</v>
      </c>
      <c r="Q131" s="377">
        <v>420</v>
      </c>
      <c r="R131" s="365">
        <v>0</v>
      </c>
      <c r="S131" s="365">
        <v>0</v>
      </c>
      <c r="T131" s="365">
        <v>0</v>
      </c>
      <c r="U131" s="365">
        <v>0</v>
      </c>
      <c r="V131" s="377">
        <v>0</v>
      </c>
      <c r="W131" s="365">
        <v>2</v>
      </c>
      <c r="X131" s="365">
        <v>30</v>
      </c>
      <c r="Y131" s="378">
        <v>0</v>
      </c>
      <c r="Z131" s="365">
        <v>22</v>
      </c>
      <c r="AA131" s="365">
        <v>330</v>
      </c>
      <c r="AB131" s="378">
        <v>0</v>
      </c>
      <c r="AC131" s="365">
        <v>3</v>
      </c>
      <c r="AD131" s="365">
        <v>45</v>
      </c>
      <c r="AE131" s="378">
        <v>0</v>
      </c>
      <c r="AF131" s="379">
        <v>0</v>
      </c>
      <c r="AG131" s="379">
        <v>0</v>
      </c>
      <c r="AH131" s="378">
        <v>0</v>
      </c>
      <c r="AI131" s="379">
        <v>17</v>
      </c>
      <c r="AJ131" s="379">
        <v>255</v>
      </c>
      <c r="AK131" s="378">
        <v>0</v>
      </c>
      <c r="AL131" s="365">
        <v>17</v>
      </c>
      <c r="AM131" s="365">
        <v>255</v>
      </c>
      <c r="AN131" s="378">
        <v>0</v>
      </c>
      <c r="AO131" s="378"/>
      <c r="AP131" s="378">
        <f t="shared" ref="AP131:AP194" si="24">AL131+AO131</f>
        <v>17</v>
      </c>
      <c r="AQ131" s="465">
        <v>0</v>
      </c>
      <c r="AR131" s="379">
        <v>0</v>
      </c>
      <c r="AS131" s="378">
        <v>0</v>
      </c>
      <c r="AT131" s="466">
        <v>16</v>
      </c>
      <c r="AU131" s="466">
        <v>0</v>
      </c>
      <c r="AV131" s="379">
        <v>16</v>
      </c>
      <c r="AW131" s="379">
        <v>240</v>
      </c>
      <c r="AX131" s="378">
        <v>0</v>
      </c>
      <c r="AY131" s="365">
        <v>16</v>
      </c>
      <c r="AZ131" s="365">
        <v>240</v>
      </c>
      <c r="BA131" s="378">
        <v>0</v>
      </c>
      <c r="BB131" s="378"/>
      <c r="BC131" s="378">
        <f t="shared" ref="BC131:BC194" si="25">AY131+BB131</f>
        <v>16</v>
      </c>
      <c r="BD131" s="379">
        <v>0</v>
      </c>
      <c r="BE131" s="379">
        <v>0</v>
      </c>
      <c r="BF131" s="365">
        <v>0</v>
      </c>
      <c r="BO131" s="381">
        <f t="shared" si="20"/>
        <v>16</v>
      </c>
      <c r="BP131" s="381">
        <f t="shared" si="21"/>
        <v>0</v>
      </c>
      <c r="BQ131" s="381"/>
      <c r="BR131" s="381">
        <f>_xlfn.XLOOKUP(A131,'Summer data team '!B:B,'Summer data team '!BV:BV,0)</f>
        <v>16</v>
      </c>
      <c r="BS131" s="381">
        <f>_xlfn.XLOOKUP(A131,'Summer data team '!B:B,'Summer data team '!BW:BW,0)</f>
        <v>0</v>
      </c>
      <c r="BT131" s="381">
        <f t="shared" si="22"/>
        <v>0</v>
      </c>
      <c r="BU131" s="381">
        <f t="shared" si="23"/>
        <v>0</v>
      </c>
    </row>
    <row r="132" spans="1:73" ht="13" hidden="1" x14ac:dyDescent="0.3">
      <c r="A132" s="364">
        <v>3302447</v>
      </c>
      <c r="B132" s="364" t="s">
        <v>333</v>
      </c>
      <c r="C132" s="365">
        <v>0</v>
      </c>
      <c r="D132" s="365">
        <v>0</v>
      </c>
      <c r="E132" s="365">
        <v>0</v>
      </c>
      <c r="F132" s="365">
        <v>22</v>
      </c>
      <c r="G132" s="365">
        <v>23</v>
      </c>
      <c r="H132" s="377">
        <v>0</v>
      </c>
      <c r="I132" s="377">
        <v>45</v>
      </c>
      <c r="J132" s="365">
        <v>0</v>
      </c>
      <c r="K132" s="365">
        <v>0</v>
      </c>
      <c r="L132" s="377">
        <v>0</v>
      </c>
      <c r="M132" s="365">
        <v>0</v>
      </c>
      <c r="N132" s="365">
        <v>0</v>
      </c>
      <c r="O132" s="365">
        <v>330</v>
      </c>
      <c r="P132" s="365">
        <v>345</v>
      </c>
      <c r="Q132" s="377">
        <v>675</v>
      </c>
      <c r="R132" s="365">
        <v>0</v>
      </c>
      <c r="S132" s="365">
        <v>0</v>
      </c>
      <c r="T132" s="365">
        <v>0</v>
      </c>
      <c r="U132" s="365">
        <v>0</v>
      </c>
      <c r="V132" s="377">
        <v>0</v>
      </c>
      <c r="W132" s="365">
        <v>20</v>
      </c>
      <c r="X132" s="365">
        <v>300</v>
      </c>
      <c r="Y132" s="378">
        <v>0</v>
      </c>
      <c r="Z132" s="365">
        <v>7</v>
      </c>
      <c r="AA132" s="365">
        <v>105</v>
      </c>
      <c r="AB132" s="378">
        <v>0</v>
      </c>
      <c r="AC132" s="365">
        <v>9</v>
      </c>
      <c r="AD132" s="365">
        <v>135</v>
      </c>
      <c r="AE132" s="378">
        <v>0</v>
      </c>
      <c r="AF132" s="379">
        <v>0</v>
      </c>
      <c r="AG132" s="379">
        <v>0</v>
      </c>
      <c r="AH132" s="378">
        <v>0</v>
      </c>
      <c r="AI132" s="379">
        <v>29</v>
      </c>
      <c r="AJ132" s="379">
        <v>435</v>
      </c>
      <c r="AK132" s="378">
        <v>0</v>
      </c>
      <c r="AL132" s="365">
        <v>29</v>
      </c>
      <c r="AM132" s="365">
        <v>435</v>
      </c>
      <c r="AN132" s="378">
        <v>0</v>
      </c>
      <c r="AO132" s="378"/>
      <c r="AP132" s="378">
        <f t="shared" si="24"/>
        <v>29</v>
      </c>
      <c r="AQ132" s="465">
        <v>0</v>
      </c>
      <c r="AR132" s="379">
        <v>0</v>
      </c>
      <c r="AS132" s="378">
        <v>0</v>
      </c>
      <c r="AT132" s="466">
        <v>29</v>
      </c>
      <c r="AU132" s="466">
        <v>0</v>
      </c>
      <c r="AV132" s="379">
        <v>29</v>
      </c>
      <c r="AW132" s="379">
        <v>435</v>
      </c>
      <c r="AX132" s="378">
        <v>0</v>
      </c>
      <c r="AY132" s="365">
        <v>29</v>
      </c>
      <c r="AZ132" s="365">
        <v>435</v>
      </c>
      <c r="BA132" s="378">
        <v>0</v>
      </c>
      <c r="BB132" s="378"/>
      <c r="BC132" s="378">
        <f t="shared" si="25"/>
        <v>29</v>
      </c>
      <c r="BD132" s="379">
        <v>0</v>
      </c>
      <c r="BE132" s="379">
        <v>0</v>
      </c>
      <c r="BF132" s="365">
        <v>0</v>
      </c>
      <c r="BO132" s="381">
        <f t="shared" si="20"/>
        <v>29</v>
      </c>
      <c r="BP132" s="381">
        <f t="shared" si="21"/>
        <v>0</v>
      </c>
      <c r="BQ132" s="381"/>
      <c r="BR132" s="381">
        <f>_xlfn.XLOOKUP(A132,'Summer data team '!B:B,'Summer data team '!BV:BV,0)</f>
        <v>29</v>
      </c>
      <c r="BS132" s="381">
        <f>_xlfn.XLOOKUP(A132,'Summer data team '!B:B,'Summer data team '!BW:BW,0)</f>
        <v>0</v>
      </c>
      <c r="BT132" s="381">
        <f t="shared" si="22"/>
        <v>0</v>
      </c>
      <c r="BU132" s="381">
        <f t="shared" si="23"/>
        <v>0</v>
      </c>
    </row>
    <row r="133" spans="1:73" ht="13" hidden="1" x14ac:dyDescent="0.3">
      <c r="A133" s="364">
        <v>3302449</v>
      </c>
      <c r="B133" s="364" t="s">
        <v>334</v>
      </c>
      <c r="C133" s="365">
        <v>0</v>
      </c>
      <c r="D133" s="365">
        <v>0</v>
      </c>
      <c r="E133" s="365">
        <v>0</v>
      </c>
      <c r="F133" s="365">
        <v>18</v>
      </c>
      <c r="G133" s="365">
        <v>20</v>
      </c>
      <c r="H133" s="377">
        <v>0</v>
      </c>
      <c r="I133" s="377">
        <v>38</v>
      </c>
      <c r="J133" s="365">
        <v>2</v>
      </c>
      <c r="K133" s="365">
        <v>1</v>
      </c>
      <c r="L133" s="377">
        <v>3</v>
      </c>
      <c r="M133" s="365">
        <v>0</v>
      </c>
      <c r="N133" s="365">
        <v>0</v>
      </c>
      <c r="O133" s="365">
        <v>270</v>
      </c>
      <c r="P133" s="365">
        <v>300</v>
      </c>
      <c r="Q133" s="377">
        <v>570</v>
      </c>
      <c r="R133" s="365">
        <v>0</v>
      </c>
      <c r="S133" s="365">
        <v>0</v>
      </c>
      <c r="T133" s="365">
        <v>30</v>
      </c>
      <c r="U133" s="365">
        <v>15</v>
      </c>
      <c r="V133" s="377">
        <v>45</v>
      </c>
      <c r="W133" s="365">
        <v>23</v>
      </c>
      <c r="X133" s="365">
        <v>345</v>
      </c>
      <c r="Y133" s="378">
        <v>30</v>
      </c>
      <c r="Z133" s="365">
        <v>7</v>
      </c>
      <c r="AA133" s="365">
        <v>105</v>
      </c>
      <c r="AB133" s="378">
        <v>15</v>
      </c>
      <c r="AC133" s="365">
        <v>6</v>
      </c>
      <c r="AD133" s="365">
        <v>90</v>
      </c>
      <c r="AE133" s="378">
        <v>0</v>
      </c>
      <c r="AF133" s="379">
        <v>0</v>
      </c>
      <c r="AG133" s="379">
        <v>0</v>
      </c>
      <c r="AH133" s="378">
        <v>0</v>
      </c>
      <c r="AI133" s="379">
        <v>23</v>
      </c>
      <c r="AJ133" s="379">
        <v>345</v>
      </c>
      <c r="AK133" s="378">
        <v>0</v>
      </c>
      <c r="AL133" s="365">
        <v>23</v>
      </c>
      <c r="AM133" s="365">
        <v>345</v>
      </c>
      <c r="AN133" s="378">
        <v>0</v>
      </c>
      <c r="AO133" s="378"/>
      <c r="AP133" s="378">
        <f t="shared" si="24"/>
        <v>23</v>
      </c>
      <c r="AQ133" s="465">
        <v>0</v>
      </c>
      <c r="AR133" s="379">
        <v>0</v>
      </c>
      <c r="AS133" s="378">
        <v>0</v>
      </c>
      <c r="AT133" s="466">
        <v>23</v>
      </c>
      <c r="AU133" s="466">
        <v>0</v>
      </c>
      <c r="AV133" s="379">
        <v>23</v>
      </c>
      <c r="AW133" s="379">
        <v>345</v>
      </c>
      <c r="AX133" s="378">
        <v>0</v>
      </c>
      <c r="AY133" s="365">
        <v>23</v>
      </c>
      <c r="AZ133" s="365">
        <v>345</v>
      </c>
      <c r="BA133" s="378">
        <v>0</v>
      </c>
      <c r="BB133" s="378"/>
      <c r="BC133" s="378">
        <f t="shared" si="25"/>
        <v>23</v>
      </c>
      <c r="BD133" s="379">
        <v>0</v>
      </c>
      <c r="BE133" s="379">
        <v>0</v>
      </c>
      <c r="BF133" s="365">
        <v>0</v>
      </c>
      <c r="BO133" s="381">
        <f t="shared" si="20"/>
        <v>23</v>
      </c>
      <c r="BP133" s="381">
        <f t="shared" si="21"/>
        <v>0</v>
      </c>
      <c r="BQ133" s="381"/>
      <c r="BR133" s="381">
        <f>_xlfn.XLOOKUP(A133,'Summer data team '!B:B,'Summer data team '!BV:BV,0)</f>
        <v>23</v>
      </c>
      <c r="BS133" s="381">
        <f>_xlfn.XLOOKUP(A133,'Summer data team '!B:B,'Summer data team '!BW:BW,0)</f>
        <v>0</v>
      </c>
      <c r="BT133" s="381">
        <f t="shared" si="22"/>
        <v>0</v>
      </c>
      <c r="BU133" s="381">
        <f t="shared" si="23"/>
        <v>0</v>
      </c>
    </row>
    <row r="134" spans="1:73" ht="13" hidden="1" x14ac:dyDescent="0.3">
      <c r="A134" s="364">
        <v>3302450</v>
      </c>
      <c r="B134" s="364" t="s">
        <v>335</v>
      </c>
      <c r="C134" s="365">
        <v>0</v>
      </c>
      <c r="D134" s="365">
        <v>0</v>
      </c>
      <c r="E134" s="365">
        <v>0</v>
      </c>
      <c r="F134" s="365">
        <v>15</v>
      </c>
      <c r="G134" s="365">
        <v>14</v>
      </c>
      <c r="H134" s="377">
        <v>0</v>
      </c>
      <c r="I134" s="377">
        <v>29</v>
      </c>
      <c r="J134" s="365">
        <v>9</v>
      </c>
      <c r="K134" s="365">
        <v>8</v>
      </c>
      <c r="L134" s="377">
        <v>17</v>
      </c>
      <c r="M134" s="365">
        <v>0</v>
      </c>
      <c r="N134" s="365">
        <v>0</v>
      </c>
      <c r="O134" s="365">
        <v>225</v>
      </c>
      <c r="P134" s="365">
        <v>210</v>
      </c>
      <c r="Q134" s="377">
        <v>435</v>
      </c>
      <c r="R134" s="365">
        <v>0</v>
      </c>
      <c r="S134" s="365">
        <v>0</v>
      </c>
      <c r="T134" s="365">
        <v>135</v>
      </c>
      <c r="U134" s="365">
        <v>120</v>
      </c>
      <c r="V134" s="377">
        <v>255</v>
      </c>
      <c r="W134" s="365">
        <v>0</v>
      </c>
      <c r="X134" s="365">
        <v>0</v>
      </c>
      <c r="Y134" s="378">
        <v>0</v>
      </c>
      <c r="Z134" s="365">
        <v>1</v>
      </c>
      <c r="AA134" s="365">
        <v>15</v>
      </c>
      <c r="AB134" s="378">
        <v>15</v>
      </c>
      <c r="AC134" s="365">
        <v>1</v>
      </c>
      <c r="AD134" s="365">
        <v>15</v>
      </c>
      <c r="AE134" s="378">
        <v>15</v>
      </c>
      <c r="AF134" s="379">
        <v>0</v>
      </c>
      <c r="AG134" s="379">
        <v>0</v>
      </c>
      <c r="AH134" s="378">
        <v>0</v>
      </c>
      <c r="AI134" s="379">
        <v>3</v>
      </c>
      <c r="AJ134" s="379">
        <v>45</v>
      </c>
      <c r="AK134" s="378">
        <v>15</v>
      </c>
      <c r="AL134" s="365">
        <v>3</v>
      </c>
      <c r="AM134" s="365">
        <v>45</v>
      </c>
      <c r="AN134" s="378">
        <v>15</v>
      </c>
      <c r="AO134" s="378"/>
      <c r="AP134" s="378">
        <f t="shared" si="24"/>
        <v>3</v>
      </c>
      <c r="AQ134" s="465">
        <v>0</v>
      </c>
      <c r="AR134" s="379">
        <v>0</v>
      </c>
      <c r="AS134" s="378">
        <v>0</v>
      </c>
      <c r="AT134" s="466">
        <v>2</v>
      </c>
      <c r="AU134" s="466">
        <v>1</v>
      </c>
      <c r="AV134" s="379">
        <v>3</v>
      </c>
      <c r="AW134" s="379">
        <v>45</v>
      </c>
      <c r="AX134" s="378">
        <v>15</v>
      </c>
      <c r="AY134" s="365">
        <v>3</v>
      </c>
      <c r="AZ134" s="365">
        <v>45</v>
      </c>
      <c r="BA134" s="378">
        <v>15</v>
      </c>
      <c r="BB134" s="378"/>
      <c r="BC134" s="378">
        <f t="shared" si="25"/>
        <v>3</v>
      </c>
      <c r="BD134" s="379">
        <v>0</v>
      </c>
      <c r="BE134" s="379">
        <v>0</v>
      </c>
      <c r="BF134" s="365">
        <v>0</v>
      </c>
      <c r="BO134" s="381">
        <f t="shared" si="20"/>
        <v>2</v>
      </c>
      <c r="BP134" s="381">
        <f t="shared" si="21"/>
        <v>1</v>
      </c>
      <c r="BQ134" s="381"/>
      <c r="BR134" s="381">
        <f>_xlfn.XLOOKUP(A134,'Summer data team '!B:B,'Summer data team '!BV:BV,0)</f>
        <v>2</v>
      </c>
      <c r="BS134" s="381">
        <f>_xlfn.XLOOKUP(A134,'Summer data team '!B:B,'Summer data team '!BW:BW,0)</f>
        <v>1</v>
      </c>
      <c r="BT134" s="381">
        <f t="shared" si="22"/>
        <v>0</v>
      </c>
      <c r="BU134" s="381">
        <f t="shared" si="23"/>
        <v>0</v>
      </c>
    </row>
    <row r="135" spans="1:73" ht="13" hidden="1" x14ac:dyDescent="0.3">
      <c r="A135" s="364">
        <v>3302453</v>
      </c>
      <c r="B135" s="364" t="s">
        <v>336</v>
      </c>
      <c r="C135" s="365">
        <v>0</v>
      </c>
      <c r="D135" s="365">
        <v>0</v>
      </c>
      <c r="E135" s="365">
        <v>0</v>
      </c>
      <c r="F135" s="365">
        <v>15</v>
      </c>
      <c r="G135" s="365">
        <v>11</v>
      </c>
      <c r="H135" s="377">
        <v>0</v>
      </c>
      <c r="I135" s="377">
        <v>26</v>
      </c>
      <c r="J135" s="365">
        <v>0</v>
      </c>
      <c r="K135" s="365">
        <v>0</v>
      </c>
      <c r="L135" s="377">
        <v>0</v>
      </c>
      <c r="M135" s="365">
        <v>0</v>
      </c>
      <c r="N135" s="365">
        <v>0</v>
      </c>
      <c r="O135" s="365">
        <v>225</v>
      </c>
      <c r="P135" s="365">
        <v>165</v>
      </c>
      <c r="Q135" s="377">
        <v>390</v>
      </c>
      <c r="R135" s="365">
        <v>0</v>
      </c>
      <c r="S135" s="365">
        <v>0</v>
      </c>
      <c r="T135" s="365">
        <v>0</v>
      </c>
      <c r="U135" s="365">
        <v>0</v>
      </c>
      <c r="V135" s="377">
        <v>0</v>
      </c>
      <c r="W135" s="365">
        <v>4</v>
      </c>
      <c r="X135" s="365">
        <v>60</v>
      </c>
      <c r="Y135" s="378">
        <v>0</v>
      </c>
      <c r="Z135" s="365">
        <v>4</v>
      </c>
      <c r="AA135" s="365">
        <v>60</v>
      </c>
      <c r="AB135" s="378">
        <v>0</v>
      </c>
      <c r="AC135" s="365">
        <v>16</v>
      </c>
      <c r="AD135" s="365">
        <v>240</v>
      </c>
      <c r="AE135" s="378">
        <v>0</v>
      </c>
      <c r="AF135" s="379">
        <v>0</v>
      </c>
      <c r="AG135" s="379">
        <v>0</v>
      </c>
      <c r="AH135" s="378">
        <v>0</v>
      </c>
      <c r="AI135" s="379">
        <v>2</v>
      </c>
      <c r="AJ135" s="379">
        <v>30</v>
      </c>
      <c r="AK135" s="378">
        <v>0</v>
      </c>
      <c r="AL135" s="365">
        <v>2</v>
      </c>
      <c r="AM135" s="365">
        <v>30</v>
      </c>
      <c r="AN135" s="378">
        <v>0</v>
      </c>
      <c r="AO135" s="378"/>
      <c r="AP135" s="378">
        <f t="shared" si="24"/>
        <v>2</v>
      </c>
      <c r="AQ135" s="465">
        <v>0</v>
      </c>
      <c r="AR135" s="379">
        <v>0</v>
      </c>
      <c r="AS135" s="378">
        <v>0</v>
      </c>
      <c r="AT135" s="466">
        <v>2</v>
      </c>
      <c r="AU135" s="466">
        <v>0</v>
      </c>
      <c r="AV135" s="379">
        <v>2</v>
      </c>
      <c r="AW135" s="379">
        <v>30</v>
      </c>
      <c r="AX135" s="378">
        <v>0</v>
      </c>
      <c r="AY135" s="365">
        <v>2</v>
      </c>
      <c r="AZ135" s="365">
        <v>30</v>
      </c>
      <c r="BA135" s="378">
        <v>0</v>
      </c>
      <c r="BB135" s="378"/>
      <c r="BC135" s="378">
        <f t="shared" si="25"/>
        <v>2</v>
      </c>
      <c r="BD135" s="379">
        <v>0</v>
      </c>
      <c r="BE135" s="379">
        <v>0</v>
      </c>
      <c r="BF135" s="365">
        <v>0</v>
      </c>
      <c r="BO135" s="381">
        <f t="shared" si="20"/>
        <v>2</v>
      </c>
      <c r="BP135" s="381">
        <f t="shared" si="21"/>
        <v>0</v>
      </c>
      <c r="BQ135" s="381"/>
      <c r="BR135" s="381">
        <f>_xlfn.XLOOKUP(A135,'Summer data team '!B:B,'Summer data team '!BV:BV,0)</f>
        <v>2</v>
      </c>
      <c r="BS135" s="381">
        <f>_xlfn.XLOOKUP(A135,'Summer data team '!B:B,'Summer data team '!BW:BW,0)</f>
        <v>0</v>
      </c>
      <c r="BT135" s="381">
        <f t="shared" si="22"/>
        <v>0</v>
      </c>
      <c r="BU135" s="381">
        <f t="shared" si="23"/>
        <v>0</v>
      </c>
    </row>
    <row r="136" spans="1:73" ht="13" hidden="1" x14ac:dyDescent="0.3">
      <c r="A136" s="364">
        <v>3302454</v>
      </c>
      <c r="B136" s="364" t="s">
        <v>337</v>
      </c>
      <c r="C136" s="365">
        <v>0</v>
      </c>
      <c r="D136" s="365">
        <v>0</v>
      </c>
      <c r="E136" s="365">
        <v>0</v>
      </c>
      <c r="F136" s="365">
        <v>22</v>
      </c>
      <c r="G136" s="365">
        <v>30</v>
      </c>
      <c r="H136" s="377">
        <v>0</v>
      </c>
      <c r="I136" s="377">
        <v>52</v>
      </c>
      <c r="J136" s="365">
        <v>0</v>
      </c>
      <c r="K136" s="365">
        <v>8</v>
      </c>
      <c r="L136" s="377">
        <v>8</v>
      </c>
      <c r="M136" s="365">
        <v>0</v>
      </c>
      <c r="N136" s="365">
        <v>0</v>
      </c>
      <c r="O136" s="365">
        <v>330</v>
      </c>
      <c r="P136" s="365">
        <v>450</v>
      </c>
      <c r="Q136" s="377">
        <v>780</v>
      </c>
      <c r="R136" s="365">
        <v>0</v>
      </c>
      <c r="S136" s="365">
        <v>0</v>
      </c>
      <c r="T136" s="365">
        <v>0</v>
      </c>
      <c r="U136" s="365">
        <v>120</v>
      </c>
      <c r="V136" s="377">
        <v>120</v>
      </c>
      <c r="W136" s="365">
        <v>26</v>
      </c>
      <c r="X136" s="365">
        <v>390</v>
      </c>
      <c r="Y136" s="378">
        <v>45</v>
      </c>
      <c r="Z136" s="365">
        <v>2</v>
      </c>
      <c r="AA136" s="365">
        <v>30</v>
      </c>
      <c r="AB136" s="378">
        <v>15</v>
      </c>
      <c r="AC136" s="365">
        <v>13</v>
      </c>
      <c r="AD136" s="365">
        <v>195</v>
      </c>
      <c r="AE136" s="378">
        <v>15</v>
      </c>
      <c r="AF136" s="379">
        <v>0</v>
      </c>
      <c r="AG136" s="379">
        <v>0</v>
      </c>
      <c r="AH136" s="378">
        <v>0</v>
      </c>
      <c r="AI136" s="379">
        <v>16</v>
      </c>
      <c r="AJ136" s="379">
        <v>240</v>
      </c>
      <c r="AK136" s="378">
        <v>15</v>
      </c>
      <c r="AL136" s="365">
        <v>16</v>
      </c>
      <c r="AM136" s="365">
        <v>240</v>
      </c>
      <c r="AN136" s="378">
        <v>15</v>
      </c>
      <c r="AO136" s="378"/>
      <c r="AP136" s="378">
        <f t="shared" si="24"/>
        <v>16</v>
      </c>
      <c r="AQ136" s="465">
        <v>0</v>
      </c>
      <c r="AR136" s="379">
        <v>0</v>
      </c>
      <c r="AS136" s="378">
        <v>0</v>
      </c>
      <c r="AT136" s="466">
        <v>15</v>
      </c>
      <c r="AU136" s="466">
        <v>1</v>
      </c>
      <c r="AV136" s="379">
        <v>16</v>
      </c>
      <c r="AW136" s="379">
        <v>240</v>
      </c>
      <c r="AX136" s="378">
        <v>15</v>
      </c>
      <c r="AY136" s="365">
        <v>16</v>
      </c>
      <c r="AZ136" s="365">
        <v>240</v>
      </c>
      <c r="BA136" s="378">
        <v>15</v>
      </c>
      <c r="BB136" s="378"/>
      <c r="BC136" s="378">
        <f t="shared" si="25"/>
        <v>16</v>
      </c>
      <c r="BD136" s="379">
        <v>0</v>
      </c>
      <c r="BE136" s="379">
        <v>0</v>
      </c>
      <c r="BF136" s="365">
        <v>0</v>
      </c>
      <c r="BO136" s="381">
        <f t="shared" si="20"/>
        <v>15</v>
      </c>
      <c r="BP136" s="381">
        <f t="shared" si="21"/>
        <v>1</v>
      </c>
      <c r="BQ136" s="381"/>
      <c r="BR136" s="381">
        <f>_xlfn.XLOOKUP(A136,'Summer data team '!B:B,'Summer data team '!BV:BV,0)</f>
        <v>15</v>
      </c>
      <c r="BS136" s="381">
        <f>_xlfn.XLOOKUP(A136,'Summer data team '!B:B,'Summer data team '!BW:BW,0)</f>
        <v>1</v>
      </c>
      <c r="BT136" s="381">
        <f t="shared" si="22"/>
        <v>0</v>
      </c>
      <c r="BU136" s="381">
        <f t="shared" si="23"/>
        <v>0</v>
      </c>
    </row>
    <row r="137" spans="1:73" ht="13" hidden="1" x14ac:dyDescent="0.3">
      <c r="A137" s="364">
        <v>3302455</v>
      </c>
      <c r="B137" s="364" t="s">
        <v>338</v>
      </c>
      <c r="C137" s="365">
        <v>0</v>
      </c>
      <c r="D137" s="365">
        <v>0</v>
      </c>
      <c r="E137" s="365">
        <v>0</v>
      </c>
      <c r="F137" s="365">
        <v>15</v>
      </c>
      <c r="G137" s="365">
        <v>22</v>
      </c>
      <c r="H137" s="377">
        <v>0</v>
      </c>
      <c r="I137" s="377">
        <v>37</v>
      </c>
      <c r="J137" s="365">
        <v>3</v>
      </c>
      <c r="K137" s="365">
        <v>8</v>
      </c>
      <c r="L137" s="377">
        <v>11</v>
      </c>
      <c r="M137" s="365">
        <v>0</v>
      </c>
      <c r="N137" s="365">
        <v>0</v>
      </c>
      <c r="O137" s="365">
        <v>225</v>
      </c>
      <c r="P137" s="365">
        <v>330</v>
      </c>
      <c r="Q137" s="377">
        <v>555</v>
      </c>
      <c r="R137" s="365">
        <v>0</v>
      </c>
      <c r="S137" s="365">
        <v>0</v>
      </c>
      <c r="T137" s="365">
        <v>45</v>
      </c>
      <c r="U137" s="365">
        <v>120</v>
      </c>
      <c r="V137" s="377">
        <v>165</v>
      </c>
      <c r="W137" s="365">
        <v>3</v>
      </c>
      <c r="X137" s="365">
        <v>45</v>
      </c>
      <c r="Y137" s="378">
        <v>0</v>
      </c>
      <c r="Z137" s="365">
        <v>9</v>
      </c>
      <c r="AA137" s="365">
        <v>135</v>
      </c>
      <c r="AB137" s="378">
        <v>30</v>
      </c>
      <c r="AC137" s="365">
        <v>14</v>
      </c>
      <c r="AD137" s="365">
        <v>210</v>
      </c>
      <c r="AE137" s="378">
        <v>90</v>
      </c>
      <c r="AF137" s="379">
        <v>0</v>
      </c>
      <c r="AG137" s="379">
        <v>0</v>
      </c>
      <c r="AH137" s="378">
        <v>0</v>
      </c>
      <c r="AI137" s="379">
        <v>10</v>
      </c>
      <c r="AJ137" s="379">
        <v>150</v>
      </c>
      <c r="AK137" s="378">
        <v>15</v>
      </c>
      <c r="AL137" s="365">
        <v>10</v>
      </c>
      <c r="AM137" s="365">
        <v>150</v>
      </c>
      <c r="AN137" s="378">
        <v>15</v>
      </c>
      <c r="AO137" s="378"/>
      <c r="AP137" s="378">
        <f t="shared" si="24"/>
        <v>10</v>
      </c>
      <c r="AQ137" s="465">
        <v>0</v>
      </c>
      <c r="AR137" s="379">
        <v>0</v>
      </c>
      <c r="AS137" s="378">
        <v>0</v>
      </c>
      <c r="AT137" s="466">
        <v>9</v>
      </c>
      <c r="AU137" s="466">
        <v>1</v>
      </c>
      <c r="AV137" s="379">
        <v>10</v>
      </c>
      <c r="AW137" s="379">
        <v>150</v>
      </c>
      <c r="AX137" s="378">
        <v>15</v>
      </c>
      <c r="AY137" s="365">
        <v>10</v>
      </c>
      <c r="AZ137" s="365">
        <v>150</v>
      </c>
      <c r="BA137" s="378">
        <v>15</v>
      </c>
      <c r="BB137" s="378"/>
      <c r="BC137" s="378">
        <f t="shared" si="25"/>
        <v>10</v>
      </c>
      <c r="BD137" s="379">
        <v>0</v>
      </c>
      <c r="BE137" s="379">
        <v>0</v>
      </c>
      <c r="BF137" s="365">
        <v>0</v>
      </c>
      <c r="BO137" s="381">
        <f t="shared" si="20"/>
        <v>9</v>
      </c>
      <c r="BP137" s="381">
        <f t="shared" si="21"/>
        <v>1</v>
      </c>
      <c r="BQ137" s="381"/>
      <c r="BR137" s="381">
        <f>_xlfn.XLOOKUP(A137,'Summer data team '!B:B,'Summer data team '!BV:BV,0)</f>
        <v>9</v>
      </c>
      <c r="BS137" s="381">
        <f>_xlfn.XLOOKUP(A137,'Summer data team '!B:B,'Summer data team '!BW:BW,0)</f>
        <v>1</v>
      </c>
      <c r="BT137" s="381">
        <f t="shared" si="22"/>
        <v>0</v>
      </c>
      <c r="BU137" s="381">
        <f t="shared" si="23"/>
        <v>0</v>
      </c>
    </row>
    <row r="138" spans="1:73" ht="13" hidden="1" x14ac:dyDescent="0.3">
      <c r="A138" s="364">
        <v>3302457</v>
      </c>
      <c r="B138" s="364" t="s">
        <v>113</v>
      </c>
      <c r="C138" s="365">
        <v>0</v>
      </c>
      <c r="D138" s="365">
        <v>0</v>
      </c>
      <c r="E138" s="365">
        <v>0</v>
      </c>
      <c r="F138" s="365">
        <v>8</v>
      </c>
      <c r="G138" s="365">
        <v>16</v>
      </c>
      <c r="H138" s="377">
        <v>0</v>
      </c>
      <c r="I138" s="377">
        <v>24</v>
      </c>
      <c r="J138" s="365">
        <v>0</v>
      </c>
      <c r="K138" s="365">
        <v>0</v>
      </c>
      <c r="L138" s="377">
        <v>0</v>
      </c>
      <c r="M138" s="365">
        <v>0</v>
      </c>
      <c r="N138" s="365">
        <v>0</v>
      </c>
      <c r="O138" s="365">
        <v>120</v>
      </c>
      <c r="P138" s="365">
        <v>240</v>
      </c>
      <c r="Q138" s="377">
        <v>360</v>
      </c>
      <c r="R138" s="365">
        <v>0</v>
      </c>
      <c r="S138" s="365">
        <v>0</v>
      </c>
      <c r="T138" s="365">
        <v>0</v>
      </c>
      <c r="U138" s="365">
        <v>0</v>
      </c>
      <c r="V138" s="377">
        <v>0</v>
      </c>
      <c r="W138" s="365">
        <v>7</v>
      </c>
      <c r="X138" s="365">
        <v>105</v>
      </c>
      <c r="Y138" s="378">
        <v>0</v>
      </c>
      <c r="Z138" s="365">
        <v>11</v>
      </c>
      <c r="AA138" s="365">
        <v>165</v>
      </c>
      <c r="AB138" s="378">
        <v>0</v>
      </c>
      <c r="AC138" s="365">
        <v>4</v>
      </c>
      <c r="AD138" s="365">
        <v>60</v>
      </c>
      <c r="AE138" s="378">
        <v>0</v>
      </c>
      <c r="AF138" s="379">
        <v>0</v>
      </c>
      <c r="AG138" s="379">
        <v>0</v>
      </c>
      <c r="AH138" s="378">
        <v>0</v>
      </c>
      <c r="AI138" s="379">
        <v>14</v>
      </c>
      <c r="AJ138" s="379">
        <v>210</v>
      </c>
      <c r="AK138" s="378">
        <v>0</v>
      </c>
      <c r="AL138" s="365">
        <v>14</v>
      </c>
      <c r="AM138" s="365">
        <v>210</v>
      </c>
      <c r="AN138" s="378">
        <v>0</v>
      </c>
      <c r="AO138" s="378"/>
      <c r="AP138" s="378">
        <f t="shared" si="24"/>
        <v>14</v>
      </c>
      <c r="AQ138" s="465">
        <v>0</v>
      </c>
      <c r="AR138" s="379">
        <v>0</v>
      </c>
      <c r="AS138" s="378">
        <v>0</v>
      </c>
      <c r="AT138" s="466">
        <v>0</v>
      </c>
      <c r="AU138" s="466">
        <v>0</v>
      </c>
      <c r="AV138" s="379">
        <v>0</v>
      </c>
      <c r="AW138" s="379">
        <v>0</v>
      </c>
      <c r="AX138" s="378">
        <v>0</v>
      </c>
      <c r="AY138" s="365">
        <v>0</v>
      </c>
      <c r="AZ138" s="365">
        <v>0</v>
      </c>
      <c r="BA138" s="378">
        <v>0</v>
      </c>
      <c r="BB138" s="378"/>
      <c r="BC138" s="378">
        <f t="shared" si="25"/>
        <v>0</v>
      </c>
      <c r="BD138" s="379">
        <v>0</v>
      </c>
      <c r="BE138" s="379">
        <v>0</v>
      </c>
      <c r="BF138" s="365">
        <v>0</v>
      </c>
      <c r="BO138" s="381">
        <f t="shared" si="20"/>
        <v>0</v>
      </c>
      <c r="BP138" s="381">
        <f t="shared" si="21"/>
        <v>0</v>
      </c>
      <c r="BQ138" s="381"/>
      <c r="BR138" s="381">
        <f>_xlfn.XLOOKUP(A138,'Summer data team '!B:B,'Summer data team '!BV:BV,0)</f>
        <v>0</v>
      </c>
      <c r="BS138" s="381">
        <f>_xlfn.XLOOKUP(A138,'Summer data team '!B:B,'Summer data team '!BW:BW,0)</f>
        <v>0</v>
      </c>
      <c r="BT138" s="381">
        <f t="shared" si="22"/>
        <v>0</v>
      </c>
      <c r="BU138" s="381">
        <f t="shared" si="23"/>
        <v>0</v>
      </c>
    </row>
    <row r="139" spans="1:73" ht="13" hidden="1" x14ac:dyDescent="0.3">
      <c r="A139" s="364">
        <v>3302458</v>
      </c>
      <c r="B139" s="364" t="s">
        <v>340</v>
      </c>
      <c r="C139" s="365">
        <v>0</v>
      </c>
      <c r="D139" s="365">
        <v>0</v>
      </c>
      <c r="E139" s="365">
        <v>0</v>
      </c>
      <c r="F139" s="365">
        <v>18</v>
      </c>
      <c r="G139" s="365">
        <v>32</v>
      </c>
      <c r="H139" s="377">
        <v>0</v>
      </c>
      <c r="I139" s="377">
        <v>50</v>
      </c>
      <c r="J139" s="365">
        <v>0</v>
      </c>
      <c r="K139" s="365">
        <v>0</v>
      </c>
      <c r="L139" s="377">
        <v>0</v>
      </c>
      <c r="M139" s="365">
        <v>0</v>
      </c>
      <c r="N139" s="365">
        <v>0</v>
      </c>
      <c r="O139" s="365">
        <v>270</v>
      </c>
      <c r="P139" s="365">
        <v>480</v>
      </c>
      <c r="Q139" s="377">
        <v>750</v>
      </c>
      <c r="R139" s="365">
        <v>0</v>
      </c>
      <c r="S139" s="365">
        <v>0</v>
      </c>
      <c r="T139" s="365">
        <v>0</v>
      </c>
      <c r="U139" s="365">
        <v>0</v>
      </c>
      <c r="V139" s="377">
        <v>0</v>
      </c>
      <c r="W139" s="365">
        <v>1</v>
      </c>
      <c r="X139" s="365">
        <v>15</v>
      </c>
      <c r="Y139" s="378">
        <v>0</v>
      </c>
      <c r="Z139" s="365">
        <v>2</v>
      </c>
      <c r="AA139" s="365">
        <v>30</v>
      </c>
      <c r="AB139" s="378">
        <v>0</v>
      </c>
      <c r="AC139" s="365">
        <v>40</v>
      </c>
      <c r="AD139" s="365">
        <v>600</v>
      </c>
      <c r="AE139" s="378">
        <v>0</v>
      </c>
      <c r="AF139" s="379">
        <v>0</v>
      </c>
      <c r="AG139" s="379">
        <v>0</v>
      </c>
      <c r="AH139" s="378">
        <v>0</v>
      </c>
      <c r="AI139" s="379">
        <v>10</v>
      </c>
      <c r="AJ139" s="379">
        <v>150</v>
      </c>
      <c r="AK139" s="378">
        <v>0</v>
      </c>
      <c r="AL139" s="365">
        <v>10</v>
      </c>
      <c r="AM139" s="365">
        <v>150</v>
      </c>
      <c r="AN139" s="378">
        <v>0</v>
      </c>
      <c r="AO139" s="378"/>
      <c r="AP139" s="378">
        <f t="shared" si="24"/>
        <v>10</v>
      </c>
      <c r="AQ139" s="465">
        <v>0</v>
      </c>
      <c r="AR139" s="379">
        <v>0</v>
      </c>
      <c r="AS139" s="378">
        <v>0</v>
      </c>
      <c r="AT139" s="466">
        <v>1</v>
      </c>
      <c r="AU139" s="466">
        <v>0</v>
      </c>
      <c r="AV139" s="379">
        <v>1</v>
      </c>
      <c r="AW139" s="379">
        <v>15</v>
      </c>
      <c r="AX139" s="378">
        <v>0</v>
      </c>
      <c r="AY139" s="365">
        <v>1</v>
      </c>
      <c r="AZ139" s="365">
        <v>15</v>
      </c>
      <c r="BA139" s="378">
        <v>0</v>
      </c>
      <c r="BB139" s="378"/>
      <c r="BC139" s="378">
        <f t="shared" si="25"/>
        <v>1</v>
      </c>
      <c r="BD139" s="379">
        <v>0</v>
      </c>
      <c r="BE139" s="379">
        <v>0</v>
      </c>
      <c r="BF139" s="365">
        <v>0</v>
      </c>
      <c r="BO139" s="381">
        <f t="shared" si="20"/>
        <v>1</v>
      </c>
      <c r="BP139" s="381">
        <f t="shared" si="21"/>
        <v>0</v>
      </c>
      <c r="BQ139" s="381"/>
      <c r="BR139" s="381">
        <f>_xlfn.XLOOKUP(A139,'Summer data team '!B:B,'Summer data team '!BV:BV,0)</f>
        <v>1</v>
      </c>
      <c r="BS139" s="381">
        <f>_xlfn.XLOOKUP(A139,'Summer data team '!B:B,'Summer data team '!BW:BW,0)</f>
        <v>0</v>
      </c>
      <c r="BT139" s="381">
        <f t="shared" si="22"/>
        <v>0</v>
      </c>
      <c r="BU139" s="381">
        <f t="shared" si="23"/>
        <v>0</v>
      </c>
    </row>
    <row r="140" spans="1:73" ht="13" hidden="1" x14ac:dyDescent="0.3">
      <c r="A140" s="364">
        <v>3302460</v>
      </c>
      <c r="B140" s="364" t="s">
        <v>341</v>
      </c>
      <c r="C140" s="365">
        <v>0</v>
      </c>
      <c r="D140" s="365">
        <v>0</v>
      </c>
      <c r="E140" s="365">
        <v>0</v>
      </c>
      <c r="F140" s="365">
        <v>11</v>
      </c>
      <c r="G140" s="365">
        <v>17</v>
      </c>
      <c r="H140" s="377">
        <v>0</v>
      </c>
      <c r="I140" s="377">
        <v>28</v>
      </c>
      <c r="J140" s="365">
        <v>2</v>
      </c>
      <c r="K140" s="365">
        <v>2</v>
      </c>
      <c r="L140" s="377">
        <v>4</v>
      </c>
      <c r="M140" s="365">
        <v>0</v>
      </c>
      <c r="N140" s="365">
        <v>0</v>
      </c>
      <c r="O140" s="365">
        <v>165</v>
      </c>
      <c r="P140" s="365">
        <v>255</v>
      </c>
      <c r="Q140" s="377">
        <v>420</v>
      </c>
      <c r="R140" s="365">
        <v>0</v>
      </c>
      <c r="S140" s="365">
        <v>0</v>
      </c>
      <c r="T140" s="365">
        <v>30</v>
      </c>
      <c r="U140" s="365">
        <v>30</v>
      </c>
      <c r="V140" s="377">
        <v>60</v>
      </c>
      <c r="W140" s="365">
        <v>0</v>
      </c>
      <c r="X140" s="365">
        <v>0</v>
      </c>
      <c r="Y140" s="378">
        <v>0</v>
      </c>
      <c r="Z140" s="365">
        <v>2</v>
      </c>
      <c r="AA140" s="365">
        <v>30</v>
      </c>
      <c r="AB140" s="378">
        <v>15</v>
      </c>
      <c r="AC140" s="365">
        <v>9</v>
      </c>
      <c r="AD140" s="365">
        <v>135</v>
      </c>
      <c r="AE140" s="378">
        <v>30</v>
      </c>
      <c r="AF140" s="379">
        <v>0</v>
      </c>
      <c r="AG140" s="379">
        <v>0</v>
      </c>
      <c r="AH140" s="378">
        <v>0</v>
      </c>
      <c r="AI140" s="379">
        <v>10</v>
      </c>
      <c r="AJ140" s="379">
        <v>150</v>
      </c>
      <c r="AK140" s="378">
        <v>0</v>
      </c>
      <c r="AL140" s="365">
        <v>10</v>
      </c>
      <c r="AM140" s="365">
        <v>150</v>
      </c>
      <c r="AN140" s="378">
        <v>0</v>
      </c>
      <c r="AO140" s="378"/>
      <c r="AP140" s="378">
        <f t="shared" si="24"/>
        <v>10</v>
      </c>
      <c r="AQ140" s="465">
        <v>0</v>
      </c>
      <c r="AR140" s="379">
        <v>0</v>
      </c>
      <c r="AS140" s="378">
        <v>0</v>
      </c>
      <c r="AT140" s="466">
        <v>10</v>
      </c>
      <c r="AU140" s="466">
        <v>0</v>
      </c>
      <c r="AV140" s="379">
        <v>10</v>
      </c>
      <c r="AW140" s="379">
        <v>150</v>
      </c>
      <c r="AX140" s="378">
        <v>0</v>
      </c>
      <c r="AY140" s="365">
        <v>10</v>
      </c>
      <c r="AZ140" s="365">
        <v>150</v>
      </c>
      <c r="BA140" s="378">
        <v>0</v>
      </c>
      <c r="BB140" s="378"/>
      <c r="BC140" s="378">
        <f t="shared" si="25"/>
        <v>10</v>
      </c>
      <c r="BD140" s="379">
        <v>0</v>
      </c>
      <c r="BE140" s="379">
        <v>0</v>
      </c>
      <c r="BF140" s="365">
        <v>0</v>
      </c>
      <c r="BO140" s="381">
        <f t="shared" si="20"/>
        <v>10</v>
      </c>
      <c r="BP140" s="381">
        <f t="shared" si="21"/>
        <v>0</v>
      </c>
      <c r="BQ140" s="381"/>
      <c r="BR140" s="381">
        <f>_xlfn.XLOOKUP(A140,'Summer data team '!B:B,'Summer data team '!BV:BV,0)</f>
        <v>10</v>
      </c>
      <c r="BS140" s="381">
        <f>_xlfn.XLOOKUP(A140,'Summer data team '!B:B,'Summer data team '!BW:BW,0)</f>
        <v>0</v>
      </c>
      <c r="BT140" s="381">
        <f t="shared" si="22"/>
        <v>0</v>
      </c>
      <c r="BU140" s="381">
        <f t="shared" si="23"/>
        <v>0</v>
      </c>
    </row>
    <row r="141" spans="1:73" ht="13" hidden="1" x14ac:dyDescent="0.3">
      <c r="A141" s="364">
        <v>3302463</v>
      </c>
      <c r="B141" s="364" t="s">
        <v>342</v>
      </c>
      <c r="C141" s="365">
        <v>0</v>
      </c>
      <c r="D141" s="365">
        <v>0</v>
      </c>
      <c r="E141" s="365">
        <v>0</v>
      </c>
      <c r="F141" s="365">
        <v>12</v>
      </c>
      <c r="G141" s="365">
        <v>13</v>
      </c>
      <c r="H141" s="377">
        <v>0</v>
      </c>
      <c r="I141" s="377">
        <v>25</v>
      </c>
      <c r="J141" s="365">
        <v>5</v>
      </c>
      <c r="K141" s="365">
        <v>9</v>
      </c>
      <c r="L141" s="377">
        <v>14</v>
      </c>
      <c r="M141" s="365">
        <v>0</v>
      </c>
      <c r="N141" s="365">
        <v>0</v>
      </c>
      <c r="O141" s="365">
        <v>180</v>
      </c>
      <c r="P141" s="365">
        <v>195</v>
      </c>
      <c r="Q141" s="377">
        <v>375</v>
      </c>
      <c r="R141" s="365">
        <v>0</v>
      </c>
      <c r="S141" s="365">
        <v>0</v>
      </c>
      <c r="T141" s="365">
        <v>75</v>
      </c>
      <c r="U141" s="365">
        <v>135</v>
      </c>
      <c r="V141" s="377">
        <v>210</v>
      </c>
      <c r="W141" s="365">
        <v>0</v>
      </c>
      <c r="X141" s="365">
        <v>0</v>
      </c>
      <c r="Y141" s="378">
        <v>0</v>
      </c>
      <c r="Z141" s="365">
        <v>0</v>
      </c>
      <c r="AA141" s="365">
        <v>0</v>
      </c>
      <c r="AB141" s="378">
        <v>0</v>
      </c>
      <c r="AC141" s="365">
        <v>1</v>
      </c>
      <c r="AD141" s="365">
        <v>15</v>
      </c>
      <c r="AE141" s="378">
        <v>0</v>
      </c>
      <c r="AF141" s="379">
        <v>0</v>
      </c>
      <c r="AG141" s="379">
        <v>0</v>
      </c>
      <c r="AH141" s="378">
        <v>0</v>
      </c>
      <c r="AI141" s="379">
        <v>0</v>
      </c>
      <c r="AJ141" s="379">
        <v>0</v>
      </c>
      <c r="AK141" s="378">
        <v>0</v>
      </c>
      <c r="AL141" s="365">
        <v>0</v>
      </c>
      <c r="AM141" s="365">
        <v>0</v>
      </c>
      <c r="AN141" s="378">
        <v>0</v>
      </c>
      <c r="AO141" s="378"/>
      <c r="AP141" s="378">
        <f t="shared" si="24"/>
        <v>0</v>
      </c>
      <c r="AQ141" s="465">
        <v>0</v>
      </c>
      <c r="AR141" s="379">
        <v>0</v>
      </c>
      <c r="AS141" s="378">
        <v>0</v>
      </c>
      <c r="AT141" s="466">
        <v>0</v>
      </c>
      <c r="AU141" s="466">
        <v>0</v>
      </c>
      <c r="AV141" s="379">
        <v>0</v>
      </c>
      <c r="AW141" s="379">
        <v>0</v>
      </c>
      <c r="AX141" s="378">
        <v>0</v>
      </c>
      <c r="AY141" s="365">
        <v>0</v>
      </c>
      <c r="AZ141" s="365">
        <v>0</v>
      </c>
      <c r="BA141" s="378">
        <v>0</v>
      </c>
      <c r="BB141" s="378"/>
      <c r="BC141" s="378">
        <f t="shared" si="25"/>
        <v>0</v>
      </c>
      <c r="BD141" s="379">
        <v>0</v>
      </c>
      <c r="BE141" s="379">
        <v>0</v>
      </c>
      <c r="BF141" s="365">
        <v>0</v>
      </c>
      <c r="BO141" s="381">
        <f t="shared" si="20"/>
        <v>0</v>
      </c>
      <c r="BP141" s="381">
        <f t="shared" si="21"/>
        <v>0</v>
      </c>
      <c r="BQ141" s="381"/>
      <c r="BR141" s="381">
        <f>_xlfn.XLOOKUP(A141,'Summer data team '!B:B,'Summer data team '!BV:BV,0)</f>
        <v>0</v>
      </c>
      <c r="BS141" s="381">
        <f>_xlfn.XLOOKUP(A141,'Summer data team '!B:B,'Summer data team '!BW:BW,0)</f>
        <v>0</v>
      </c>
      <c r="BT141" s="381">
        <f t="shared" si="22"/>
        <v>0</v>
      </c>
      <c r="BU141" s="381">
        <f t="shared" si="23"/>
        <v>0</v>
      </c>
    </row>
    <row r="142" spans="1:73" ht="13" hidden="1" x14ac:dyDescent="0.3">
      <c r="A142" s="364">
        <v>3302465</v>
      </c>
      <c r="B142" s="364" t="s">
        <v>51</v>
      </c>
      <c r="C142" s="365">
        <v>0</v>
      </c>
      <c r="D142" s="365">
        <v>0</v>
      </c>
      <c r="E142" s="365">
        <v>0</v>
      </c>
      <c r="F142" s="365">
        <v>12</v>
      </c>
      <c r="G142" s="365">
        <v>18</v>
      </c>
      <c r="H142" s="377">
        <v>0</v>
      </c>
      <c r="I142" s="377">
        <v>30</v>
      </c>
      <c r="J142" s="365">
        <v>0</v>
      </c>
      <c r="K142" s="365">
        <v>0</v>
      </c>
      <c r="L142" s="377">
        <v>0</v>
      </c>
      <c r="M142" s="365">
        <v>0</v>
      </c>
      <c r="N142" s="365">
        <v>0</v>
      </c>
      <c r="O142" s="365">
        <v>180</v>
      </c>
      <c r="P142" s="365">
        <v>270</v>
      </c>
      <c r="Q142" s="377">
        <v>450</v>
      </c>
      <c r="R142" s="365">
        <v>0</v>
      </c>
      <c r="S142" s="365">
        <v>0</v>
      </c>
      <c r="T142" s="365">
        <v>0</v>
      </c>
      <c r="U142" s="365">
        <v>0</v>
      </c>
      <c r="V142" s="377">
        <v>0</v>
      </c>
      <c r="W142" s="365">
        <v>0</v>
      </c>
      <c r="X142" s="365">
        <v>0</v>
      </c>
      <c r="Y142" s="378">
        <v>0</v>
      </c>
      <c r="Z142" s="365">
        <v>1</v>
      </c>
      <c r="AA142" s="365">
        <v>15</v>
      </c>
      <c r="AB142" s="378">
        <v>0</v>
      </c>
      <c r="AC142" s="365">
        <v>0</v>
      </c>
      <c r="AD142" s="365">
        <v>0</v>
      </c>
      <c r="AE142" s="378">
        <v>0</v>
      </c>
      <c r="AF142" s="379">
        <v>0</v>
      </c>
      <c r="AG142" s="379">
        <v>0</v>
      </c>
      <c r="AH142" s="378">
        <v>0</v>
      </c>
      <c r="AI142" s="379">
        <v>8</v>
      </c>
      <c r="AJ142" s="379">
        <v>120</v>
      </c>
      <c r="AK142" s="378">
        <v>0</v>
      </c>
      <c r="AL142" s="365">
        <v>8</v>
      </c>
      <c r="AM142" s="365">
        <v>120</v>
      </c>
      <c r="AN142" s="378">
        <v>0</v>
      </c>
      <c r="AO142" s="378"/>
      <c r="AP142" s="378">
        <f t="shared" si="24"/>
        <v>8</v>
      </c>
      <c r="AQ142" s="465">
        <v>0</v>
      </c>
      <c r="AR142" s="379">
        <v>0</v>
      </c>
      <c r="AS142" s="378">
        <v>0</v>
      </c>
      <c r="AT142" s="466">
        <v>0</v>
      </c>
      <c r="AU142" s="466">
        <v>0</v>
      </c>
      <c r="AV142" s="379">
        <v>0</v>
      </c>
      <c r="AW142" s="379">
        <v>0</v>
      </c>
      <c r="AX142" s="378">
        <v>0</v>
      </c>
      <c r="AY142" s="365">
        <v>0</v>
      </c>
      <c r="AZ142" s="365">
        <v>0</v>
      </c>
      <c r="BA142" s="378">
        <v>0</v>
      </c>
      <c r="BB142" s="378"/>
      <c r="BC142" s="378">
        <f t="shared" si="25"/>
        <v>0</v>
      </c>
      <c r="BD142" s="379">
        <v>0</v>
      </c>
      <c r="BE142" s="379">
        <v>0</v>
      </c>
      <c r="BF142" s="365">
        <v>0</v>
      </c>
      <c r="BO142" s="381">
        <f t="shared" si="20"/>
        <v>0</v>
      </c>
      <c r="BP142" s="381">
        <f t="shared" si="21"/>
        <v>0</v>
      </c>
      <c r="BQ142" s="381"/>
      <c r="BR142" s="381">
        <f>_xlfn.XLOOKUP(A142,'Summer data team '!B:B,'Summer data team '!BV:BV,0)</f>
        <v>0</v>
      </c>
      <c r="BS142" s="381">
        <f>_xlfn.XLOOKUP(A142,'Summer data team '!B:B,'Summer data team '!BW:BW,0)</f>
        <v>0</v>
      </c>
      <c r="BT142" s="381">
        <f t="shared" si="22"/>
        <v>0</v>
      </c>
      <c r="BU142" s="381">
        <f t="shared" si="23"/>
        <v>0</v>
      </c>
    </row>
    <row r="143" spans="1:73" ht="13" hidden="1" x14ac:dyDescent="0.3">
      <c r="A143" s="364">
        <v>3302466</v>
      </c>
      <c r="B143" s="364" t="s">
        <v>343</v>
      </c>
      <c r="C143" s="365">
        <v>0</v>
      </c>
      <c r="D143" s="365">
        <v>0</v>
      </c>
      <c r="E143" s="365">
        <v>0</v>
      </c>
      <c r="F143" s="365">
        <v>19</v>
      </c>
      <c r="G143" s="365">
        <v>26</v>
      </c>
      <c r="H143" s="377">
        <v>0</v>
      </c>
      <c r="I143" s="377">
        <v>45</v>
      </c>
      <c r="J143" s="365">
        <v>1</v>
      </c>
      <c r="K143" s="365">
        <v>5</v>
      </c>
      <c r="L143" s="377">
        <v>6</v>
      </c>
      <c r="M143" s="365">
        <v>0</v>
      </c>
      <c r="N143" s="365">
        <v>0</v>
      </c>
      <c r="O143" s="365">
        <v>285</v>
      </c>
      <c r="P143" s="365">
        <v>390</v>
      </c>
      <c r="Q143" s="377">
        <v>675</v>
      </c>
      <c r="R143" s="365">
        <v>0</v>
      </c>
      <c r="S143" s="365">
        <v>0</v>
      </c>
      <c r="T143" s="365">
        <v>15</v>
      </c>
      <c r="U143" s="365">
        <v>75</v>
      </c>
      <c r="V143" s="377">
        <v>90</v>
      </c>
      <c r="W143" s="365">
        <v>1</v>
      </c>
      <c r="X143" s="365">
        <v>15</v>
      </c>
      <c r="Y143" s="378">
        <v>0</v>
      </c>
      <c r="Z143" s="365">
        <v>8</v>
      </c>
      <c r="AA143" s="365">
        <v>120</v>
      </c>
      <c r="AB143" s="378">
        <v>15</v>
      </c>
      <c r="AC143" s="365">
        <v>34</v>
      </c>
      <c r="AD143" s="365">
        <v>510</v>
      </c>
      <c r="AE143" s="378">
        <v>60</v>
      </c>
      <c r="AF143" s="379">
        <v>0</v>
      </c>
      <c r="AG143" s="379">
        <v>0</v>
      </c>
      <c r="AH143" s="378">
        <v>0</v>
      </c>
      <c r="AI143" s="379">
        <v>15</v>
      </c>
      <c r="AJ143" s="379">
        <v>225</v>
      </c>
      <c r="AK143" s="378">
        <v>0</v>
      </c>
      <c r="AL143" s="365">
        <v>15</v>
      </c>
      <c r="AM143" s="365">
        <v>225</v>
      </c>
      <c r="AN143" s="378">
        <v>0</v>
      </c>
      <c r="AO143" s="378"/>
      <c r="AP143" s="378">
        <f t="shared" si="24"/>
        <v>15</v>
      </c>
      <c r="AQ143" s="465">
        <v>0</v>
      </c>
      <c r="AR143" s="379">
        <v>0</v>
      </c>
      <c r="AS143" s="378">
        <v>0</v>
      </c>
      <c r="AT143" s="466">
        <v>0</v>
      </c>
      <c r="AU143" s="466">
        <v>0</v>
      </c>
      <c r="AV143" s="379">
        <v>0</v>
      </c>
      <c r="AW143" s="379">
        <v>0</v>
      </c>
      <c r="AX143" s="378">
        <v>0</v>
      </c>
      <c r="AY143" s="365">
        <v>0</v>
      </c>
      <c r="AZ143" s="365">
        <v>0</v>
      </c>
      <c r="BA143" s="378">
        <v>0</v>
      </c>
      <c r="BB143" s="378"/>
      <c r="BC143" s="378">
        <f t="shared" si="25"/>
        <v>0</v>
      </c>
      <c r="BD143" s="379">
        <v>0</v>
      </c>
      <c r="BE143" s="379">
        <v>0</v>
      </c>
      <c r="BF143" s="365">
        <v>0</v>
      </c>
      <c r="BO143" s="381">
        <f t="shared" si="20"/>
        <v>0</v>
      </c>
      <c r="BP143" s="381">
        <f t="shared" si="21"/>
        <v>0</v>
      </c>
      <c r="BQ143" s="381"/>
      <c r="BR143" s="381">
        <f>_xlfn.XLOOKUP(A143,'Summer data team '!B:B,'Summer data team '!BV:BV,0)</f>
        <v>0</v>
      </c>
      <c r="BS143" s="381">
        <f>_xlfn.XLOOKUP(A143,'Summer data team '!B:B,'Summer data team '!BW:BW,0)</f>
        <v>0</v>
      </c>
      <c r="BT143" s="381">
        <f t="shared" si="22"/>
        <v>0</v>
      </c>
      <c r="BU143" s="381">
        <f t="shared" si="23"/>
        <v>0</v>
      </c>
    </row>
    <row r="144" spans="1:73" ht="13" hidden="1" x14ac:dyDescent="0.3">
      <c r="A144" s="364">
        <v>3302471</v>
      </c>
      <c r="B144" s="364" t="s">
        <v>344</v>
      </c>
      <c r="C144" s="365">
        <v>0</v>
      </c>
      <c r="D144" s="365">
        <v>0</v>
      </c>
      <c r="E144" s="365">
        <v>0</v>
      </c>
      <c r="F144" s="365">
        <v>17</v>
      </c>
      <c r="G144" s="365">
        <v>17</v>
      </c>
      <c r="H144" s="377">
        <v>0</v>
      </c>
      <c r="I144" s="377">
        <v>34</v>
      </c>
      <c r="J144" s="365">
        <v>0</v>
      </c>
      <c r="K144" s="365">
        <v>0</v>
      </c>
      <c r="L144" s="377">
        <v>0</v>
      </c>
      <c r="M144" s="365">
        <v>0</v>
      </c>
      <c r="N144" s="365">
        <v>0</v>
      </c>
      <c r="O144" s="365">
        <v>255</v>
      </c>
      <c r="P144" s="365">
        <v>255</v>
      </c>
      <c r="Q144" s="377">
        <v>510</v>
      </c>
      <c r="R144" s="365">
        <v>0</v>
      </c>
      <c r="S144" s="365">
        <v>0</v>
      </c>
      <c r="T144" s="365">
        <v>0</v>
      </c>
      <c r="U144" s="365">
        <v>0</v>
      </c>
      <c r="V144" s="377">
        <v>0</v>
      </c>
      <c r="W144" s="365">
        <v>0</v>
      </c>
      <c r="X144" s="365">
        <v>0</v>
      </c>
      <c r="Y144" s="378">
        <v>0</v>
      </c>
      <c r="Z144" s="365">
        <v>19</v>
      </c>
      <c r="AA144" s="365">
        <v>285</v>
      </c>
      <c r="AB144" s="378">
        <v>0</v>
      </c>
      <c r="AC144" s="365">
        <v>13</v>
      </c>
      <c r="AD144" s="365">
        <v>195</v>
      </c>
      <c r="AE144" s="378">
        <v>0</v>
      </c>
      <c r="AF144" s="379">
        <v>0</v>
      </c>
      <c r="AG144" s="379">
        <v>0</v>
      </c>
      <c r="AH144" s="378">
        <v>0</v>
      </c>
      <c r="AI144" s="379">
        <v>9</v>
      </c>
      <c r="AJ144" s="379">
        <v>135</v>
      </c>
      <c r="AK144" s="378">
        <v>0</v>
      </c>
      <c r="AL144" s="365">
        <v>9</v>
      </c>
      <c r="AM144" s="365">
        <v>135</v>
      </c>
      <c r="AN144" s="378">
        <v>0</v>
      </c>
      <c r="AO144" s="378"/>
      <c r="AP144" s="378">
        <f t="shared" si="24"/>
        <v>9</v>
      </c>
      <c r="AQ144" s="465">
        <v>0</v>
      </c>
      <c r="AR144" s="379">
        <v>0</v>
      </c>
      <c r="AS144" s="378">
        <v>0</v>
      </c>
      <c r="AT144" s="466">
        <v>0</v>
      </c>
      <c r="AU144" s="466">
        <v>0</v>
      </c>
      <c r="AV144" s="379">
        <v>0</v>
      </c>
      <c r="AW144" s="379">
        <v>0</v>
      </c>
      <c r="AX144" s="378">
        <v>0</v>
      </c>
      <c r="AY144" s="365">
        <v>0</v>
      </c>
      <c r="AZ144" s="365">
        <v>0</v>
      </c>
      <c r="BA144" s="378">
        <v>0</v>
      </c>
      <c r="BB144" s="378"/>
      <c r="BC144" s="378">
        <f t="shared" si="25"/>
        <v>0</v>
      </c>
      <c r="BD144" s="379">
        <v>0</v>
      </c>
      <c r="BE144" s="379">
        <v>0</v>
      </c>
      <c r="BF144" s="365">
        <v>0</v>
      </c>
      <c r="BO144" s="381">
        <f t="shared" si="20"/>
        <v>0</v>
      </c>
      <c r="BP144" s="381">
        <f t="shared" si="21"/>
        <v>0</v>
      </c>
      <c r="BQ144" s="381"/>
      <c r="BR144" s="381">
        <f>_xlfn.XLOOKUP(A144,'Summer data team '!B:B,'Summer data team '!BV:BV,0)</f>
        <v>0</v>
      </c>
      <c r="BS144" s="381">
        <f>_xlfn.XLOOKUP(A144,'Summer data team '!B:B,'Summer data team '!BW:BW,0)</f>
        <v>0</v>
      </c>
      <c r="BT144" s="381">
        <f t="shared" si="22"/>
        <v>0</v>
      </c>
      <c r="BU144" s="381">
        <f t="shared" si="23"/>
        <v>0</v>
      </c>
    </row>
    <row r="145" spans="1:73" ht="13" hidden="1" x14ac:dyDescent="0.3">
      <c r="A145" s="364">
        <v>3302478</v>
      </c>
      <c r="B145" s="364" t="s">
        <v>171</v>
      </c>
      <c r="C145" s="365">
        <v>0</v>
      </c>
      <c r="D145" s="365">
        <v>0</v>
      </c>
      <c r="E145" s="365">
        <v>0</v>
      </c>
      <c r="F145" s="365">
        <v>11</v>
      </c>
      <c r="G145" s="365">
        <v>15</v>
      </c>
      <c r="H145" s="377">
        <v>0</v>
      </c>
      <c r="I145" s="377">
        <v>26</v>
      </c>
      <c r="J145" s="365">
        <v>10</v>
      </c>
      <c r="K145" s="365">
        <v>8</v>
      </c>
      <c r="L145" s="377">
        <v>18</v>
      </c>
      <c r="M145" s="365">
        <v>0</v>
      </c>
      <c r="N145" s="365">
        <v>0</v>
      </c>
      <c r="O145" s="365">
        <v>165</v>
      </c>
      <c r="P145" s="365">
        <v>225</v>
      </c>
      <c r="Q145" s="377">
        <v>390</v>
      </c>
      <c r="R145" s="365">
        <v>0</v>
      </c>
      <c r="S145" s="365">
        <v>0</v>
      </c>
      <c r="T145" s="365">
        <v>150</v>
      </c>
      <c r="U145" s="365">
        <v>120</v>
      </c>
      <c r="V145" s="377">
        <v>270</v>
      </c>
      <c r="W145" s="365">
        <v>0</v>
      </c>
      <c r="X145" s="365">
        <v>0</v>
      </c>
      <c r="Y145" s="378">
        <v>0</v>
      </c>
      <c r="Z145" s="365">
        <v>0</v>
      </c>
      <c r="AA145" s="365">
        <v>0</v>
      </c>
      <c r="AB145" s="378">
        <v>0</v>
      </c>
      <c r="AC145" s="365">
        <v>2</v>
      </c>
      <c r="AD145" s="365">
        <v>30</v>
      </c>
      <c r="AE145" s="378">
        <v>30</v>
      </c>
      <c r="AF145" s="379">
        <v>0</v>
      </c>
      <c r="AG145" s="379">
        <v>0</v>
      </c>
      <c r="AH145" s="378">
        <v>0</v>
      </c>
      <c r="AI145" s="379">
        <v>2</v>
      </c>
      <c r="AJ145" s="379">
        <v>30</v>
      </c>
      <c r="AK145" s="378">
        <v>30</v>
      </c>
      <c r="AL145" s="365">
        <v>2</v>
      </c>
      <c r="AM145" s="365">
        <v>30</v>
      </c>
      <c r="AN145" s="378">
        <v>30</v>
      </c>
      <c r="AO145" s="378"/>
      <c r="AP145" s="378">
        <f t="shared" si="24"/>
        <v>2</v>
      </c>
      <c r="AQ145" s="465">
        <v>0</v>
      </c>
      <c r="AR145" s="379">
        <v>0</v>
      </c>
      <c r="AS145" s="378">
        <v>0</v>
      </c>
      <c r="AT145" s="466">
        <v>0</v>
      </c>
      <c r="AU145" s="466">
        <v>2</v>
      </c>
      <c r="AV145" s="379">
        <v>2</v>
      </c>
      <c r="AW145" s="379">
        <v>30</v>
      </c>
      <c r="AX145" s="378">
        <v>30</v>
      </c>
      <c r="AY145" s="365">
        <v>2</v>
      </c>
      <c r="AZ145" s="365">
        <v>30</v>
      </c>
      <c r="BA145" s="378">
        <v>30</v>
      </c>
      <c r="BB145" s="378"/>
      <c r="BC145" s="378">
        <f t="shared" si="25"/>
        <v>2</v>
      </c>
      <c r="BD145" s="379">
        <v>0</v>
      </c>
      <c r="BE145" s="379">
        <v>0</v>
      </c>
      <c r="BF145" s="365">
        <v>0</v>
      </c>
      <c r="BO145" s="381">
        <f t="shared" si="20"/>
        <v>0</v>
      </c>
      <c r="BP145" s="381">
        <f t="shared" si="21"/>
        <v>2</v>
      </c>
      <c r="BQ145" s="381"/>
      <c r="BR145" s="381">
        <f>_xlfn.XLOOKUP(A145,'Summer data team '!B:B,'Summer data team '!BV:BV,0)</f>
        <v>0</v>
      </c>
      <c r="BS145" s="381">
        <f>_xlfn.XLOOKUP(A145,'Summer data team '!B:B,'Summer data team '!BW:BW,0)</f>
        <v>2</v>
      </c>
      <c r="BT145" s="381">
        <f t="shared" si="22"/>
        <v>0</v>
      </c>
      <c r="BU145" s="381">
        <f t="shared" si="23"/>
        <v>0</v>
      </c>
    </row>
    <row r="146" spans="1:73" ht="13" hidden="1" x14ac:dyDescent="0.3">
      <c r="A146" s="364">
        <v>3302479</v>
      </c>
      <c r="B146" s="364" t="s">
        <v>34</v>
      </c>
      <c r="C146" s="365">
        <v>0</v>
      </c>
      <c r="D146" s="365">
        <v>0</v>
      </c>
      <c r="E146" s="365">
        <v>0</v>
      </c>
      <c r="F146" s="365">
        <v>44</v>
      </c>
      <c r="G146" s="365">
        <v>33</v>
      </c>
      <c r="H146" s="377">
        <v>0</v>
      </c>
      <c r="I146" s="377">
        <v>77</v>
      </c>
      <c r="J146" s="365">
        <v>9</v>
      </c>
      <c r="K146" s="365">
        <v>2</v>
      </c>
      <c r="L146" s="377">
        <v>11</v>
      </c>
      <c r="M146" s="365">
        <v>0</v>
      </c>
      <c r="N146" s="365">
        <v>0</v>
      </c>
      <c r="O146" s="365">
        <v>660</v>
      </c>
      <c r="P146" s="365">
        <v>495</v>
      </c>
      <c r="Q146" s="377">
        <v>1155</v>
      </c>
      <c r="R146" s="365">
        <v>0</v>
      </c>
      <c r="S146" s="365">
        <v>0</v>
      </c>
      <c r="T146" s="365">
        <v>135</v>
      </c>
      <c r="U146" s="365">
        <v>30</v>
      </c>
      <c r="V146" s="377">
        <v>165</v>
      </c>
      <c r="W146" s="365">
        <v>18</v>
      </c>
      <c r="X146" s="365">
        <v>270</v>
      </c>
      <c r="Y146" s="378">
        <v>30</v>
      </c>
      <c r="Z146" s="365">
        <v>46</v>
      </c>
      <c r="AA146" s="365">
        <v>690</v>
      </c>
      <c r="AB146" s="378">
        <v>90</v>
      </c>
      <c r="AC146" s="365">
        <v>10</v>
      </c>
      <c r="AD146" s="365">
        <v>150</v>
      </c>
      <c r="AE146" s="378">
        <v>15</v>
      </c>
      <c r="AF146" s="379">
        <v>0</v>
      </c>
      <c r="AG146" s="379">
        <v>0</v>
      </c>
      <c r="AH146" s="378">
        <v>0</v>
      </c>
      <c r="AI146" s="379">
        <v>17</v>
      </c>
      <c r="AJ146" s="379">
        <v>255</v>
      </c>
      <c r="AK146" s="378">
        <v>0</v>
      </c>
      <c r="AL146" s="365">
        <v>17</v>
      </c>
      <c r="AM146" s="365">
        <v>255</v>
      </c>
      <c r="AN146" s="378">
        <v>0</v>
      </c>
      <c r="AO146" s="378"/>
      <c r="AP146" s="378">
        <f t="shared" si="24"/>
        <v>17</v>
      </c>
      <c r="AQ146" s="465">
        <v>0</v>
      </c>
      <c r="AR146" s="379">
        <v>0</v>
      </c>
      <c r="AS146" s="378">
        <v>0</v>
      </c>
      <c r="AT146" s="466">
        <v>17</v>
      </c>
      <c r="AU146" s="466">
        <v>0</v>
      </c>
      <c r="AV146" s="379">
        <v>17</v>
      </c>
      <c r="AW146" s="379">
        <v>255</v>
      </c>
      <c r="AX146" s="378">
        <v>0</v>
      </c>
      <c r="AY146" s="365">
        <v>17</v>
      </c>
      <c r="AZ146" s="365">
        <v>255</v>
      </c>
      <c r="BA146" s="378">
        <v>0</v>
      </c>
      <c r="BB146" s="378"/>
      <c r="BC146" s="378">
        <f t="shared" si="25"/>
        <v>17</v>
      </c>
      <c r="BD146" s="379">
        <v>0</v>
      </c>
      <c r="BE146" s="379">
        <v>0</v>
      </c>
      <c r="BF146" s="365">
        <v>0</v>
      </c>
      <c r="BO146" s="381">
        <f t="shared" si="20"/>
        <v>17</v>
      </c>
      <c r="BP146" s="381">
        <f t="shared" si="21"/>
        <v>0</v>
      </c>
      <c r="BQ146" s="381"/>
      <c r="BR146" s="381">
        <f>_xlfn.XLOOKUP(A146,'Summer data team '!B:B,'Summer data team '!BV:BV,0)</f>
        <v>17</v>
      </c>
      <c r="BS146" s="381">
        <f>_xlfn.XLOOKUP(A146,'Summer data team '!B:B,'Summer data team '!BW:BW,0)</f>
        <v>0</v>
      </c>
      <c r="BT146" s="381">
        <f t="shared" si="22"/>
        <v>0</v>
      </c>
      <c r="BU146" s="381">
        <f t="shared" si="23"/>
        <v>0</v>
      </c>
    </row>
    <row r="147" spans="1:73" ht="13" hidden="1" x14ac:dyDescent="0.3">
      <c r="A147" s="364">
        <v>3302480</v>
      </c>
      <c r="B147" s="364" t="s">
        <v>345</v>
      </c>
      <c r="C147" s="365">
        <v>0</v>
      </c>
      <c r="D147" s="365">
        <v>0</v>
      </c>
      <c r="E147" s="365">
        <v>0</v>
      </c>
      <c r="F147" s="365">
        <v>13</v>
      </c>
      <c r="G147" s="365">
        <v>15</v>
      </c>
      <c r="H147" s="377">
        <v>0</v>
      </c>
      <c r="I147" s="377">
        <v>28</v>
      </c>
      <c r="J147" s="365">
        <v>1</v>
      </c>
      <c r="K147" s="365">
        <v>1</v>
      </c>
      <c r="L147" s="377">
        <v>2</v>
      </c>
      <c r="M147" s="365">
        <v>0</v>
      </c>
      <c r="N147" s="365">
        <v>0</v>
      </c>
      <c r="O147" s="365">
        <v>195</v>
      </c>
      <c r="P147" s="365">
        <v>225</v>
      </c>
      <c r="Q147" s="377">
        <v>420</v>
      </c>
      <c r="R147" s="365">
        <v>0</v>
      </c>
      <c r="S147" s="365">
        <v>0</v>
      </c>
      <c r="T147" s="365">
        <v>15</v>
      </c>
      <c r="U147" s="365">
        <v>15</v>
      </c>
      <c r="V147" s="377">
        <v>30</v>
      </c>
      <c r="W147" s="365">
        <v>24</v>
      </c>
      <c r="X147" s="365">
        <v>360</v>
      </c>
      <c r="Y147" s="378">
        <v>30</v>
      </c>
      <c r="Z147" s="365">
        <v>1</v>
      </c>
      <c r="AA147" s="365">
        <v>15</v>
      </c>
      <c r="AB147" s="378">
        <v>0</v>
      </c>
      <c r="AC147" s="365">
        <v>0</v>
      </c>
      <c r="AD147" s="365">
        <v>0</v>
      </c>
      <c r="AE147" s="378">
        <v>0</v>
      </c>
      <c r="AF147" s="379">
        <v>0</v>
      </c>
      <c r="AG147" s="379">
        <v>0</v>
      </c>
      <c r="AH147" s="378">
        <v>0</v>
      </c>
      <c r="AI147" s="379">
        <v>11</v>
      </c>
      <c r="AJ147" s="379">
        <v>165</v>
      </c>
      <c r="AK147" s="378">
        <v>15</v>
      </c>
      <c r="AL147" s="365">
        <v>11</v>
      </c>
      <c r="AM147" s="365">
        <v>165</v>
      </c>
      <c r="AN147" s="378">
        <v>15</v>
      </c>
      <c r="AO147" s="378"/>
      <c r="AP147" s="378">
        <f t="shared" si="24"/>
        <v>11</v>
      </c>
      <c r="AQ147" s="465">
        <v>0</v>
      </c>
      <c r="AR147" s="379">
        <v>0</v>
      </c>
      <c r="AS147" s="378">
        <v>0</v>
      </c>
      <c r="AT147" s="466">
        <v>1</v>
      </c>
      <c r="AU147" s="466">
        <v>0</v>
      </c>
      <c r="AV147" s="379">
        <v>1</v>
      </c>
      <c r="AW147" s="379">
        <v>15</v>
      </c>
      <c r="AX147" s="378">
        <v>0</v>
      </c>
      <c r="AY147" s="365">
        <v>1</v>
      </c>
      <c r="AZ147" s="365">
        <v>15</v>
      </c>
      <c r="BA147" s="378">
        <v>0</v>
      </c>
      <c r="BB147" s="378"/>
      <c r="BC147" s="378">
        <f t="shared" si="25"/>
        <v>1</v>
      </c>
      <c r="BD147" s="379">
        <v>0</v>
      </c>
      <c r="BE147" s="379">
        <v>0</v>
      </c>
      <c r="BF147" s="365">
        <v>0</v>
      </c>
      <c r="BO147" s="381">
        <f t="shared" si="20"/>
        <v>1</v>
      </c>
      <c r="BP147" s="381">
        <f t="shared" si="21"/>
        <v>0</v>
      </c>
      <c r="BQ147" s="381"/>
      <c r="BR147" s="381">
        <f>_xlfn.XLOOKUP(A147,'Summer data team '!B:B,'Summer data team '!BV:BV,0)</f>
        <v>1</v>
      </c>
      <c r="BS147" s="381">
        <f>_xlfn.XLOOKUP(A147,'Summer data team '!B:B,'Summer data team '!BW:BW,0)</f>
        <v>0</v>
      </c>
      <c r="BT147" s="381">
        <f t="shared" si="22"/>
        <v>0</v>
      </c>
      <c r="BU147" s="381">
        <f t="shared" si="23"/>
        <v>0</v>
      </c>
    </row>
    <row r="148" spans="1:73" ht="13" hidden="1" x14ac:dyDescent="0.3">
      <c r="A148" s="364">
        <v>3302481</v>
      </c>
      <c r="B148" s="364" t="s">
        <v>346</v>
      </c>
      <c r="C148" s="365">
        <v>0</v>
      </c>
      <c r="D148" s="365">
        <v>0</v>
      </c>
      <c r="E148" s="365">
        <v>0</v>
      </c>
      <c r="F148" s="365">
        <v>21</v>
      </c>
      <c r="G148" s="365">
        <v>25</v>
      </c>
      <c r="H148" s="377">
        <v>0</v>
      </c>
      <c r="I148" s="377">
        <v>46</v>
      </c>
      <c r="J148" s="365">
        <v>1</v>
      </c>
      <c r="K148" s="365">
        <v>2</v>
      </c>
      <c r="L148" s="377">
        <v>3</v>
      </c>
      <c r="M148" s="365">
        <v>0</v>
      </c>
      <c r="N148" s="365">
        <v>0</v>
      </c>
      <c r="O148" s="365">
        <v>315</v>
      </c>
      <c r="P148" s="365">
        <v>375</v>
      </c>
      <c r="Q148" s="377">
        <v>690</v>
      </c>
      <c r="R148" s="365">
        <v>0</v>
      </c>
      <c r="S148" s="365">
        <v>0</v>
      </c>
      <c r="T148" s="365">
        <v>15</v>
      </c>
      <c r="U148" s="365">
        <v>30</v>
      </c>
      <c r="V148" s="377">
        <v>45</v>
      </c>
      <c r="W148" s="365">
        <v>0</v>
      </c>
      <c r="X148" s="365">
        <v>0</v>
      </c>
      <c r="Y148" s="378">
        <v>0</v>
      </c>
      <c r="Z148" s="365">
        <v>2</v>
      </c>
      <c r="AA148" s="365">
        <v>30</v>
      </c>
      <c r="AB148" s="378">
        <v>0</v>
      </c>
      <c r="AC148" s="365">
        <v>37</v>
      </c>
      <c r="AD148" s="365">
        <v>555</v>
      </c>
      <c r="AE148" s="378">
        <v>15</v>
      </c>
      <c r="AF148" s="379">
        <v>0</v>
      </c>
      <c r="AG148" s="379">
        <v>0</v>
      </c>
      <c r="AH148" s="378">
        <v>0</v>
      </c>
      <c r="AI148" s="379">
        <v>18</v>
      </c>
      <c r="AJ148" s="379">
        <v>270</v>
      </c>
      <c r="AK148" s="378">
        <v>30</v>
      </c>
      <c r="AL148" s="365">
        <v>18</v>
      </c>
      <c r="AM148" s="365">
        <v>270</v>
      </c>
      <c r="AN148" s="378">
        <v>30</v>
      </c>
      <c r="AO148" s="378"/>
      <c r="AP148" s="378">
        <f t="shared" si="24"/>
        <v>18</v>
      </c>
      <c r="AQ148" s="465">
        <v>0</v>
      </c>
      <c r="AR148" s="379">
        <v>0</v>
      </c>
      <c r="AS148" s="378">
        <v>0</v>
      </c>
      <c r="AT148" s="466">
        <v>16</v>
      </c>
      <c r="AU148" s="466">
        <v>2</v>
      </c>
      <c r="AV148" s="379">
        <v>18</v>
      </c>
      <c r="AW148" s="379">
        <v>270</v>
      </c>
      <c r="AX148" s="378">
        <v>30</v>
      </c>
      <c r="AY148" s="365">
        <v>18</v>
      </c>
      <c r="AZ148" s="365">
        <v>270</v>
      </c>
      <c r="BA148" s="378">
        <v>30</v>
      </c>
      <c r="BB148" s="378"/>
      <c r="BC148" s="378">
        <f t="shared" si="25"/>
        <v>18</v>
      </c>
      <c r="BD148" s="379">
        <v>0</v>
      </c>
      <c r="BE148" s="379">
        <v>0</v>
      </c>
      <c r="BF148" s="365">
        <v>0</v>
      </c>
      <c r="BO148" s="381">
        <f t="shared" si="20"/>
        <v>16</v>
      </c>
      <c r="BP148" s="381">
        <f t="shared" si="21"/>
        <v>2</v>
      </c>
      <c r="BQ148" s="381"/>
      <c r="BR148" s="381">
        <f>_xlfn.XLOOKUP(A148,'Summer data team '!B:B,'Summer data team '!BV:BV,0)</f>
        <v>16</v>
      </c>
      <c r="BS148" s="381">
        <f>_xlfn.XLOOKUP(A148,'Summer data team '!B:B,'Summer data team '!BW:BW,0)</f>
        <v>2</v>
      </c>
      <c r="BT148" s="381">
        <f t="shared" si="22"/>
        <v>0</v>
      </c>
      <c r="BU148" s="381">
        <f t="shared" si="23"/>
        <v>0</v>
      </c>
    </row>
    <row r="149" spans="1:73" ht="13" hidden="1" x14ac:dyDescent="0.3">
      <c r="A149" s="364">
        <v>3302486</v>
      </c>
      <c r="B149" s="364" t="s">
        <v>75</v>
      </c>
      <c r="C149" s="365">
        <v>0</v>
      </c>
      <c r="D149" s="365">
        <v>0</v>
      </c>
      <c r="E149" s="365">
        <v>0</v>
      </c>
      <c r="F149" s="365">
        <v>13</v>
      </c>
      <c r="G149" s="365">
        <v>5</v>
      </c>
      <c r="H149" s="377">
        <v>0</v>
      </c>
      <c r="I149" s="377">
        <v>18</v>
      </c>
      <c r="J149" s="365">
        <v>0</v>
      </c>
      <c r="K149" s="365">
        <v>0</v>
      </c>
      <c r="L149" s="377">
        <v>0</v>
      </c>
      <c r="M149" s="365">
        <v>0</v>
      </c>
      <c r="N149" s="365">
        <v>0</v>
      </c>
      <c r="O149" s="365">
        <v>195</v>
      </c>
      <c r="P149" s="365">
        <v>75</v>
      </c>
      <c r="Q149" s="377">
        <v>270</v>
      </c>
      <c r="R149" s="365">
        <v>0</v>
      </c>
      <c r="S149" s="365">
        <v>0</v>
      </c>
      <c r="T149" s="365">
        <v>0</v>
      </c>
      <c r="U149" s="365">
        <v>0</v>
      </c>
      <c r="V149" s="377">
        <v>0</v>
      </c>
      <c r="W149" s="365">
        <v>16</v>
      </c>
      <c r="X149" s="365">
        <v>240</v>
      </c>
      <c r="Y149" s="378">
        <v>0</v>
      </c>
      <c r="Z149" s="365">
        <v>2</v>
      </c>
      <c r="AA149" s="365">
        <v>30</v>
      </c>
      <c r="AB149" s="378">
        <v>0</v>
      </c>
      <c r="AC149" s="365">
        <v>0</v>
      </c>
      <c r="AD149" s="365">
        <v>0</v>
      </c>
      <c r="AE149" s="378">
        <v>0</v>
      </c>
      <c r="AF149" s="379">
        <v>0</v>
      </c>
      <c r="AG149" s="379">
        <v>0</v>
      </c>
      <c r="AH149" s="378">
        <v>0</v>
      </c>
      <c r="AI149" s="379">
        <v>9</v>
      </c>
      <c r="AJ149" s="379">
        <v>135</v>
      </c>
      <c r="AK149" s="378">
        <v>0</v>
      </c>
      <c r="AL149" s="365">
        <v>9</v>
      </c>
      <c r="AM149" s="365">
        <v>135</v>
      </c>
      <c r="AN149" s="378">
        <v>0</v>
      </c>
      <c r="AO149" s="378"/>
      <c r="AP149" s="378">
        <f t="shared" si="24"/>
        <v>9</v>
      </c>
      <c r="AQ149" s="465">
        <v>0</v>
      </c>
      <c r="AR149" s="379">
        <v>0</v>
      </c>
      <c r="AS149" s="378">
        <v>0</v>
      </c>
      <c r="AT149" s="466">
        <v>9</v>
      </c>
      <c r="AU149" s="466">
        <v>0</v>
      </c>
      <c r="AV149" s="379">
        <v>9</v>
      </c>
      <c r="AW149" s="379">
        <v>135</v>
      </c>
      <c r="AX149" s="378">
        <v>0</v>
      </c>
      <c r="AY149" s="365">
        <v>9</v>
      </c>
      <c r="AZ149" s="365">
        <v>135</v>
      </c>
      <c r="BA149" s="378">
        <v>0</v>
      </c>
      <c r="BB149" s="378"/>
      <c r="BC149" s="378">
        <f t="shared" si="25"/>
        <v>9</v>
      </c>
      <c r="BD149" s="379">
        <v>0</v>
      </c>
      <c r="BE149" s="379">
        <v>0</v>
      </c>
      <c r="BF149" s="365">
        <v>0</v>
      </c>
      <c r="BO149" s="381">
        <f t="shared" si="20"/>
        <v>9</v>
      </c>
      <c r="BP149" s="381">
        <f t="shared" si="21"/>
        <v>0</v>
      </c>
      <c r="BQ149" s="381"/>
      <c r="BR149" s="381">
        <f>_xlfn.XLOOKUP(A149,'Summer data team '!B:B,'Summer data team '!BV:BV,0)</f>
        <v>9</v>
      </c>
      <c r="BS149" s="381">
        <f>_xlfn.XLOOKUP(A149,'Summer data team '!B:B,'Summer data team '!BW:BW,0)</f>
        <v>0</v>
      </c>
      <c r="BT149" s="381">
        <f t="shared" si="22"/>
        <v>0</v>
      </c>
      <c r="BU149" s="381">
        <f t="shared" si="23"/>
        <v>0</v>
      </c>
    </row>
    <row r="150" spans="1:73" ht="13" hidden="1" x14ac:dyDescent="0.3">
      <c r="A150" s="364">
        <v>3303002</v>
      </c>
      <c r="B150" s="364" t="s">
        <v>348</v>
      </c>
      <c r="C150" s="365">
        <v>0</v>
      </c>
      <c r="D150" s="365">
        <v>0</v>
      </c>
      <c r="E150" s="365">
        <v>0</v>
      </c>
      <c r="F150" s="365">
        <v>9</v>
      </c>
      <c r="G150" s="365">
        <v>7</v>
      </c>
      <c r="H150" s="377">
        <v>0</v>
      </c>
      <c r="I150" s="377">
        <v>16</v>
      </c>
      <c r="J150" s="365">
        <v>0</v>
      </c>
      <c r="K150" s="365">
        <v>0</v>
      </c>
      <c r="L150" s="377">
        <v>0</v>
      </c>
      <c r="M150" s="365">
        <v>0</v>
      </c>
      <c r="N150" s="365">
        <v>0</v>
      </c>
      <c r="O150" s="365">
        <v>135</v>
      </c>
      <c r="P150" s="365">
        <v>105</v>
      </c>
      <c r="Q150" s="377">
        <v>240</v>
      </c>
      <c r="R150" s="365">
        <v>0</v>
      </c>
      <c r="S150" s="365">
        <v>0</v>
      </c>
      <c r="T150" s="365">
        <v>0</v>
      </c>
      <c r="U150" s="365">
        <v>0</v>
      </c>
      <c r="V150" s="377">
        <v>0</v>
      </c>
      <c r="W150" s="365">
        <v>12</v>
      </c>
      <c r="X150" s="365">
        <v>180</v>
      </c>
      <c r="Y150" s="378">
        <v>0</v>
      </c>
      <c r="Z150" s="365">
        <v>1</v>
      </c>
      <c r="AA150" s="365">
        <v>15</v>
      </c>
      <c r="AB150" s="378">
        <v>0</v>
      </c>
      <c r="AC150" s="365">
        <v>2</v>
      </c>
      <c r="AD150" s="365">
        <v>30</v>
      </c>
      <c r="AE150" s="378">
        <v>0</v>
      </c>
      <c r="AF150" s="379">
        <v>0</v>
      </c>
      <c r="AG150" s="379">
        <v>0</v>
      </c>
      <c r="AH150" s="378">
        <v>0</v>
      </c>
      <c r="AI150" s="379">
        <v>9</v>
      </c>
      <c r="AJ150" s="379">
        <v>135</v>
      </c>
      <c r="AK150" s="378">
        <v>0</v>
      </c>
      <c r="AL150" s="365">
        <v>9</v>
      </c>
      <c r="AM150" s="365">
        <v>135</v>
      </c>
      <c r="AN150" s="378">
        <v>0</v>
      </c>
      <c r="AO150" s="378"/>
      <c r="AP150" s="378">
        <f t="shared" si="24"/>
        <v>9</v>
      </c>
      <c r="AQ150" s="465">
        <v>0</v>
      </c>
      <c r="AR150" s="379">
        <v>0</v>
      </c>
      <c r="AS150" s="378">
        <v>0</v>
      </c>
      <c r="AT150" s="466">
        <v>9</v>
      </c>
      <c r="AU150" s="466">
        <v>0</v>
      </c>
      <c r="AV150" s="379">
        <v>9</v>
      </c>
      <c r="AW150" s="379">
        <v>135</v>
      </c>
      <c r="AX150" s="378">
        <v>0</v>
      </c>
      <c r="AY150" s="365">
        <v>9</v>
      </c>
      <c r="AZ150" s="365">
        <v>135</v>
      </c>
      <c r="BA150" s="378">
        <v>0</v>
      </c>
      <c r="BB150" s="378"/>
      <c r="BC150" s="378">
        <f t="shared" si="25"/>
        <v>9</v>
      </c>
      <c r="BD150" s="379">
        <v>0</v>
      </c>
      <c r="BE150" s="379">
        <v>0</v>
      </c>
      <c r="BF150" s="365">
        <v>0</v>
      </c>
      <c r="BO150" s="381">
        <f t="shared" si="20"/>
        <v>9</v>
      </c>
      <c r="BP150" s="381">
        <f t="shared" si="21"/>
        <v>0</v>
      </c>
      <c r="BQ150" s="381"/>
      <c r="BR150" s="381">
        <f>_xlfn.XLOOKUP(A150,'Summer data team '!B:B,'Summer data team '!BV:BV,0)</f>
        <v>9</v>
      </c>
      <c r="BS150" s="381">
        <f>_xlfn.XLOOKUP(A150,'Summer data team '!B:B,'Summer data team '!BW:BW,0)</f>
        <v>0</v>
      </c>
      <c r="BT150" s="381">
        <f t="shared" si="22"/>
        <v>0</v>
      </c>
      <c r="BU150" s="381">
        <f t="shared" si="23"/>
        <v>0</v>
      </c>
    </row>
    <row r="151" spans="1:73" ht="13" hidden="1" x14ac:dyDescent="0.3">
      <c r="A151" s="364">
        <v>3303015</v>
      </c>
      <c r="B151" s="364" t="s">
        <v>349</v>
      </c>
      <c r="C151" s="365">
        <v>0</v>
      </c>
      <c r="D151" s="365">
        <v>0</v>
      </c>
      <c r="E151" s="365">
        <v>0</v>
      </c>
      <c r="F151" s="365">
        <v>9</v>
      </c>
      <c r="G151" s="365">
        <v>16</v>
      </c>
      <c r="H151" s="377">
        <v>0</v>
      </c>
      <c r="I151" s="377">
        <v>25</v>
      </c>
      <c r="J151" s="365">
        <v>0</v>
      </c>
      <c r="K151" s="365">
        <v>0</v>
      </c>
      <c r="L151" s="377">
        <v>0</v>
      </c>
      <c r="M151" s="365">
        <v>0</v>
      </c>
      <c r="N151" s="365">
        <v>0</v>
      </c>
      <c r="O151" s="365">
        <v>135</v>
      </c>
      <c r="P151" s="365">
        <v>240</v>
      </c>
      <c r="Q151" s="377">
        <v>375</v>
      </c>
      <c r="R151" s="365">
        <v>0</v>
      </c>
      <c r="S151" s="365">
        <v>0</v>
      </c>
      <c r="T151" s="365">
        <v>0</v>
      </c>
      <c r="U151" s="365">
        <v>0</v>
      </c>
      <c r="V151" s="377">
        <v>0</v>
      </c>
      <c r="W151" s="365">
        <v>1</v>
      </c>
      <c r="X151" s="365">
        <v>15</v>
      </c>
      <c r="Y151" s="378">
        <v>0</v>
      </c>
      <c r="Z151" s="365">
        <v>9</v>
      </c>
      <c r="AA151" s="365">
        <v>135</v>
      </c>
      <c r="AB151" s="378">
        <v>0</v>
      </c>
      <c r="AC151" s="365">
        <v>3</v>
      </c>
      <c r="AD151" s="365">
        <v>45</v>
      </c>
      <c r="AE151" s="378">
        <v>0</v>
      </c>
      <c r="AF151" s="379">
        <v>0</v>
      </c>
      <c r="AG151" s="379">
        <v>0</v>
      </c>
      <c r="AH151" s="378">
        <v>0</v>
      </c>
      <c r="AI151" s="379">
        <v>0</v>
      </c>
      <c r="AJ151" s="379">
        <v>0</v>
      </c>
      <c r="AK151" s="378">
        <v>0</v>
      </c>
      <c r="AL151" s="365">
        <v>0</v>
      </c>
      <c r="AM151" s="365">
        <v>0</v>
      </c>
      <c r="AN151" s="378">
        <v>0</v>
      </c>
      <c r="AO151" s="378"/>
      <c r="AP151" s="378">
        <f t="shared" si="24"/>
        <v>0</v>
      </c>
      <c r="AQ151" s="465">
        <v>0</v>
      </c>
      <c r="AR151" s="379">
        <v>0</v>
      </c>
      <c r="AS151" s="378">
        <v>0</v>
      </c>
      <c r="AT151" s="466">
        <v>0</v>
      </c>
      <c r="AU151" s="466">
        <v>0</v>
      </c>
      <c r="AV151" s="379">
        <v>0</v>
      </c>
      <c r="AW151" s="379">
        <v>0</v>
      </c>
      <c r="AX151" s="378">
        <v>0</v>
      </c>
      <c r="AY151" s="365">
        <v>0</v>
      </c>
      <c r="AZ151" s="365">
        <v>0</v>
      </c>
      <c r="BA151" s="378">
        <v>0</v>
      </c>
      <c r="BB151" s="378"/>
      <c r="BC151" s="378">
        <f t="shared" si="25"/>
        <v>0</v>
      </c>
      <c r="BD151" s="379">
        <v>0</v>
      </c>
      <c r="BE151" s="379">
        <v>0</v>
      </c>
      <c r="BF151" s="365">
        <v>0</v>
      </c>
      <c r="BO151" s="381">
        <f t="shared" si="20"/>
        <v>0</v>
      </c>
      <c r="BP151" s="381">
        <f t="shared" si="21"/>
        <v>0</v>
      </c>
      <c r="BQ151" s="381"/>
      <c r="BR151" s="381">
        <f>_xlfn.XLOOKUP(A151,'Summer data team '!B:B,'Summer data team '!BV:BV,0)</f>
        <v>0</v>
      </c>
      <c r="BS151" s="381">
        <f>_xlfn.XLOOKUP(A151,'Summer data team '!B:B,'Summer data team '!BW:BW,0)</f>
        <v>0</v>
      </c>
      <c r="BT151" s="381">
        <f t="shared" si="22"/>
        <v>0</v>
      </c>
      <c r="BU151" s="381">
        <f t="shared" si="23"/>
        <v>0</v>
      </c>
    </row>
    <row r="152" spans="1:73" ht="13" hidden="1" x14ac:dyDescent="0.3">
      <c r="A152" s="364">
        <v>3303302</v>
      </c>
      <c r="B152" s="364" t="s">
        <v>854</v>
      </c>
      <c r="C152" s="365">
        <v>0</v>
      </c>
      <c r="D152" s="365">
        <v>0</v>
      </c>
      <c r="E152" s="365">
        <v>0</v>
      </c>
      <c r="F152" s="365">
        <v>18</v>
      </c>
      <c r="G152" s="365">
        <v>18</v>
      </c>
      <c r="H152" s="377">
        <v>0</v>
      </c>
      <c r="I152" s="377">
        <v>36</v>
      </c>
      <c r="J152" s="365">
        <v>7</v>
      </c>
      <c r="K152" s="365">
        <v>7</v>
      </c>
      <c r="L152" s="377">
        <v>14</v>
      </c>
      <c r="M152" s="365">
        <v>0</v>
      </c>
      <c r="N152" s="365">
        <v>0</v>
      </c>
      <c r="O152" s="365">
        <v>270</v>
      </c>
      <c r="P152" s="365">
        <v>270</v>
      </c>
      <c r="Q152" s="377">
        <v>540</v>
      </c>
      <c r="R152" s="365">
        <v>0</v>
      </c>
      <c r="S152" s="365">
        <v>0</v>
      </c>
      <c r="T152" s="365">
        <v>105</v>
      </c>
      <c r="U152" s="365">
        <v>105</v>
      </c>
      <c r="V152" s="377">
        <v>210</v>
      </c>
      <c r="W152" s="365">
        <v>4</v>
      </c>
      <c r="X152" s="365">
        <v>60</v>
      </c>
      <c r="Y152" s="378">
        <v>15</v>
      </c>
      <c r="Z152" s="365">
        <v>5</v>
      </c>
      <c r="AA152" s="365">
        <v>75</v>
      </c>
      <c r="AB152" s="378">
        <v>15</v>
      </c>
      <c r="AC152" s="365">
        <v>4</v>
      </c>
      <c r="AD152" s="365">
        <v>60</v>
      </c>
      <c r="AE152" s="378">
        <v>30</v>
      </c>
      <c r="AF152" s="379">
        <v>0</v>
      </c>
      <c r="AG152" s="379">
        <v>0</v>
      </c>
      <c r="AH152" s="378">
        <v>0</v>
      </c>
      <c r="AI152" s="379">
        <v>8</v>
      </c>
      <c r="AJ152" s="379">
        <v>120</v>
      </c>
      <c r="AK152" s="378">
        <v>15</v>
      </c>
      <c r="AL152" s="365">
        <v>8</v>
      </c>
      <c r="AM152" s="365">
        <v>120</v>
      </c>
      <c r="AN152" s="378">
        <v>15</v>
      </c>
      <c r="AO152" s="378"/>
      <c r="AP152" s="378">
        <f t="shared" si="24"/>
        <v>8</v>
      </c>
      <c r="AQ152" s="465">
        <v>0</v>
      </c>
      <c r="AR152" s="379">
        <v>0</v>
      </c>
      <c r="AS152" s="378">
        <v>0</v>
      </c>
      <c r="AT152" s="466">
        <v>7</v>
      </c>
      <c r="AU152" s="466">
        <v>1</v>
      </c>
      <c r="AV152" s="379">
        <v>8</v>
      </c>
      <c r="AW152" s="379">
        <v>120</v>
      </c>
      <c r="AX152" s="378">
        <v>15</v>
      </c>
      <c r="AY152" s="365">
        <v>8</v>
      </c>
      <c r="AZ152" s="365">
        <v>120</v>
      </c>
      <c r="BA152" s="378">
        <v>15</v>
      </c>
      <c r="BB152" s="378"/>
      <c r="BC152" s="378">
        <f t="shared" si="25"/>
        <v>8</v>
      </c>
      <c r="BD152" s="379">
        <v>0</v>
      </c>
      <c r="BE152" s="379">
        <v>0</v>
      </c>
      <c r="BF152" s="365">
        <v>0</v>
      </c>
      <c r="BO152" s="381">
        <f t="shared" si="20"/>
        <v>7</v>
      </c>
      <c r="BP152" s="381">
        <f t="shared" si="21"/>
        <v>1</v>
      </c>
      <c r="BQ152" s="381"/>
      <c r="BR152" s="381">
        <f>_xlfn.XLOOKUP(A152,'Summer data team '!B:B,'Summer data team '!BV:BV,0)</f>
        <v>7</v>
      </c>
      <c r="BS152" s="381">
        <f>_xlfn.XLOOKUP(A152,'Summer data team '!B:B,'Summer data team '!BW:BW,0)</f>
        <v>1</v>
      </c>
      <c r="BT152" s="381">
        <f t="shared" si="22"/>
        <v>0</v>
      </c>
      <c r="BU152" s="381">
        <f t="shared" si="23"/>
        <v>0</v>
      </c>
    </row>
    <row r="153" spans="1:73" ht="13" hidden="1" x14ac:dyDescent="0.3">
      <c r="A153" s="364">
        <v>3303306</v>
      </c>
      <c r="B153" s="364" t="s">
        <v>855</v>
      </c>
      <c r="C153" s="365">
        <v>0</v>
      </c>
      <c r="D153" s="365">
        <v>0</v>
      </c>
      <c r="E153" s="365">
        <v>0</v>
      </c>
      <c r="F153" s="365">
        <v>14</v>
      </c>
      <c r="G153" s="365">
        <v>24</v>
      </c>
      <c r="H153" s="377">
        <v>0</v>
      </c>
      <c r="I153" s="377">
        <v>38</v>
      </c>
      <c r="J153" s="365">
        <v>0</v>
      </c>
      <c r="K153" s="365">
        <v>0</v>
      </c>
      <c r="L153" s="377">
        <v>0</v>
      </c>
      <c r="M153" s="365">
        <v>0</v>
      </c>
      <c r="N153" s="365">
        <v>0</v>
      </c>
      <c r="O153" s="365">
        <v>210</v>
      </c>
      <c r="P153" s="365">
        <v>360</v>
      </c>
      <c r="Q153" s="377">
        <v>570</v>
      </c>
      <c r="R153" s="365">
        <v>0</v>
      </c>
      <c r="S153" s="365">
        <v>0</v>
      </c>
      <c r="T153" s="365">
        <v>0</v>
      </c>
      <c r="U153" s="365">
        <v>0</v>
      </c>
      <c r="V153" s="377">
        <v>0</v>
      </c>
      <c r="W153" s="365">
        <v>0</v>
      </c>
      <c r="X153" s="365">
        <v>0</v>
      </c>
      <c r="Y153" s="378">
        <v>0</v>
      </c>
      <c r="Z153" s="365">
        <v>2</v>
      </c>
      <c r="AA153" s="365">
        <v>30</v>
      </c>
      <c r="AB153" s="378">
        <v>0</v>
      </c>
      <c r="AC153" s="365">
        <v>28</v>
      </c>
      <c r="AD153" s="365">
        <v>420</v>
      </c>
      <c r="AE153" s="378">
        <v>0</v>
      </c>
      <c r="AF153" s="379">
        <v>0</v>
      </c>
      <c r="AG153" s="379">
        <v>0</v>
      </c>
      <c r="AH153" s="378">
        <v>0</v>
      </c>
      <c r="AI153" s="379">
        <v>7</v>
      </c>
      <c r="AJ153" s="379">
        <v>105</v>
      </c>
      <c r="AK153" s="378">
        <v>0</v>
      </c>
      <c r="AL153" s="365">
        <v>7</v>
      </c>
      <c r="AM153" s="365">
        <v>105</v>
      </c>
      <c r="AN153" s="378">
        <v>0</v>
      </c>
      <c r="AO153" s="378"/>
      <c r="AP153" s="378">
        <f t="shared" si="24"/>
        <v>7</v>
      </c>
      <c r="AQ153" s="465">
        <v>0</v>
      </c>
      <c r="AR153" s="379">
        <v>0</v>
      </c>
      <c r="AS153" s="378">
        <v>0</v>
      </c>
      <c r="AT153" s="466">
        <v>0</v>
      </c>
      <c r="AU153" s="466">
        <v>0</v>
      </c>
      <c r="AV153" s="379">
        <v>0</v>
      </c>
      <c r="AW153" s="379">
        <v>0</v>
      </c>
      <c r="AX153" s="378">
        <v>0</v>
      </c>
      <c r="AY153" s="365">
        <v>0</v>
      </c>
      <c r="AZ153" s="365">
        <v>0</v>
      </c>
      <c r="BA153" s="378">
        <v>0</v>
      </c>
      <c r="BB153" s="378"/>
      <c r="BC153" s="378">
        <f t="shared" si="25"/>
        <v>0</v>
      </c>
      <c r="BD153" s="379">
        <v>0</v>
      </c>
      <c r="BE153" s="379">
        <v>0</v>
      </c>
      <c r="BF153" s="365">
        <v>0</v>
      </c>
      <c r="BO153" s="381">
        <f t="shared" si="20"/>
        <v>0</v>
      </c>
      <c r="BP153" s="381">
        <f t="shared" si="21"/>
        <v>0</v>
      </c>
      <c r="BQ153" s="381"/>
      <c r="BR153" s="381">
        <f>_xlfn.XLOOKUP(A153,'Summer data team '!B:B,'Summer data team '!BV:BV,0)</f>
        <v>0</v>
      </c>
      <c r="BS153" s="381">
        <f>_xlfn.XLOOKUP(A153,'Summer data team '!B:B,'Summer data team '!BW:BW,0)</f>
        <v>0</v>
      </c>
      <c r="BT153" s="381">
        <f t="shared" si="22"/>
        <v>0</v>
      </c>
      <c r="BU153" s="381">
        <f t="shared" si="23"/>
        <v>0</v>
      </c>
    </row>
    <row r="154" spans="1:73" ht="13" hidden="1" x14ac:dyDescent="0.3">
      <c r="A154" s="364">
        <v>3303310</v>
      </c>
      <c r="B154" s="364" t="s">
        <v>217</v>
      </c>
      <c r="C154" s="365">
        <v>0</v>
      </c>
      <c r="D154" s="365">
        <v>0</v>
      </c>
      <c r="E154" s="365">
        <v>0</v>
      </c>
      <c r="F154" s="365">
        <v>14</v>
      </c>
      <c r="G154" s="365">
        <v>11</v>
      </c>
      <c r="H154" s="377">
        <v>0</v>
      </c>
      <c r="I154" s="377">
        <v>25</v>
      </c>
      <c r="J154" s="365">
        <v>1</v>
      </c>
      <c r="K154" s="365">
        <v>0</v>
      </c>
      <c r="L154" s="377">
        <v>1</v>
      </c>
      <c r="M154" s="365">
        <v>0</v>
      </c>
      <c r="N154" s="365">
        <v>0</v>
      </c>
      <c r="O154" s="365">
        <v>210</v>
      </c>
      <c r="P154" s="365">
        <v>165</v>
      </c>
      <c r="Q154" s="377">
        <v>375</v>
      </c>
      <c r="R154" s="365">
        <v>0</v>
      </c>
      <c r="S154" s="365">
        <v>0</v>
      </c>
      <c r="T154" s="365">
        <v>15</v>
      </c>
      <c r="U154" s="365">
        <v>0</v>
      </c>
      <c r="V154" s="377">
        <v>15</v>
      </c>
      <c r="W154" s="365">
        <v>18</v>
      </c>
      <c r="X154" s="365">
        <v>270</v>
      </c>
      <c r="Y154" s="378">
        <v>15</v>
      </c>
      <c r="Z154" s="365">
        <v>2</v>
      </c>
      <c r="AA154" s="365">
        <v>30</v>
      </c>
      <c r="AB154" s="378">
        <v>0</v>
      </c>
      <c r="AC154" s="365">
        <v>1</v>
      </c>
      <c r="AD154" s="365">
        <v>15</v>
      </c>
      <c r="AE154" s="378">
        <v>0</v>
      </c>
      <c r="AF154" s="379">
        <v>0</v>
      </c>
      <c r="AG154" s="379">
        <v>0</v>
      </c>
      <c r="AH154" s="378">
        <v>0</v>
      </c>
      <c r="AI154" s="379">
        <v>13</v>
      </c>
      <c r="AJ154" s="379">
        <v>195</v>
      </c>
      <c r="AK154" s="378">
        <v>15</v>
      </c>
      <c r="AL154" s="365">
        <v>13</v>
      </c>
      <c r="AM154" s="365">
        <v>195</v>
      </c>
      <c r="AN154" s="378">
        <v>15</v>
      </c>
      <c r="AO154" s="378"/>
      <c r="AP154" s="378">
        <f t="shared" si="24"/>
        <v>13</v>
      </c>
      <c r="AQ154" s="465">
        <v>0</v>
      </c>
      <c r="AR154" s="379">
        <v>0</v>
      </c>
      <c r="AS154" s="378">
        <v>0</v>
      </c>
      <c r="AT154" s="466">
        <v>12</v>
      </c>
      <c r="AU154" s="466">
        <v>1</v>
      </c>
      <c r="AV154" s="379">
        <v>13</v>
      </c>
      <c r="AW154" s="379">
        <v>195</v>
      </c>
      <c r="AX154" s="378">
        <v>15</v>
      </c>
      <c r="AY154" s="365">
        <v>13</v>
      </c>
      <c r="AZ154" s="365">
        <v>195</v>
      </c>
      <c r="BA154" s="378">
        <v>15</v>
      </c>
      <c r="BB154" s="378"/>
      <c r="BC154" s="378">
        <f t="shared" si="25"/>
        <v>13</v>
      </c>
      <c r="BD154" s="379">
        <v>0</v>
      </c>
      <c r="BE154" s="379">
        <v>0</v>
      </c>
      <c r="BF154" s="365">
        <v>0</v>
      </c>
      <c r="BO154" s="381">
        <f t="shared" si="20"/>
        <v>12</v>
      </c>
      <c r="BP154" s="381">
        <f t="shared" si="21"/>
        <v>1</v>
      </c>
      <c r="BQ154" s="381"/>
      <c r="BR154" s="381">
        <f>_xlfn.XLOOKUP(A154,'Summer data team '!B:B,'Summer data team '!BV:BV,0)</f>
        <v>12</v>
      </c>
      <c r="BS154" s="381">
        <f>_xlfn.XLOOKUP(A154,'Summer data team '!B:B,'Summer data team '!BW:BW,0)</f>
        <v>1</v>
      </c>
      <c r="BT154" s="381">
        <f t="shared" si="22"/>
        <v>0</v>
      </c>
      <c r="BU154" s="381">
        <f t="shared" si="23"/>
        <v>0</v>
      </c>
    </row>
    <row r="155" spans="1:73" ht="13" hidden="1" x14ac:dyDescent="0.3">
      <c r="A155" s="364">
        <v>3303311</v>
      </c>
      <c r="B155" s="364" t="s">
        <v>352</v>
      </c>
      <c r="C155" s="365">
        <v>0</v>
      </c>
      <c r="D155" s="365">
        <v>0</v>
      </c>
      <c r="E155" s="365">
        <v>0</v>
      </c>
      <c r="F155" s="365">
        <v>25</v>
      </c>
      <c r="G155" s="365">
        <v>22</v>
      </c>
      <c r="H155" s="377">
        <v>0</v>
      </c>
      <c r="I155" s="377">
        <v>47</v>
      </c>
      <c r="J155" s="365">
        <v>0</v>
      </c>
      <c r="K155" s="365">
        <v>3</v>
      </c>
      <c r="L155" s="377">
        <v>3</v>
      </c>
      <c r="M155" s="365">
        <v>0</v>
      </c>
      <c r="N155" s="365">
        <v>0</v>
      </c>
      <c r="O155" s="365">
        <v>375</v>
      </c>
      <c r="P155" s="365">
        <v>324</v>
      </c>
      <c r="Q155" s="377">
        <v>699</v>
      </c>
      <c r="R155" s="365">
        <v>0</v>
      </c>
      <c r="S155" s="365">
        <v>0</v>
      </c>
      <c r="T155" s="365">
        <v>0</v>
      </c>
      <c r="U155" s="365">
        <v>45</v>
      </c>
      <c r="V155" s="377">
        <v>45</v>
      </c>
      <c r="W155" s="365">
        <v>32</v>
      </c>
      <c r="X155" s="365">
        <v>477</v>
      </c>
      <c r="Y155" s="378">
        <v>30</v>
      </c>
      <c r="Z155" s="365">
        <v>9</v>
      </c>
      <c r="AA155" s="365">
        <v>132</v>
      </c>
      <c r="AB155" s="378">
        <v>0</v>
      </c>
      <c r="AC155" s="365">
        <v>1</v>
      </c>
      <c r="AD155" s="365">
        <v>15</v>
      </c>
      <c r="AE155" s="378">
        <v>0</v>
      </c>
      <c r="AF155" s="379">
        <v>0</v>
      </c>
      <c r="AG155" s="379">
        <v>0</v>
      </c>
      <c r="AH155" s="378">
        <v>0</v>
      </c>
      <c r="AI155" s="379">
        <v>18</v>
      </c>
      <c r="AJ155" s="379">
        <v>267</v>
      </c>
      <c r="AK155" s="378">
        <v>0</v>
      </c>
      <c r="AL155" s="365">
        <v>18</v>
      </c>
      <c r="AM155" s="365">
        <v>267</v>
      </c>
      <c r="AN155" s="378">
        <v>0</v>
      </c>
      <c r="AO155" s="378"/>
      <c r="AP155" s="378">
        <f t="shared" si="24"/>
        <v>18</v>
      </c>
      <c r="AQ155" s="465">
        <v>0</v>
      </c>
      <c r="AR155" s="379">
        <v>0</v>
      </c>
      <c r="AS155" s="378">
        <v>0</v>
      </c>
      <c r="AT155" s="466">
        <v>18</v>
      </c>
      <c r="AU155" s="466">
        <v>0</v>
      </c>
      <c r="AV155" s="379">
        <v>18</v>
      </c>
      <c r="AW155" s="379">
        <v>267</v>
      </c>
      <c r="AX155" s="378">
        <v>0</v>
      </c>
      <c r="AY155" s="365">
        <v>18</v>
      </c>
      <c r="AZ155" s="365">
        <v>267</v>
      </c>
      <c r="BA155" s="378">
        <v>0</v>
      </c>
      <c r="BB155" s="378"/>
      <c r="BC155" s="378">
        <f t="shared" si="25"/>
        <v>18</v>
      </c>
      <c r="BD155" s="379">
        <v>0</v>
      </c>
      <c r="BE155" s="379">
        <v>0</v>
      </c>
      <c r="BF155" s="365">
        <v>0</v>
      </c>
      <c r="BO155" s="381">
        <f t="shared" si="20"/>
        <v>18</v>
      </c>
      <c r="BP155" s="381">
        <f t="shared" si="21"/>
        <v>0</v>
      </c>
      <c r="BQ155" s="381"/>
      <c r="BR155" s="381">
        <f>_xlfn.XLOOKUP(A155,'Summer data team '!B:B,'Summer data team '!BV:BV,0)</f>
        <v>18</v>
      </c>
      <c r="BS155" s="381">
        <f>_xlfn.XLOOKUP(A155,'Summer data team '!B:B,'Summer data team '!BW:BW,0)</f>
        <v>0</v>
      </c>
      <c r="BT155" s="381">
        <f t="shared" si="22"/>
        <v>0</v>
      </c>
      <c r="BU155" s="381">
        <f t="shared" si="23"/>
        <v>0</v>
      </c>
    </row>
    <row r="156" spans="1:73" ht="13" hidden="1" x14ac:dyDescent="0.3">
      <c r="A156" s="364">
        <v>3303314</v>
      </c>
      <c r="B156" s="364" t="s">
        <v>856</v>
      </c>
      <c r="C156" s="365">
        <v>0</v>
      </c>
      <c r="D156" s="365">
        <v>0</v>
      </c>
      <c r="E156" s="365">
        <v>0</v>
      </c>
      <c r="F156" s="365">
        <v>3</v>
      </c>
      <c r="G156" s="365">
        <v>23</v>
      </c>
      <c r="H156" s="377">
        <v>0</v>
      </c>
      <c r="I156" s="377">
        <v>26</v>
      </c>
      <c r="J156" s="365">
        <v>0</v>
      </c>
      <c r="K156" s="365">
        <v>3</v>
      </c>
      <c r="L156" s="377">
        <v>3</v>
      </c>
      <c r="M156" s="365">
        <v>0</v>
      </c>
      <c r="N156" s="365">
        <v>0</v>
      </c>
      <c r="O156" s="365">
        <v>45</v>
      </c>
      <c r="P156" s="365">
        <v>345</v>
      </c>
      <c r="Q156" s="377">
        <v>390</v>
      </c>
      <c r="R156" s="365">
        <v>0</v>
      </c>
      <c r="S156" s="365">
        <v>0</v>
      </c>
      <c r="T156" s="365">
        <v>0</v>
      </c>
      <c r="U156" s="365">
        <v>45</v>
      </c>
      <c r="V156" s="377">
        <v>45</v>
      </c>
      <c r="W156" s="365">
        <v>13</v>
      </c>
      <c r="X156" s="365">
        <v>195</v>
      </c>
      <c r="Y156" s="378">
        <v>30</v>
      </c>
      <c r="Z156" s="365">
        <v>1</v>
      </c>
      <c r="AA156" s="365">
        <v>15</v>
      </c>
      <c r="AB156" s="378">
        <v>0</v>
      </c>
      <c r="AC156" s="365">
        <v>3</v>
      </c>
      <c r="AD156" s="365">
        <v>45</v>
      </c>
      <c r="AE156" s="378">
        <v>15</v>
      </c>
      <c r="AF156" s="379">
        <v>0</v>
      </c>
      <c r="AG156" s="379">
        <v>0</v>
      </c>
      <c r="AH156" s="378">
        <v>0</v>
      </c>
      <c r="AI156" s="379">
        <v>8</v>
      </c>
      <c r="AJ156" s="379">
        <v>120</v>
      </c>
      <c r="AK156" s="378">
        <v>0</v>
      </c>
      <c r="AL156" s="365">
        <v>8</v>
      </c>
      <c r="AM156" s="365">
        <v>120</v>
      </c>
      <c r="AN156" s="378">
        <v>0</v>
      </c>
      <c r="AO156" s="378"/>
      <c r="AP156" s="378">
        <f t="shared" si="24"/>
        <v>8</v>
      </c>
      <c r="AQ156" s="465">
        <v>0</v>
      </c>
      <c r="AR156" s="379">
        <v>0</v>
      </c>
      <c r="AS156" s="378">
        <v>0</v>
      </c>
      <c r="AT156" s="466">
        <v>8</v>
      </c>
      <c r="AU156" s="466">
        <v>0</v>
      </c>
      <c r="AV156" s="379">
        <v>8</v>
      </c>
      <c r="AW156" s="379">
        <v>120</v>
      </c>
      <c r="AX156" s="378">
        <v>0</v>
      </c>
      <c r="AY156" s="365">
        <v>8</v>
      </c>
      <c r="AZ156" s="365">
        <v>120</v>
      </c>
      <c r="BA156" s="378">
        <v>0</v>
      </c>
      <c r="BB156" s="378"/>
      <c r="BC156" s="378">
        <f t="shared" si="25"/>
        <v>8</v>
      </c>
      <c r="BD156" s="379">
        <v>0</v>
      </c>
      <c r="BE156" s="379">
        <v>0</v>
      </c>
      <c r="BF156" s="365">
        <v>0</v>
      </c>
      <c r="BO156" s="381">
        <f t="shared" si="20"/>
        <v>8</v>
      </c>
      <c r="BP156" s="381">
        <f t="shared" si="21"/>
        <v>0</v>
      </c>
      <c r="BQ156" s="381"/>
      <c r="BR156" s="381">
        <f>_xlfn.XLOOKUP(A156,'Summer data team '!B:B,'Summer data team '!BV:BV,0)</f>
        <v>8</v>
      </c>
      <c r="BS156" s="381">
        <f>_xlfn.XLOOKUP(A156,'Summer data team '!B:B,'Summer data team '!BW:BW,0)</f>
        <v>0</v>
      </c>
      <c r="BT156" s="381">
        <f t="shared" si="22"/>
        <v>0</v>
      </c>
      <c r="BU156" s="381">
        <f t="shared" si="23"/>
        <v>0</v>
      </c>
    </row>
    <row r="157" spans="1:73" ht="13" hidden="1" x14ac:dyDescent="0.3">
      <c r="A157" s="364">
        <v>3303317</v>
      </c>
      <c r="B157" s="364" t="s">
        <v>95</v>
      </c>
      <c r="C157" s="365">
        <v>0</v>
      </c>
      <c r="D157" s="365">
        <v>0</v>
      </c>
      <c r="E157" s="365">
        <v>0</v>
      </c>
      <c r="F157" s="365">
        <v>10</v>
      </c>
      <c r="G157" s="365">
        <v>16</v>
      </c>
      <c r="H157" s="377">
        <v>0</v>
      </c>
      <c r="I157" s="377">
        <v>26</v>
      </c>
      <c r="J157" s="365">
        <v>0</v>
      </c>
      <c r="K157" s="365">
        <v>2</v>
      </c>
      <c r="L157" s="377">
        <v>2</v>
      </c>
      <c r="M157" s="365">
        <v>0</v>
      </c>
      <c r="N157" s="365">
        <v>0</v>
      </c>
      <c r="O157" s="365">
        <v>150</v>
      </c>
      <c r="P157" s="365">
        <v>240</v>
      </c>
      <c r="Q157" s="377">
        <v>390</v>
      </c>
      <c r="R157" s="365">
        <v>0</v>
      </c>
      <c r="S157" s="365">
        <v>0</v>
      </c>
      <c r="T157" s="365">
        <v>0</v>
      </c>
      <c r="U157" s="365">
        <v>30</v>
      </c>
      <c r="V157" s="377">
        <v>30</v>
      </c>
      <c r="W157" s="365">
        <v>1</v>
      </c>
      <c r="X157" s="365">
        <v>15</v>
      </c>
      <c r="Y157" s="378">
        <v>0</v>
      </c>
      <c r="Z157" s="365">
        <v>1</v>
      </c>
      <c r="AA157" s="365">
        <v>15</v>
      </c>
      <c r="AB157" s="378">
        <v>0</v>
      </c>
      <c r="AC157" s="365">
        <v>14</v>
      </c>
      <c r="AD157" s="365">
        <v>210</v>
      </c>
      <c r="AE157" s="378">
        <v>30</v>
      </c>
      <c r="AF157" s="379">
        <v>0</v>
      </c>
      <c r="AG157" s="379">
        <v>0</v>
      </c>
      <c r="AH157" s="378">
        <v>0</v>
      </c>
      <c r="AI157" s="379">
        <v>14</v>
      </c>
      <c r="AJ157" s="379">
        <v>210</v>
      </c>
      <c r="AK157" s="378">
        <v>0</v>
      </c>
      <c r="AL157" s="365">
        <v>14</v>
      </c>
      <c r="AM157" s="365">
        <v>210</v>
      </c>
      <c r="AN157" s="378">
        <v>0</v>
      </c>
      <c r="AO157" s="378"/>
      <c r="AP157" s="378">
        <f t="shared" si="24"/>
        <v>14</v>
      </c>
      <c r="AQ157" s="465">
        <v>0</v>
      </c>
      <c r="AR157" s="379">
        <v>0</v>
      </c>
      <c r="AS157" s="378">
        <v>0</v>
      </c>
      <c r="AT157" s="466">
        <v>14</v>
      </c>
      <c r="AU157" s="466">
        <v>0</v>
      </c>
      <c r="AV157" s="379">
        <v>14</v>
      </c>
      <c r="AW157" s="379">
        <v>210</v>
      </c>
      <c r="AX157" s="378">
        <v>0</v>
      </c>
      <c r="AY157" s="365">
        <v>14</v>
      </c>
      <c r="AZ157" s="365">
        <v>210</v>
      </c>
      <c r="BA157" s="378">
        <v>0</v>
      </c>
      <c r="BB157" s="378"/>
      <c r="BC157" s="378">
        <f t="shared" si="25"/>
        <v>14</v>
      </c>
      <c r="BD157" s="379">
        <v>0</v>
      </c>
      <c r="BE157" s="379">
        <v>0</v>
      </c>
      <c r="BF157" s="365">
        <v>0</v>
      </c>
      <c r="BO157" s="381">
        <f t="shared" si="20"/>
        <v>14</v>
      </c>
      <c r="BP157" s="381">
        <f t="shared" si="21"/>
        <v>0</v>
      </c>
      <c r="BQ157" s="381"/>
      <c r="BR157" s="381">
        <f>_xlfn.XLOOKUP(A157,'Summer data team '!B:B,'Summer data team '!BV:BV,0)</f>
        <v>14</v>
      </c>
      <c r="BS157" s="381">
        <f>_xlfn.XLOOKUP(A157,'Summer data team '!B:B,'Summer data team '!BW:BW,0)</f>
        <v>0</v>
      </c>
      <c r="BT157" s="381">
        <f t="shared" si="22"/>
        <v>0</v>
      </c>
      <c r="BU157" s="381">
        <f t="shared" si="23"/>
        <v>0</v>
      </c>
    </row>
    <row r="158" spans="1:73" ht="13" hidden="1" x14ac:dyDescent="0.3">
      <c r="A158" s="364">
        <v>3303319</v>
      </c>
      <c r="B158" s="364" t="s">
        <v>61</v>
      </c>
      <c r="C158" s="365">
        <v>0</v>
      </c>
      <c r="D158" s="365">
        <v>0</v>
      </c>
      <c r="E158" s="365">
        <v>0</v>
      </c>
      <c r="F158" s="365">
        <v>11</v>
      </c>
      <c r="G158" s="365">
        <v>24</v>
      </c>
      <c r="H158" s="377">
        <v>0</v>
      </c>
      <c r="I158" s="377">
        <v>35</v>
      </c>
      <c r="J158" s="365">
        <v>2</v>
      </c>
      <c r="K158" s="365">
        <v>8</v>
      </c>
      <c r="L158" s="377">
        <v>10</v>
      </c>
      <c r="M158" s="365">
        <v>0</v>
      </c>
      <c r="N158" s="365">
        <v>0</v>
      </c>
      <c r="O158" s="365">
        <v>165</v>
      </c>
      <c r="P158" s="365">
        <v>360</v>
      </c>
      <c r="Q158" s="377">
        <v>525</v>
      </c>
      <c r="R158" s="365">
        <v>0</v>
      </c>
      <c r="S158" s="365">
        <v>0</v>
      </c>
      <c r="T158" s="365">
        <v>30</v>
      </c>
      <c r="U158" s="365">
        <v>120</v>
      </c>
      <c r="V158" s="377">
        <v>150</v>
      </c>
      <c r="W158" s="365">
        <v>10</v>
      </c>
      <c r="X158" s="365">
        <v>150</v>
      </c>
      <c r="Y158" s="378">
        <v>30</v>
      </c>
      <c r="Z158" s="365">
        <v>15</v>
      </c>
      <c r="AA158" s="365">
        <v>225</v>
      </c>
      <c r="AB158" s="378">
        <v>90</v>
      </c>
      <c r="AC158" s="365">
        <v>2</v>
      </c>
      <c r="AD158" s="365">
        <v>30</v>
      </c>
      <c r="AE158" s="378">
        <v>0</v>
      </c>
      <c r="AF158" s="379">
        <v>0</v>
      </c>
      <c r="AG158" s="379">
        <v>0</v>
      </c>
      <c r="AH158" s="378">
        <v>0</v>
      </c>
      <c r="AI158" s="379">
        <v>20</v>
      </c>
      <c r="AJ158" s="379">
        <v>300</v>
      </c>
      <c r="AK158" s="378">
        <v>75</v>
      </c>
      <c r="AL158" s="365">
        <v>20</v>
      </c>
      <c r="AM158" s="365">
        <v>300</v>
      </c>
      <c r="AN158" s="378">
        <v>75</v>
      </c>
      <c r="AO158" s="378"/>
      <c r="AP158" s="378">
        <f t="shared" si="24"/>
        <v>20</v>
      </c>
      <c r="AQ158" s="465">
        <v>0</v>
      </c>
      <c r="AR158" s="379">
        <v>0</v>
      </c>
      <c r="AS158" s="378">
        <v>0</v>
      </c>
      <c r="AT158" s="466">
        <v>15</v>
      </c>
      <c r="AU158" s="466">
        <v>5</v>
      </c>
      <c r="AV158" s="379">
        <v>20</v>
      </c>
      <c r="AW158" s="379">
        <v>300</v>
      </c>
      <c r="AX158" s="378">
        <v>75</v>
      </c>
      <c r="AY158" s="365">
        <v>20</v>
      </c>
      <c r="AZ158" s="365">
        <v>300</v>
      </c>
      <c r="BA158" s="378">
        <v>75</v>
      </c>
      <c r="BB158" s="378"/>
      <c r="BC158" s="378">
        <f t="shared" si="25"/>
        <v>20</v>
      </c>
      <c r="BD158" s="379">
        <v>0</v>
      </c>
      <c r="BE158" s="379">
        <v>0</v>
      </c>
      <c r="BF158" s="365">
        <v>0</v>
      </c>
      <c r="BO158" s="381">
        <f t="shared" si="20"/>
        <v>15</v>
      </c>
      <c r="BP158" s="381">
        <f t="shared" si="21"/>
        <v>5</v>
      </c>
      <c r="BQ158" s="381"/>
      <c r="BR158" s="381">
        <f>_xlfn.XLOOKUP(A158,'Summer data team '!B:B,'Summer data team '!BV:BV,0)</f>
        <v>15</v>
      </c>
      <c r="BS158" s="381">
        <f>_xlfn.XLOOKUP(A158,'Summer data team '!B:B,'Summer data team '!BW:BW,0)</f>
        <v>5</v>
      </c>
      <c r="BT158" s="381">
        <f t="shared" si="22"/>
        <v>0</v>
      </c>
      <c r="BU158" s="381">
        <f t="shared" si="23"/>
        <v>0</v>
      </c>
    </row>
    <row r="159" spans="1:73" ht="13" hidden="1" x14ac:dyDescent="0.3">
      <c r="A159" s="364">
        <v>3303322</v>
      </c>
      <c r="B159" s="364" t="s">
        <v>111</v>
      </c>
      <c r="C159" s="365">
        <v>0</v>
      </c>
      <c r="D159" s="365">
        <v>0</v>
      </c>
      <c r="E159" s="365">
        <v>0</v>
      </c>
      <c r="F159" s="365">
        <v>18</v>
      </c>
      <c r="G159" s="365">
        <v>9</v>
      </c>
      <c r="H159" s="377">
        <v>0</v>
      </c>
      <c r="I159" s="377">
        <v>27</v>
      </c>
      <c r="J159" s="365">
        <v>7</v>
      </c>
      <c r="K159" s="365">
        <v>4</v>
      </c>
      <c r="L159" s="377">
        <v>11</v>
      </c>
      <c r="M159" s="365">
        <v>0</v>
      </c>
      <c r="N159" s="365">
        <v>0</v>
      </c>
      <c r="O159" s="365">
        <v>270</v>
      </c>
      <c r="P159" s="365">
        <v>135</v>
      </c>
      <c r="Q159" s="377">
        <v>405</v>
      </c>
      <c r="R159" s="365">
        <v>0</v>
      </c>
      <c r="S159" s="365">
        <v>0</v>
      </c>
      <c r="T159" s="365">
        <v>105</v>
      </c>
      <c r="U159" s="365">
        <v>60</v>
      </c>
      <c r="V159" s="377">
        <v>165</v>
      </c>
      <c r="W159" s="365">
        <v>5</v>
      </c>
      <c r="X159" s="365">
        <v>75</v>
      </c>
      <c r="Y159" s="378">
        <v>30</v>
      </c>
      <c r="Z159" s="365">
        <v>2</v>
      </c>
      <c r="AA159" s="365">
        <v>30</v>
      </c>
      <c r="AB159" s="378">
        <v>0</v>
      </c>
      <c r="AC159" s="365">
        <v>1</v>
      </c>
      <c r="AD159" s="365">
        <v>15</v>
      </c>
      <c r="AE159" s="378">
        <v>0</v>
      </c>
      <c r="AF159" s="379">
        <v>0</v>
      </c>
      <c r="AG159" s="379">
        <v>0</v>
      </c>
      <c r="AH159" s="378">
        <v>0</v>
      </c>
      <c r="AI159" s="379">
        <v>7</v>
      </c>
      <c r="AJ159" s="379">
        <v>105</v>
      </c>
      <c r="AK159" s="378">
        <v>15</v>
      </c>
      <c r="AL159" s="365">
        <v>7</v>
      </c>
      <c r="AM159" s="365">
        <v>105</v>
      </c>
      <c r="AN159" s="378">
        <v>15</v>
      </c>
      <c r="AO159" s="378"/>
      <c r="AP159" s="378">
        <f t="shared" si="24"/>
        <v>7</v>
      </c>
      <c r="AQ159" s="465">
        <v>0</v>
      </c>
      <c r="AR159" s="379">
        <v>0</v>
      </c>
      <c r="AS159" s="378">
        <v>0</v>
      </c>
      <c r="AT159" s="466">
        <v>0</v>
      </c>
      <c r="AU159" s="466">
        <v>0</v>
      </c>
      <c r="AV159" s="379">
        <v>0</v>
      </c>
      <c r="AW159" s="379">
        <v>0</v>
      </c>
      <c r="AX159" s="378">
        <v>0</v>
      </c>
      <c r="AY159" s="365">
        <v>0</v>
      </c>
      <c r="AZ159" s="365">
        <v>0</v>
      </c>
      <c r="BA159" s="378">
        <v>0</v>
      </c>
      <c r="BB159" s="378"/>
      <c r="BC159" s="378">
        <f t="shared" si="25"/>
        <v>0</v>
      </c>
      <c r="BD159" s="379">
        <v>0</v>
      </c>
      <c r="BE159" s="379">
        <v>0</v>
      </c>
      <c r="BF159" s="365">
        <v>0</v>
      </c>
      <c r="BO159" s="381">
        <f t="shared" si="20"/>
        <v>0</v>
      </c>
      <c r="BP159" s="381">
        <f t="shared" si="21"/>
        <v>0</v>
      </c>
      <c r="BQ159" s="381"/>
      <c r="BR159" s="381">
        <f>_xlfn.XLOOKUP(A159,'Summer data team '!B:B,'Summer data team '!BV:BV,0)</f>
        <v>0</v>
      </c>
      <c r="BS159" s="381">
        <f>_xlfn.XLOOKUP(A159,'Summer data team '!B:B,'Summer data team '!BW:BW,0)</f>
        <v>0</v>
      </c>
      <c r="BT159" s="381">
        <f t="shared" si="22"/>
        <v>0</v>
      </c>
      <c r="BU159" s="381">
        <f t="shared" si="23"/>
        <v>0</v>
      </c>
    </row>
    <row r="160" spans="1:73" ht="13" hidden="1" x14ac:dyDescent="0.3">
      <c r="A160" s="364">
        <v>3303323</v>
      </c>
      <c r="B160" s="364" t="s">
        <v>354</v>
      </c>
      <c r="C160" s="365">
        <v>0</v>
      </c>
      <c r="D160" s="365">
        <v>0</v>
      </c>
      <c r="E160" s="365">
        <v>0</v>
      </c>
      <c r="F160" s="365">
        <v>5</v>
      </c>
      <c r="G160" s="365">
        <v>11</v>
      </c>
      <c r="H160" s="377">
        <v>0</v>
      </c>
      <c r="I160" s="377">
        <v>16</v>
      </c>
      <c r="J160" s="365">
        <v>0</v>
      </c>
      <c r="K160" s="365">
        <v>0</v>
      </c>
      <c r="L160" s="377">
        <v>0</v>
      </c>
      <c r="M160" s="365">
        <v>0</v>
      </c>
      <c r="N160" s="365">
        <v>0</v>
      </c>
      <c r="O160" s="365">
        <v>75</v>
      </c>
      <c r="P160" s="365">
        <v>165</v>
      </c>
      <c r="Q160" s="377">
        <v>240</v>
      </c>
      <c r="R160" s="365">
        <v>0</v>
      </c>
      <c r="S160" s="365">
        <v>0</v>
      </c>
      <c r="T160" s="365">
        <v>0</v>
      </c>
      <c r="U160" s="365">
        <v>0</v>
      </c>
      <c r="V160" s="377">
        <v>0</v>
      </c>
      <c r="W160" s="365">
        <v>6</v>
      </c>
      <c r="X160" s="365">
        <v>90</v>
      </c>
      <c r="Y160" s="378">
        <v>0</v>
      </c>
      <c r="Z160" s="365">
        <v>0</v>
      </c>
      <c r="AA160" s="365">
        <v>0</v>
      </c>
      <c r="AB160" s="378">
        <v>0</v>
      </c>
      <c r="AC160" s="365">
        <v>3</v>
      </c>
      <c r="AD160" s="365">
        <v>45</v>
      </c>
      <c r="AE160" s="378">
        <v>0</v>
      </c>
      <c r="AF160" s="379">
        <v>0</v>
      </c>
      <c r="AG160" s="379">
        <v>0</v>
      </c>
      <c r="AH160" s="378">
        <v>0</v>
      </c>
      <c r="AI160" s="379">
        <v>7</v>
      </c>
      <c r="AJ160" s="379">
        <v>105</v>
      </c>
      <c r="AK160" s="378">
        <v>0</v>
      </c>
      <c r="AL160" s="365">
        <v>7</v>
      </c>
      <c r="AM160" s="365">
        <v>105</v>
      </c>
      <c r="AN160" s="378">
        <v>0</v>
      </c>
      <c r="AO160" s="378"/>
      <c r="AP160" s="378">
        <f t="shared" si="24"/>
        <v>7</v>
      </c>
      <c r="AQ160" s="465">
        <v>0</v>
      </c>
      <c r="AR160" s="379">
        <v>0</v>
      </c>
      <c r="AS160" s="378">
        <v>0</v>
      </c>
      <c r="AT160" s="466">
        <v>0</v>
      </c>
      <c r="AU160" s="466">
        <v>0</v>
      </c>
      <c r="AV160" s="379">
        <v>0</v>
      </c>
      <c r="AW160" s="379">
        <v>0</v>
      </c>
      <c r="AX160" s="378">
        <v>0</v>
      </c>
      <c r="AY160" s="365">
        <v>0</v>
      </c>
      <c r="AZ160" s="365">
        <v>0</v>
      </c>
      <c r="BA160" s="378">
        <v>0</v>
      </c>
      <c r="BB160" s="378"/>
      <c r="BC160" s="378">
        <f t="shared" si="25"/>
        <v>0</v>
      </c>
      <c r="BD160" s="379">
        <v>0</v>
      </c>
      <c r="BE160" s="379">
        <v>0</v>
      </c>
      <c r="BF160" s="365">
        <v>0</v>
      </c>
      <c r="BO160" s="381">
        <f t="shared" si="20"/>
        <v>0</v>
      </c>
      <c r="BP160" s="381">
        <f t="shared" si="21"/>
        <v>0</v>
      </c>
      <c r="BQ160" s="381"/>
      <c r="BR160" s="381">
        <f>_xlfn.XLOOKUP(A160,'Summer data team '!B:B,'Summer data team '!BV:BV,0)</f>
        <v>0</v>
      </c>
      <c r="BS160" s="381">
        <f>_xlfn.XLOOKUP(A160,'Summer data team '!B:B,'Summer data team '!BW:BW,0)</f>
        <v>0</v>
      </c>
      <c r="BT160" s="381">
        <f t="shared" si="22"/>
        <v>0</v>
      </c>
      <c r="BU160" s="381">
        <f t="shared" si="23"/>
        <v>0</v>
      </c>
    </row>
    <row r="161" spans="1:73" ht="13" hidden="1" x14ac:dyDescent="0.3">
      <c r="A161" s="364">
        <v>3303325</v>
      </c>
      <c r="B161" s="364" t="s">
        <v>857</v>
      </c>
      <c r="C161" s="365">
        <v>0</v>
      </c>
      <c r="D161" s="365">
        <v>0</v>
      </c>
      <c r="E161" s="365">
        <v>0</v>
      </c>
      <c r="F161" s="365">
        <v>6</v>
      </c>
      <c r="G161" s="365">
        <v>17</v>
      </c>
      <c r="H161" s="377">
        <v>0</v>
      </c>
      <c r="I161" s="377">
        <v>23</v>
      </c>
      <c r="J161" s="365">
        <v>1</v>
      </c>
      <c r="K161" s="365">
        <v>0</v>
      </c>
      <c r="L161" s="377">
        <v>1</v>
      </c>
      <c r="M161" s="365">
        <v>0</v>
      </c>
      <c r="N161" s="365">
        <v>0</v>
      </c>
      <c r="O161" s="365">
        <v>90</v>
      </c>
      <c r="P161" s="365">
        <v>255</v>
      </c>
      <c r="Q161" s="377">
        <v>345</v>
      </c>
      <c r="R161" s="365">
        <v>0</v>
      </c>
      <c r="S161" s="365">
        <v>0</v>
      </c>
      <c r="T161" s="365">
        <v>15</v>
      </c>
      <c r="U161" s="365">
        <v>0</v>
      </c>
      <c r="V161" s="377">
        <v>15</v>
      </c>
      <c r="W161" s="365">
        <v>0</v>
      </c>
      <c r="X161" s="365">
        <v>0</v>
      </c>
      <c r="Y161" s="378">
        <v>0</v>
      </c>
      <c r="Z161" s="365">
        <v>2</v>
      </c>
      <c r="AA161" s="365">
        <v>30</v>
      </c>
      <c r="AB161" s="378">
        <v>0</v>
      </c>
      <c r="AC161" s="365">
        <v>13</v>
      </c>
      <c r="AD161" s="365">
        <v>195</v>
      </c>
      <c r="AE161" s="378">
        <v>15</v>
      </c>
      <c r="AF161" s="379">
        <v>0</v>
      </c>
      <c r="AG161" s="379">
        <v>0</v>
      </c>
      <c r="AH161" s="378">
        <v>0</v>
      </c>
      <c r="AI161" s="379">
        <v>5</v>
      </c>
      <c r="AJ161" s="379">
        <v>75</v>
      </c>
      <c r="AK161" s="378">
        <v>0</v>
      </c>
      <c r="AL161" s="365">
        <v>5</v>
      </c>
      <c r="AM161" s="365">
        <v>75</v>
      </c>
      <c r="AN161" s="378">
        <v>0</v>
      </c>
      <c r="AO161" s="378"/>
      <c r="AP161" s="378">
        <f t="shared" si="24"/>
        <v>5</v>
      </c>
      <c r="AQ161" s="465">
        <v>0</v>
      </c>
      <c r="AR161" s="379">
        <v>0</v>
      </c>
      <c r="AS161" s="378">
        <v>0</v>
      </c>
      <c r="AT161" s="466">
        <v>5</v>
      </c>
      <c r="AU161" s="466">
        <v>0</v>
      </c>
      <c r="AV161" s="379">
        <v>5</v>
      </c>
      <c r="AW161" s="379">
        <v>75</v>
      </c>
      <c r="AX161" s="378">
        <v>0</v>
      </c>
      <c r="AY161" s="365">
        <v>5</v>
      </c>
      <c r="AZ161" s="365">
        <v>75</v>
      </c>
      <c r="BA161" s="378">
        <v>0</v>
      </c>
      <c r="BB161" s="378"/>
      <c r="BC161" s="378">
        <f t="shared" si="25"/>
        <v>5</v>
      </c>
      <c r="BD161" s="379">
        <v>0</v>
      </c>
      <c r="BE161" s="379">
        <v>0</v>
      </c>
      <c r="BF161" s="365">
        <v>0</v>
      </c>
      <c r="BO161" s="381">
        <f t="shared" si="20"/>
        <v>5</v>
      </c>
      <c r="BP161" s="381">
        <f t="shared" si="21"/>
        <v>0</v>
      </c>
      <c r="BQ161" s="381"/>
      <c r="BR161" s="381">
        <f>_xlfn.XLOOKUP(A161,'Summer data team '!B:B,'Summer data team '!BV:BV,0)</f>
        <v>5</v>
      </c>
      <c r="BS161" s="381">
        <f>_xlfn.XLOOKUP(A161,'Summer data team '!B:B,'Summer data team '!BW:BW,0)</f>
        <v>0</v>
      </c>
      <c r="BT161" s="381">
        <f t="shared" si="22"/>
        <v>0</v>
      </c>
      <c r="BU161" s="381">
        <f t="shared" si="23"/>
        <v>0</v>
      </c>
    </row>
    <row r="162" spans="1:73" ht="13" hidden="1" x14ac:dyDescent="0.3">
      <c r="A162" s="364">
        <v>3303328</v>
      </c>
      <c r="B162" s="364" t="s">
        <v>356</v>
      </c>
      <c r="C162" s="365">
        <v>0</v>
      </c>
      <c r="D162" s="365">
        <v>0</v>
      </c>
      <c r="E162" s="365">
        <v>0</v>
      </c>
      <c r="F162" s="365">
        <v>6</v>
      </c>
      <c r="G162" s="365">
        <v>6</v>
      </c>
      <c r="H162" s="377">
        <v>0</v>
      </c>
      <c r="I162" s="377">
        <v>12</v>
      </c>
      <c r="J162" s="365">
        <v>0</v>
      </c>
      <c r="K162" s="365">
        <v>0</v>
      </c>
      <c r="L162" s="377">
        <v>0</v>
      </c>
      <c r="M162" s="365">
        <v>0</v>
      </c>
      <c r="N162" s="365">
        <v>0</v>
      </c>
      <c r="O162" s="365">
        <v>90</v>
      </c>
      <c r="P162" s="365">
        <v>90</v>
      </c>
      <c r="Q162" s="377">
        <v>180</v>
      </c>
      <c r="R162" s="365">
        <v>0</v>
      </c>
      <c r="S162" s="365">
        <v>0</v>
      </c>
      <c r="T162" s="365">
        <v>0</v>
      </c>
      <c r="U162" s="365">
        <v>0</v>
      </c>
      <c r="V162" s="377">
        <v>0</v>
      </c>
      <c r="W162" s="365">
        <v>1</v>
      </c>
      <c r="X162" s="365">
        <v>15</v>
      </c>
      <c r="Y162" s="378">
        <v>0</v>
      </c>
      <c r="Z162" s="365">
        <v>2</v>
      </c>
      <c r="AA162" s="365">
        <v>30</v>
      </c>
      <c r="AB162" s="378">
        <v>0</v>
      </c>
      <c r="AC162" s="365">
        <v>4</v>
      </c>
      <c r="AD162" s="365">
        <v>60</v>
      </c>
      <c r="AE162" s="378">
        <v>0</v>
      </c>
      <c r="AF162" s="379">
        <v>0</v>
      </c>
      <c r="AG162" s="379">
        <v>0</v>
      </c>
      <c r="AH162" s="378">
        <v>0</v>
      </c>
      <c r="AI162" s="379">
        <v>0</v>
      </c>
      <c r="AJ162" s="379">
        <v>0</v>
      </c>
      <c r="AK162" s="378">
        <v>0</v>
      </c>
      <c r="AL162" s="365">
        <v>0</v>
      </c>
      <c r="AM162" s="365">
        <v>0</v>
      </c>
      <c r="AN162" s="378">
        <v>0</v>
      </c>
      <c r="AO162" s="378"/>
      <c r="AP162" s="378">
        <f t="shared" si="24"/>
        <v>0</v>
      </c>
      <c r="AQ162" s="465">
        <v>0</v>
      </c>
      <c r="AR162" s="379">
        <v>0</v>
      </c>
      <c r="AS162" s="378">
        <v>0</v>
      </c>
      <c r="AT162" s="466">
        <v>0</v>
      </c>
      <c r="AU162" s="466">
        <v>0</v>
      </c>
      <c r="AV162" s="379">
        <v>0</v>
      </c>
      <c r="AW162" s="379">
        <v>0</v>
      </c>
      <c r="AX162" s="378">
        <v>0</v>
      </c>
      <c r="AY162" s="365">
        <v>0</v>
      </c>
      <c r="AZ162" s="365">
        <v>0</v>
      </c>
      <c r="BA162" s="378">
        <v>0</v>
      </c>
      <c r="BB162" s="378"/>
      <c r="BC162" s="378">
        <f t="shared" si="25"/>
        <v>0</v>
      </c>
      <c r="BD162" s="379">
        <v>0</v>
      </c>
      <c r="BE162" s="379">
        <v>0</v>
      </c>
      <c r="BF162" s="365">
        <v>0</v>
      </c>
      <c r="BO162" s="381">
        <f t="shared" ref="BO162:BO197" si="26">AQ162+AT162</f>
        <v>0</v>
      </c>
      <c r="BP162" s="381">
        <f t="shared" ref="BP162:BP197" si="27">AU162</f>
        <v>0</v>
      </c>
      <c r="BQ162" s="381"/>
      <c r="BR162" s="381">
        <f>_xlfn.XLOOKUP(A162,'Summer data team '!B:B,'Summer data team '!BV:BV,0)</f>
        <v>0</v>
      </c>
      <c r="BS162" s="381">
        <f>_xlfn.XLOOKUP(A162,'Summer data team '!B:B,'Summer data team '!BW:BW,0)</f>
        <v>0</v>
      </c>
      <c r="BT162" s="381">
        <f t="shared" ref="BT162:BT197" si="28">BO162-BR162</f>
        <v>0</v>
      </c>
      <c r="BU162" s="381">
        <f t="shared" ref="BU162:BU197" si="29">BP162-BS162</f>
        <v>0</v>
      </c>
    </row>
    <row r="163" spans="1:73" ht="13" hidden="1" x14ac:dyDescent="0.3">
      <c r="A163" s="364">
        <v>3303329</v>
      </c>
      <c r="B163" s="364" t="s">
        <v>209</v>
      </c>
      <c r="C163" s="365">
        <v>0</v>
      </c>
      <c r="D163" s="365">
        <v>0</v>
      </c>
      <c r="E163" s="365">
        <v>0</v>
      </c>
      <c r="F163" s="365">
        <v>17</v>
      </c>
      <c r="G163" s="365">
        <v>10</v>
      </c>
      <c r="H163" s="377">
        <v>0</v>
      </c>
      <c r="I163" s="377">
        <v>27</v>
      </c>
      <c r="J163" s="365">
        <v>1</v>
      </c>
      <c r="K163" s="365">
        <v>2</v>
      </c>
      <c r="L163" s="377">
        <v>3</v>
      </c>
      <c r="M163" s="365">
        <v>0</v>
      </c>
      <c r="N163" s="365">
        <v>0</v>
      </c>
      <c r="O163" s="365">
        <v>255</v>
      </c>
      <c r="P163" s="365">
        <v>150</v>
      </c>
      <c r="Q163" s="377">
        <v>405</v>
      </c>
      <c r="R163" s="365">
        <v>0</v>
      </c>
      <c r="S163" s="365">
        <v>0</v>
      </c>
      <c r="T163" s="365">
        <v>15</v>
      </c>
      <c r="U163" s="365">
        <v>30</v>
      </c>
      <c r="V163" s="377">
        <v>45</v>
      </c>
      <c r="W163" s="365">
        <v>1</v>
      </c>
      <c r="X163" s="365">
        <v>15</v>
      </c>
      <c r="Y163" s="378">
        <v>0</v>
      </c>
      <c r="Z163" s="365">
        <v>3</v>
      </c>
      <c r="AA163" s="365">
        <v>45</v>
      </c>
      <c r="AB163" s="378">
        <v>0</v>
      </c>
      <c r="AC163" s="365">
        <v>19</v>
      </c>
      <c r="AD163" s="365">
        <v>285</v>
      </c>
      <c r="AE163" s="378">
        <v>45</v>
      </c>
      <c r="AF163" s="379">
        <v>0</v>
      </c>
      <c r="AG163" s="379">
        <v>0</v>
      </c>
      <c r="AH163" s="378">
        <v>0</v>
      </c>
      <c r="AI163" s="379">
        <v>8</v>
      </c>
      <c r="AJ163" s="379">
        <v>120</v>
      </c>
      <c r="AK163" s="378">
        <v>30</v>
      </c>
      <c r="AL163" s="365">
        <v>8</v>
      </c>
      <c r="AM163" s="365">
        <v>120</v>
      </c>
      <c r="AN163" s="378">
        <v>30</v>
      </c>
      <c r="AO163" s="378"/>
      <c r="AP163" s="378">
        <f t="shared" si="24"/>
        <v>8</v>
      </c>
      <c r="AQ163" s="465">
        <v>0</v>
      </c>
      <c r="AR163" s="379">
        <v>0</v>
      </c>
      <c r="AS163" s="378">
        <v>0</v>
      </c>
      <c r="AT163" s="466">
        <v>6</v>
      </c>
      <c r="AU163" s="466">
        <v>2</v>
      </c>
      <c r="AV163" s="379">
        <v>8</v>
      </c>
      <c r="AW163" s="379">
        <v>120</v>
      </c>
      <c r="AX163" s="378">
        <v>30</v>
      </c>
      <c r="AY163" s="365">
        <v>8</v>
      </c>
      <c r="AZ163" s="365">
        <v>120</v>
      </c>
      <c r="BA163" s="378">
        <v>30</v>
      </c>
      <c r="BB163" s="378"/>
      <c r="BC163" s="378">
        <f t="shared" si="25"/>
        <v>8</v>
      </c>
      <c r="BD163" s="379">
        <v>0</v>
      </c>
      <c r="BE163" s="379">
        <v>0</v>
      </c>
      <c r="BF163" s="365">
        <v>0</v>
      </c>
      <c r="BO163" s="381">
        <f t="shared" si="26"/>
        <v>6</v>
      </c>
      <c r="BP163" s="381">
        <f t="shared" si="27"/>
        <v>2</v>
      </c>
      <c r="BQ163" s="381"/>
      <c r="BR163" s="381">
        <f>_xlfn.XLOOKUP(A163,'Summer data team '!B:B,'Summer data team '!BV:BV,0)</f>
        <v>6</v>
      </c>
      <c r="BS163" s="381">
        <f>_xlfn.XLOOKUP(A163,'Summer data team '!B:B,'Summer data team '!BW:BW,0)</f>
        <v>2</v>
      </c>
      <c r="BT163" s="381">
        <f t="shared" si="28"/>
        <v>0</v>
      </c>
      <c r="BU163" s="381">
        <f t="shared" si="29"/>
        <v>0</v>
      </c>
    </row>
    <row r="164" spans="1:73" ht="13" hidden="1" x14ac:dyDescent="0.3">
      <c r="A164" s="364">
        <v>3303330</v>
      </c>
      <c r="B164" s="364" t="s">
        <v>357</v>
      </c>
      <c r="C164" s="365">
        <v>0</v>
      </c>
      <c r="D164" s="365">
        <v>0</v>
      </c>
      <c r="E164" s="365">
        <v>0</v>
      </c>
      <c r="F164" s="365">
        <v>15</v>
      </c>
      <c r="G164" s="365">
        <v>21</v>
      </c>
      <c r="H164" s="377">
        <v>0</v>
      </c>
      <c r="I164" s="377">
        <v>36</v>
      </c>
      <c r="J164" s="365">
        <v>5</v>
      </c>
      <c r="K164" s="365">
        <v>6</v>
      </c>
      <c r="L164" s="377">
        <v>11</v>
      </c>
      <c r="M164" s="365">
        <v>0</v>
      </c>
      <c r="N164" s="365">
        <v>0</v>
      </c>
      <c r="O164" s="365">
        <v>225</v>
      </c>
      <c r="P164" s="365">
        <v>315</v>
      </c>
      <c r="Q164" s="377">
        <v>540</v>
      </c>
      <c r="R164" s="365">
        <v>0</v>
      </c>
      <c r="S164" s="365">
        <v>0</v>
      </c>
      <c r="T164" s="365">
        <v>75</v>
      </c>
      <c r="U164" s="365">
        <v>90</v>
      </c>
      <c r="V164" s="377">
        <v>165</v>
      </c>
      <c r="W164" s="365">
        <v>10</v>
      </c>
      <c r="X164" s="365">
        <v>150</v>
      </c>
      <c r="Y164" s="378">
        <v>45</v>
      </c>
      <c r="Z164" s="365">
        <v>7</v>
      </c>
      <c r="AA164" s="365">
        <v>105</v>
      </c>
      <c r="AB164" s="378">
        <v>30</v>
      </c>
      <c r="AC164" s="365">
        <v>3</v>
      </c>
      <c r="AD164" s="365">
        <v>45</v>
      </c>
      <c r="AE164" s="378">
        <v>15</v>
      </c>
      <c r="AF164" s="379">
        <v>0</v>
      </c>
      <c r="AG164" s="379">
        <v>0</v>
      </c>
      <c r="AH164" s="378">
        <v>0</v>
      </c>
      <c r="AI164" s="379">
        <v>0</v>
      </c>
      <c r="AJ164" s="379">
        <v>0</v>
      </c>
      <c r="AK164" s="378">
        <v>0</v>
      </c>
      <c r="AL164" s="365">
        <v>0</v>
      </c>
      <c r="AM164" s="365">
        <v>0</v>
      </c>
      <c r="AN164" s="378">
        <v>0</v>
      </c>
      <c r="AO164" s="378"/>
      <c r="AP164" s="378">
        <f t="shared" si="24"/>
        <v>0</v>
      </c>
      <c r="AQ164" s="465">
        <v>0</v>
      </c>
      <c r="AR164" s="379">
        <v>0</v>
      </c>
      <c r="AS164" s="378">
        <v>0</v>
      </c>
      <c r="AT164" s="466">
        <v>0</v>
      </c>
      <c r="AU164" s="466">
        <v>0</v>
      </c>
      <c r="AV164" s="379">
        <v>0</v>
      </c>
      <c r="AW164" s="379">
        <v>0</v>
      </c>
      <c r="AX164" s="378">
        <v>0</v>
      </c>
      <c r="AY164" s="365">
        <v>0</v>
      </c>
      <c r="AZ164" s="365">
        <v>0</v>
      </c>
      <c r="BA164" s="378">
        <v>0</v>
      </c>
      <c r="BB164" s="378"/>
      <c r="BC164" s="378">
        <f t="shared" si="25"/>
        <v>0</v>
      </c>
      <c r="BD164" s="379">
        <v>0</v>
      </c>
      <c r="BE164" s="379">
        <v>0</v>
      </c>
      <c r="BF164" s="365">
        <v>0</v>
      </c>
      <c r="BO164" s="381">
        <f t="shared" si="26"/>
        <v>0</v>
      </c>
      <c r="BP164" s="381">
        <f t="shared" si="27"/>
        <v>0</v>
      </c>
      <c r="BQ164" s="381"/>
      <c r="BR164" s="381">
        <f>_xlfn.XLOOKUP(A164,'Summer data team '!B:B,'Summer data team '!BV:BV,0)</f>
        <v>0</v>
      </c>
      <c r="BS164" s="381">
        <f>_xlfn.XLOOKUP(A164,'Summer data team '!B:B,'Summer data team '!BW:BW,0)</f>
        <v>0</v>
      </c>
      <c r="BT164" s="381">
        <f t="shared" si="28"/>
        <v>0</v>
      </c>
      <c r="BU164" s="381">
        <f t="shared" si="29"/>
        <v>0</v>
      </c>
    </row>
    <row r="165" spans="1:73" ht="13" hidden="1" x14ac:dyDescent="0.3">
      <c r="A165" s="364">
        <v>3303331</v>
      </c>
      <c r="B165" s="364" t="s">
        <v>358</v>
      </c>
      <c r="C165" s="365">
        <v>0</v>
      </c>
      <c r="D165" s="365">
        <v>0</v>
      </c>
      <c r="E165" s="365">
        <v>0</v>
      </c>
      <c r="F165" s="365">
        <v>25</v>
      </c>
      <c r="G165" s="365">
        <v>17</v>
      </c>
      <c r="H165" s="377">
        <v>0</v>
      </c>
      <c r="I165" s="377">
        <v>42</v>
      </c>
      <c r="J165" s="365">
        <v>4</v>
      </c>
      <c r="K165" s="365">
        <v>3</v>
      </c>
      <c r="L165" s="377">
        <v>7</v>
      </c>
      <c r="M165" s="365">
        <v>0</v>
      </c>
      <c r="N165" s="365">
        <v>0</v>
      </c>
      <c r="O165" s="365">
        <v>375</v>
      </c>
      <c r="P165" s="365">
        <v>255</v>
      </c>
      <c r="Q165" s="377">
        <v>630</v>
      </c>
      <c r="R165" s="365">
        <v>0</v>
      </c>
      <c r="S165" s="365">
        <v>0</v>
      </c>
      <c r="T165" s="365">
        <v>60</v>
      </c>
      <c r="U165" s="365">
        <v>45</v>
      </c>
      <c r="V165" s="377">
        <v>105</v>
      </c>
      <c r="W165" s="365">
        <v>15</v>
      </c>
      <c r="X165" s="365">
        <v>225</v>
      </c>
      <c r="Y165" s="378">
        <v>30</v>
      </c>
      <c r="Z165" s="365">
        <v>1</v>
      </c>
      <c r="AA165" s="365">
        <v>15</v>
      </c>
      <c r="AB165" s="378">
        <v>0</v>
      </c>
      <c r="AC165" s="365">
        <v>1</v>
      </c>
      <c r="AD165" s="365">
        <v>15</v>
      </c>
      <c r="AE165" s="378">
        <v>15</v>
      </c>
      <c r="AF165" s="379">
        <v>0</v>
      </c>
      <c r="AG165" s="379">
        <v>0</v>
      </c>
      <c r="AH165" s="378">
        <v>0</v>
      </c>
      <c r="AI165" s="379">
        <v>12</v>
      </c>
      <c r="AJ165" s="379">
        <v>180</v>
      </c>
      <c r="AK165" s="378">
        <v>15</v>
      </c>
      <c r="AL165" s="365">
        <v>12</v>
      </c>
      <c r="AM165" s="365">
        <v>180</v>
      </c>
      <c r="AN165" s="378">
        <v>15</v>
      </c>
      <c r="AO165" s="378"/>
      <c r="AP165" s="378">
        <f t="shared" si="24"/>
        <v>12</v>
      </c>
      <c r="AQ165" s="465">
        <v>0</v>
      </c>
      <c r="AR165" s="379">
        <v>0</v>
      </c>
      <c r="AS165" s="378">
        <v>0</v>
      </c>
      <c r="AT165" s="466">
        <v>11</v>
      </c>
      <c r="AU165" s="466">
        <v>1</v>
      </c>
      <c r="AV165" s="379">
        <v>12</v>
      </c>
      <c r="AW165" s="379">
        <v>180</v>
      </c>
      <c r="AX165" s="378">
        <v>15</v>
      </c>
      <c r="AY165" s="365">
        <v>12</v>
      </c>
      <c r="AZ165" s="365">
        <v>180</v>
      </c>
      <c r="BA165" s="378">
        <v>15</v>
      </c>
      <c r="BB165" s="378"/>
      <c r="BC165" s="378">
        <f t="shared" si="25"/>
        <v>12</v>
      </c>
      <c r="BD165" s="379">
        <v>0</v>
      </c>
      <c r="BE165" s="379">
        <v>0</v>
      </c>
      <c r="BF165" s="365">
        <v>0</v>
      </c>
      <c r="BO165" s="381">
        <f t="shared" si="26"/>
        <v>11</v>
      </c>
      <c r="BP165" s="381">
        <f t="shared" si="27"/>
        <v>1</v>
      </c>
      <c r="BQ165" s="381"/>
      <c r="BR165" s="381">
        <f>_xlfn.XLOOKUP(A165,'Summer data team '!B:B,'Summer data team '!BV:BV,0)</f>
        <v>11</v>
      </c>
      <c r="BS165" s="381">
        <f>_xlfn.XLOOKUP(A165,'Summer data team '!B:B,'Summer data team '!BW:BW,0)</f>
        <v>1</v>
      </c>
      <c r="BT165" s="381">
        <f t="shared" si="28"/>
        <v>0</v>
      </c>
      <c r="BU165" s="381">
        <f t="shared" si="29"/>
        <v>0</v>
      </c>
    </row>
    <row r="166" spans="1:73" ht="13" hidden="1" x14ac:dyDescent="0.3">
      <c r="A166" s="364">
        <v>3303346</v>
      </c>
      <c r="B166" s="364" t="s">
        <v>213</v>
      </c>
      <c r="C166" s="365">
        <v>0</v>
      </c>
      <c r="D166" s="365">
        <v>0</v>
      </c>
      <c r="E166" s="365">
        <v>0</v>
      </c>
      <c r="F166" s="365">
        <v>8</v>
      </c>
      <c r="G166" s="365">
        <v>17</v>
      </c>
      <c r="H166" s="377">
        <v>0</v>
      </c>
      <c r="I166" s="377">
        <v>25</v>
      </c>
      <c r="J166" s="365">
        <v>0</v>
      </c>
      <c r="K166" s="365">
        <v>4</v>
      </c>
      <c r="L166" s="377">
        <v>4</v>
      </c>
      <c r="M166" s="365">
        <v>0</v>
      </c>
      <c r="N166" s="365">
        <v>0</v>
      </c>
      <c r="O166" s="365">
        <v>120</v>
      </c>
      <c r="P166" s="365">
        <v>255</v>
      </c>
      <c r="Q166" s="377">
        <v>375</v>
      </c>
      <c r="R166" s="365">
        <v>0</v>
      </c>
      <c r="S166" s="365">
        <v>0</v>
      </c>
      <c r="T166" s="365">
        <v>0</v>
      </c>
      <c r="U166" s="365">
        <v>60</v>
      </c>
      <c r="V166" s="377">
        <v>60</v>
      </c>
      <c r="W166" s="365">
        <v>5</v>
      </c>
      <c r="X166" s="365">
        <v>75</v>
      </c>
      <c r="Y166" s="378">
        <v>0</v>
      </c>
      <c r="Z166" s="365">
        <v>17</v>
      </c>
      <c r="AA166" s="365">
        <v>255</v>
      </c>
      <c r="AB166" s="378">
        <v>60</v>
      </c>
      <c r="AC166" s="365">
        <v>1</v>
      </c>
      <c r="AD166" s="365">
        <v>15</v>
      </c>
      <c r="AE166" s="378">
        <v>0</v>
      </c>
      <c r="AF166" s="379">
        <v>0</v>
      </c>
      <c r="AG166" s="379">
        <v>0</v>
      </c>
      <c r="AH166" s="378">
        <v>0</v>
      </c>
      <c r="AI166" s="379">
        <v>3</v>
      </c>
      <c r="AJ166" s="379">
        <v>45</v>
      </c>
      <c r="AK166" s="378">
        <v>0</v>
      </c>
      <c r="AL166" s="365">
        <v>3</v>
      </c>
      <c r="AM166" s="365">
        <v>45</v>
      </c>
      <c r="AN166" s="378">
        <v>0</v>
      </c>
      <c r="AO166" s="378"/>
      <c r="AP166" s="378">
        <f t="shared" si="24"/>
        <v>3</v>
      </c>
      <c r="AQ166" s="465">
        <v>0</v>
      </c>
      <c r="AR166" s="379">
        <v>0</v>
      </c>
      <c r="AS166" s="378">
        <v>0</v>
      </c>
      <c r="AT166" s="466">
        <v>0</v>
      </c>
      <c r="AU166" s="466">
        <v>0</v>
      </c>
      <c r="AV166" s="379">
        <v>0</v>
      </c>
      <c r="AW166" s="379">
        <v>0</v>
      </c>
      <c r="AX166" s="378">
        <v>0</v>
      </c>
      <c r="AY166" s="365">
        <v>0</v>
      </c>
      <c r="AZ166" s="365">
        <v>0</v>
      </c>
      <c r="BA166" s="378">
        <v>0</v>
      </c>
      <c r="BB166" s="378"/>
      <c r="BC166" s="378">
        <f t="shared" si="25"/>
        <v>0</v>
      </c>
      <c r="BD166" s="379">
        <v>0</v>
      </c>
      <c r="BE166" s="379">
        <v>0</v>
      </c>
      <c r="BF166" s="365">
        <v>0</v>
      </c>
      <c r="BO166" s="381">
        <f t="shared" si="26"/>
        <v>0</v>
      </c>
      <c r="BP166" s="381">
        <f t="shared" si="27"/>
        <v>0</v>
      </c>
      <c r="BQ166" s="381"/>
      <c r="BR166" s="381">
        <f>_xlfn.XLOOKUP(A166,'Summer data team '!B:B,'Summer data team '!BV:BV,0)</f>
        <v>0</v>
      </c>
      <c r="BS166" s="381">
        <f>_xlfn.XLOOKUP(A166,'Summer data team '!B:B,'Summer data team '!BW:BW,0)</f>
        <v>0</v>
      </c>
      <c r="BT166" s="381">
        <f t="shared" si="28"/>
        <v>0</v>
      </c>
      <c r="BU166" s="381">
        <f t="shared" si="29"/>
        <v>0</v>
      </c>
    </row>
    <row r="167" spans="1:73" ht="13" hidden="1" x14ac:dyDescent="0.3">
      <c r="A167" s="364">
        <v>3303351</v>
      </c>
      <c r="B167" s="364" t="s">
        <v>359</v>
      </c>
      <c r="C167" s="365">
        <v>0</v>
      </c>
      <c r="D167" s="365">
        <v>0</v>
      </c>
      <c r="E167" s="365">
        <v>0</v>
      </c>
      <c r="F167" s="365">
        <v>14</v>
      </c>
      <c r="G167" s="365">
        <v>10</v>
      </c>
      <c r="H167" s="377">
        <v>0</v>
      </c>
      <c r="I167" s="377">
        <v>24</v>
      </c>
      <c r="J167" s="365">
        <v>2</v>
      </c>
      <c r="K167" s="365">
        <v>0</v>
      </c>
      <c r="L167" s="377">
        <v>2</v>
      </c>
      <c r="M167" s="365">
        <v>0</v>
      </c>
      <c r="N167" s="365">
        <v>0</v>
      </c>
      <c r="O167" s="365">
        <v>210</v>
      </c>
      <c r="P167" s="365">
        <v>150</v>
      </c>
      <c r="Q167" s="377">
        <v>360</v>
      </c>
      <c r="R167" s="365">
        <v>0</v>
      </c>
      <c r="S167" s="365">
        <v>0</v>
      </c>
      <c r="T167" s="365">
        <v>20</v>
      </c>
      <c r="U167" s="365">
        <v>0</v>
      </c>
      <c r="V167" s="377">
        <v>20</v>
      </c>
      <c r="W167" s="365">
        <v>3</v>
      </c>
      <c r="X167" s="365">
        <v>45</v>
      </c>
      <c r="Y167" s="378">
        <v>10</v>
      </c>
      <c r="Z167" s="365">
        <v>11</v>
      </c>
      <c r="AA167" s="365">
        <v>165</v>
      </c>
      <c r="AB167" s="378">
        <v>10</v>
      </c>
      <c r="AC167" s="365">
        <v>5</v>
      </c>
      <c r="AD167" s="365">
        <v>75</v>
      </c>
      <c r="AE167" s="378">
        <v>0</v>
      </c>
      <c r="AF167" s="379">
        <v>0</v>
      </c>
      <c r="AG167" s="379">
        <v>0</v>
      </c>
      <c r="AH167" s="378">
        <v>0</v>
      </c>
      <c r="AI167" s="379">
        <v>13</v>
      </c>
      <c r="AJ167" s="379">
        <v>195</v>
      </c>
      <c r="AK167" s="378">
        <v>0</v>
      </c>
      <c r="AL167" s="365">
        <v>13</v>
      </c>
      <c r="AM167" s="365">
        <v>195</v>
      </c>
      <c r="AN167" s="378">
        <v>0</v>
      </c>
      <c r="AO167" s="378"/>
      <c r="AP167" s="378">
        <f t="shared" si="24"/>
        <v>13</v>
      </c>
      <c r="AQ167" s="465">
        <v>0</v>
      </c>
      <c r="AR167" s="379">
        <v>0</v>
      </c>
      <c r="AS167" s="378">
        <v>0</v>
      </c>
      <c r="AT167" s="466">
        <v>12</v>
      </c>
      <c r="AU167" s="466">
        <v>0</v>
      </c>
      <c r="AV167" s="379">
        <v>12</v>
      </c>
      <c r="AW167" s="379">
        <v>180</v>
      </c>
      <c r="AX167" s="378">
        <v>0</v>
      </c>
      <c r="AY167" s="365">
        <v>12</v>
      </c>
      <c r="AZ167" s="365">
        <v>180</v>
      </c>
      <c r="BA167" s="378">
        <v>0</v>
      </c>
      <c r="BB167" s="378"/>
      <c r="BC167" s="378">
        <f t="shared" si="25"/>
        <v>12</v>
      </c>
      <c r="BD167" s="379">
        <v>0</v>
      </c>
      <c r="BE167" s="379">
        <v>0</v>
      </c>
      <c r="BF167" s="365">
        <v>0</v>
      </c>
      <c r="BO167" s="381">
        <f t="shared" si="26"/>
        <v>12</v>
      </c>
      <c r="BP167" s="381">
        <f t="shared" si="27"/>
        <v>0</v>
      </c>
      <c r="BQ167" s="381"/>
      <c r="BR167" s="381">
        <f>_xlfn.XLOOKUP(A167,'Summer data team '!B:B,'Summer data team '!BV:BV,0)</f>
        <v>12</v>
      </c>
      <c r="BS167" s="381">
        <f>_xlfn.XLOOKUP(A167,'Summer data team '!B:B,'Summer data team '!BW:BW,0)</f>
        <v>0</v>
      </c>
      <c r="BT167" s="381">
        <f t="shared" si="28"/>
        <v>0</v>
      </c>
      <c r="BU167" s="381">
        <f t="shared" si="29"/>
        <v>0</v>
      </c>
    </row>
    <row r="168" spans="1:73" ht="13" hidden="1" x14ac:dyDescent="0.3">
      <c r="A168" s="364">
        <v>3303352</v>
      </c>
      <c r="B168" s="364" t="s">
        <v>360</v>
      </c>
      <c r="C168" s="365">
        <v>0</v>
      </c>
      <c r="D168" s="365">
        <v>0</v>
      </c>
      <c r="E168" s="365">
        <v>0</v>
      </c>
      <c r="F168" s="365">
        <v>3</v>
      </c>
      <c r="G168" s="365">
        <v>4</v>
      </c>
      <c r="H168" s="377">
        <v>0</v>
      </c>
      <c r="I168" s="377">
        <v>7</v>
      </c>
      <c r="J168" s="365">
        <v>0</v>
      </c>
      <c r="K168" s="365">
        <v>0</v>
      </c>
      <c r="L168" s="377">
        <v>0</v>
      </c>
      <c r="M168" s="365">
        <v>0</v>
      </c>
      <c r="N168" s="365">
        <v>0</v>
      </c>
      <c r="O168" s="365">
        <v>45</v>
      </c>
      <c r="P168" s="365">
        <v>60</v>
      </c>
      <c r="Q168" s="377">
        <v>105</v>
      </c>
      <c r="R168" s="365">
        <v>0</v>
      </c>
      <c r="S168" s="365">
        <v>0</v>
      </c>
      <c r="T168" s="365">
        <v>0</v>
      </c>
      <c r="U168" s="365">
        <v>0</v>
      </c>
      <c r="V168" s="377">
        <v>0</v>
      </c>
      <c r="W168" s="365">
        <v>0</v>
      </c>
      <c r="X168" s="365">
        <v>0</v>
      </c>
      <c r="Y168" s="378">
        <v>0</v>
      </c>
      <c r="Z168" s="365">
        <v>0</v>
      </c>
      <c r="AA168" s="365">
        <v>0</v>
      </c>
      <c r="AB168" s="378">
        <v>0</v>
      </c>
      <c r="AC168" s="365">
        <v>0</v>
      </c>
      <c r="AD168" s="365">
        <v>0</v>
      </c>
      <c r="AE168" s="378">
        <v>0</v>
      </c>
      <c r="AF168" s="379">
        <v>0</v>
      </c>
      <c r="AG168" s="379">
        <v>0</v>
      </c>
      <c r="AH168" s="378">
        <v>0</v>
      </c>
      <c r="AI168" s="379">
        <v>0</v>
      </c>
      <c r="AJ168" s="379">
        <v>0</v>
      </c>
      <c r="AK168" s="378">
        <v>0</v>
      </c>
      <c r="AL168" s="365">
        <v>0</v>
      </c>
      <c r="AM168" s="365">
        <v>0</v>
      </c>
      <c r="AN168" s="378">
        <v>0</v>
      </c>
      <c r="AO168" s="378"/>
      <c r="AP168" s="378">
        <f t="shared" si="24"/>
        <v>0</v>
      </c>
      <c r="AQ168" s="465">
        <v>0</v>
      </c>
      <c r="AR168" s="379">
        <v>0</v>
      </c>
      <c r="AS168" s="378">
        <v>0</v>
      </c>
      <c r="AT168" s="466">
        <v>0</v>
      </c>
      <c r="AU168" s="466">
        <v>0</v>
      </c>
      <c r="AV168" s="379">
        <v>0</v>
      </c>
      <c r="AW168" s="379">
        <v>0</v>
      </c>
      <c r="AX168" s="378">
        <v>0</v>
      </c>
      <c r="AY168" s="365">
        <v>0</v>
      </c>
      <c r="AZ168" s="365">
        <v>0</v>
      </c>
      <c r="BA168" s="378">
        <v>0</v>
      </c>
      <c r="BB168" s="378"/>
      <c r="BC168" s="378">
        <f t="shared" si="25"/>
        <v>0</v>
      </c>
      <c r="BD168" s="379">
        <v>0</v>
      </c>
      <c r="BE168" s="379">
        <v>0</v>
      </c>
      <c r="BF168" s="365">
        <v>0</v>
      </c>
      <c r="BO168" s="381">
        <f t="shared" si="26"/>
        <v>0</v>
      </c>
      <c r="BP168" s="381">
        <f t="shared" si="27"/>
        <v>0</v>
      </c>
      <c r="BQ168" s="381"/>
      <c r="BR168" s="381">
        <f>_xlfn.XLOOKUP(A168,'Summer data team '!B:B,'Summer data team '!BV:BV,0)</f>
        <v>0</v>
      </c>
      <c r="BS168" s="381">
        <f>_xlfn.XLOOKUP(A168,'Summer data team '!B:B,'Summer data team '!BW:BW,0)</f>
        <v>0</v>
      </c>
      <c r="BT168" s="381">
        <f t="shared" si="28"/>
        <v>0</v>
      </c>
      <c r="BU168" s="381">
        <f t="shared" si="29"/>
        <v>0</v>
      </c>
    </row>
    <row r="169" spans="1:73" ht="13" hidden="1" x14ac:dyDescent="0.3">
      <c r="A169" s="364">
        <v>3303359</v>
      </c>
      <c r="B169" s="364" t="s">
        <v>403</v>
      </c>
      <c r="C169" s="365">
        <v>0</v>
      </c>
      <c r="D169" s="365">
        <v>0</v>
      </c>
      <c r="E169" s="365">
        <v>0</v>
      </c>
      <c r="F169" s="365">
        <v>9</v>
      </c>
      <c r="G169" s="365">
        <v>9</v>
      </c>
      <c r="H169" s="377">
        <v>0</v>
      </c>
      <c r="I169" s="377">
        <v>18</v>
      </c>
      <c r="J169" s="365">
        <v>0</v>
      </c>
      <c r="K169" s="365">
        <v>0</v>
      </c>
      <c r="L169" s="377">
        <v>0</v>
      </c>
      <c r="M169" s="365">
        <v>0</v>
      </c>
      <c r="N169" s="365">
        <v>0</v>
      </c>
      <c r="O169" s="365">
        <v>135</v>
      </c>
      <c r="P169" s="365">
        <v>135</v>
      </c>
      <c r="Q169" s="377">
        <v>270</v>
      </c>
      <c r="R169" s="365">
        <v>0</v>
      </c>
      <c r="S169" s="365">
        <v>0</v>
      </c>
      <c r="T169" s="365">
        <v>0</v>
      </c>
      <c r="U169" s="365">
        <v>0</v>
      </c>
      <c r="V169" s="377">
        <v>0</v>
      </c>
      <c r="W169" s="365">
        <v>9</v>
      </c>
      <c r="X169" s="365">
        <v>135</v>
      </c>
      <c r="Y169" s="378">
        <v>0</v>
      </c>
      <c r="Z169" s="365">
        <v>6</v>
      </c>
      <c r="AA169" s="365">
        <v>90</v>
      </c>
      <c r="AB169" s="378">
        <v>0</v>
      </c>
      <c r="AC169" s="365">
        <v>1</v>
      </c>
      <c r="AD169" s="365">
        <v>15</v>
      </c>
      <c r="AE169" s="378">
        <v>0</v>
      </c>
      <c r="AF169" s="379">
        <v>0</v>
      </c>
      <c r="AG169" s="379">
        <v>0</v>
      </c>
      <c r="AH169" s="378">
        <v>0</v>
      </c>
      <c r="AI169" s="379">
        <v>0</v>
      </c>
      <c r="AJ169" s="379">
        <v>0</v>
      </c>
      <c r="AK169" s="378">
        <v>0</v>
      </c>
      <c r="AL169" s="365">
        <v>0</v>
      </c>
      <c r="AM169" s="365">
        <v>0</v>
      </c>
      <c r="AN169" s="378">
        <v>0</v>
      </c>
      <c r="AO169" s="378"/>
      <c r="AP169" s="378">
        <f t="shared" si="24"/>
        <v>0</v>
      </c>
      <c r="AQ169" s="465">
        <v>0</v>
      </c>
      <c r="AR169" s="379">
        <v>0</v>
      </c>
      <c r="AS169" s="378">
        <v>0</v>
      </c>
      <c r="AT169" s="466">
        <v>0</v>
      </c>
      <c r="AU169" s="466">
        <v>0</v>
      </c>
      <c r="AV169" s="379">
        <v>0</v>
      </c>
      <c r="AW169" s="379">
        <v>0</v>
      </c>
      <c r="AX169" s="378">
        <v>0</v>
      </c>
      <c r="AY169" s="365">
        <v>0</v>
      </c>
      <c r="AZ169" s="365">
        <v>0</v>
      </c>
      <c r="BA169" s="378">
        <v>0</v>
      </c>
      <c r="BB169" s="378"/>
      <c r="BC169" s="378">
        <f t="shared" si="25"/>
        <v>0</v>
      </c>
      <c r="BD169" s="379">
        <v>0</v>
      </c>
      <c r="BE169" s="379">
        <v>0</v>
      </c>
      <c r="BF169" s="365">
        <v>0</v>
      </c>
      <c r="BO169" s="381">
        <f t="shared" si="26"/>
        <v>0</v>
      </c>
      <c r="BP169" s="381">
        <f t="shared" si="27"/>
        <v>0</v>
      </c>
      <c r="BQ169" s="381"/>
      <c r="BR169" s="381">
        <f>_xlfn.XLOOKUP(A169,'Summer data team '!B:B,'Summer data team '!BV:BV,0)</f>
        <v>0</v>
      </c>
      <c r="BS169" s="381">
        <f>_xlfn.XLOOKUP(A169,'Summer data team '!B:B,'Summer data team '!BW:BW,0)</f>
        <v>0</v>
      </c>
      <c r="BT169" s="381">
        <f t="shared" si="28"/>
        <v>0</v>
      </c>
      <c r="BU169" s="381">
        <f t="shared" si="29"/>
        <v>0</v>
      </c>
    </row>
    <row r="170" spans="1:73" ht="13" hidden="1" x14ac:dyDescent="0.3">
      <c r="A170" s="364">
        <v>3303361</v>
      </c>
      <c r="B170" s="364" t="s">
        <v>858</v>
      </c>
      <c r="C170" s="365">
        <v>0</v>
      </c>
      <c r="D170" s="365">
        <v>0</v>
      </c>
      <c r="E170" s="365">
        <v>0</v>
      </c>
      <c r="F170" s="365">
        <v>12</v>
      </c>
      <c r="G170" s="365">
        <v>8</v>
      </c>
      <c r="H170" s="377">
        <v>0</v>
      </c>
      <c r="I170" s="377">
        <v>20</v>
      </c>
      <c r="J170" s="365">
        <v>2</v>
      </c>
      <c r="K170" s="365">
        <v>3</v>
      </c>
      <c r="L170" s="377">
        <v>5</v>
      </c>
      <c r="M170" s="365">
        <v>0</v>
      </c>
      <c r="N170" s="365">
        <v>0</v>
      </c>
      <c r="O170" s="365">
        <v>180</v>
      </c>
      <c r="P170" s="365">
        <v>120</v>
      </c>
      <c r="Q170" s="377">
        <v>300</v>
      </c>
      <c r="R170" s="365">
        <v>0</v>
      </c>
      <c r="S170" s="365">
        <v>0</v>
      </c>
      <c r="T170" s="365">
        <v>30</v>
      </c>
      <c r="U170" s="365">
        <v>45</v>
      </c>
      <c r="V170" s="377">
        <v>75</v>
      </c>
      <c r="W170" s="365">
        <v>5</v>
      </c>
      <c r="X170" s="365">
        <v>75</v>
      </c>
      <c r="Y170" s="378">
        <v>0</v>
      </c>
      <c r="Z170" s="365">
        <v>5</v>
      </c>
      <c r="AA170" s="365">
        <v>75</v>
      </c>
      <c r="AB170" s="378">
        <v>30</v>
      </c>
      <c r="AC170" s="365">
        <v>2</v>
      </c>
      <c r="AD170" s="365">
        <v>30</v>
      </c>
      <c r="AE170" s="378">
        <v>0</v>
      </c>
      <c r="AF170" s="379">
        <v>0</v>
      </c>
      <c r="AG170" s="379">
        <v>0</v>
      </c>
      <c r="AH170" s="378">
        <v>0</v>
      </c>
      <c r="AI170" s="379">
        <v>10</v>
      </c>
      <c r="AJ170" s="379">
        <v>150</v>
      </c>
      <c r="AK170" s="378">
        <v>0</v>
      </c>
      <c r="AL170" s="365">
        <v>10</v>
      </c>
      <c r="AM170" s="365">
        <v>150</v>
      </c>
      <c r="AN170" s="378">
        <v>0</v>
      </c>
      <c r="AO170" s="378"/>
      <c r="AP170" s="378">
        <f t="shared" si="24"/>
        <v>10</v>
      </c>
      <c r="AQ170" s="465">
        <v>0</v>
      </c>
      <c r="AR170" s="379">
        <v>0</v>
      </c>
      <c r="AS170" s="378">
        <v>0</v>
      </c>
      <c r="AT170" s="466">
        <v>10</v>
      </c>
      <c r="AU170" s="466">
        <v>0</v>
      </c>
      <c r="AV170" s="379">
        <v>10</v>
      </c>
      <c r="AW170" s="379">
        <v>150</v>
      </c>
      <c r="AX170" s="378">
        <v>0</v>
      </c>
      <c r="AY170" s="365">
        <v>10</v>
      </c>
      <c r="AZ170" s="365">
        <v>150</v>
      </c>
      <c r="BA170" s="378">
        <v>0</v>
      </c>
      <c r="BB170" s="378"/>
      <c r="BC170" s="378">
        <f t="shared" si="25"/>
        <v>10</v>
      </c>
      <c r="BD170" s="379">
        <v>0</v>
      </c>
      <c r="BE170" s="379">
        <v>0</v>
      </c>
      <c r="BF170" s="365">
        <v>0</v>
      </c>
      <c r="BO170" s="381">
        <f t="shared" si="26"/>
        <v>10</v>
      </c>
      <c r="BP170" s="381">
        <f t="shared" si="27"/>
        <v>0</v>
      </c>
      <c r="BQ170" s="381"/>
      <c r="BR170" s="381">
        <f>_xlfn.XLOOKUP(A170,'Summer data team '!B:B,'Summer data team '!BV:BV,0)</f>
        <v>10</v>
      </c>
      <c r="BS170" s="381">
        <f>_xlfn.XLOOKUP(A170,'Summer data team '!B:B,'Summer data team '!BW:BW,0)</f>
        <v>0</v>
      </c>
      <c r="BT170" s="381">
        <f t="shared" si="28"/>
        <v>0</v>
      </c>
      <c r="BU170" s="381">
        <f t="shared" si="29"/>
        <v>0</v>
      </c>
    </row>
    <row r="171" spans="1:73" ht="13" hidden="1" x14ac:dyDescent="0.3">
      <c r="A171" s="364">
        <v>3303363</v>
      </c>
      <c r="B171" s="364" t="s">
        <v>362</v>
      </c>
      <c r="C171" s="365">
        <v>0</v>
      </c>
      <c r="D171" s="365">
        <v>0</v>
      </c>
      <c r="E171" s="365">
        <v>0</v>
      </c>
      <c r="F171" s="365">
        <v>11</v>
      </c>
      <c r="G171" s="365">
        <v>13</v>
      </c>
      <c r="H171" s="377">
        <v>0</v>
      </c>
      <c r="I171" s="377">
        <v>24</v>
      </c>
      <c r="J171" s="365">
        <v>0</v>
      </c>
      <c r="K171" s="365">
        <v>0</v>
      </c>
      <c r="L171" s="377">
        <v>0</v>
      </c>
      <c r="M171" s="365">
        <v>0</v>
      </c>
      <c r="N171" s="365">
        <v>0</v>
      </c>
      <c r="O171" s="365">
        <v>165</v>
      </c>
      <c r="P171" s="365">
        <v>195</v>
      </c>
      <c r="Q171" s="377">
        <v>360</v>
      </c>
      <c r="R171" s="365">
        <v>0</v>
      </c>
      <c r="S171" s="365">
        <v>0</v>
      </c>
      <c r="T171" s="365">
        <v>0</v>
      </c>
      <c r="U171" s="365">
        <v>0</v>
      </c>
      <c r="V171" s="377">
        <v>0</v>
      </c>
      <c r="W171" s="365">
        <v>3</v>
      </c>
      <c r="X171" s="365">
        <v>45</v>
      </c>
      <c r="Y171" s="378">
        <v>0</v>
      </c>
      <c r="Z171" s="365">
        <v>0</v>
      </c>
      <c r="AA171" s="365">
        <v>0</v>
      </c>
      <c r="AB171" s="378">
        <v>0</v>
      </c>
      <c r="AC171" s="365">
        <v>3</v>
      </c>
      <c r="AD171" s="365">
        <v>45</v>
      </c>
      <c r="AE171" s="378">
        <v>0</v>
      </c>
      <c r="AF171" s="379">
        <v>0</v>
      </c>
      <c r="AG171" s="379">
        <v>0</v>
      </c>
      <c r="AH171" s="378">
        <v>0</v>
      </c>
      <c r="AI171" s="379">
        <v>6</v>
      </c>
      <c r="AJ171" s="379">
        <v>90</v>
      </c>
      <c r="AK171" s="378">
        <v>0</v>
      </c>
      <c r="AL171" s="365">
        <v>6</v>
      </c>
      <c r="AM171" s="365">
        <v>90</v>
      </c>
      <c r="AN171" s="378">
        <v>0</v>
      </c>
      <c r="AO171" s="378"/>
      <c r="AP171" s="378">
        <f t="shared" si="24"/>
        <v>6</v>
      </c>
      <c r="AQ171" s="465">
        <v>0</v>
      </c>
      <c r="AR171" s="379">
        <v>0</v>
      </c>
      <c r="AS171" s="378">
        <v>0</v>
      </c>
      <c r="AT171" s="466">
        <v>6</v>
      </c>
      <c r="AU171" s="466">
        <v>0</v>
      </c>
      <c r="AV171" s="379">
        <v>6</v>
      </c>
      <c r="AW171" s="379">
        <v>90</v>
      </c>
      <c r="AX171" s="378">
        <v>0</v>
      </c>
      <c r="AY171" s="365">
        <v>6</v>
      </c>
      <c r="AZ171" s="365">
        <v>90</v>
      </c>
      <c r="BA171" s="378">
        <v>0</v>
      </c>
      <c r="BB171" s="378"/>
      <c r="BC171" s="378">
        <f t="shared" si="25"/>
        <v>6</v>
      </c>
      <c r="BD171" s="379">
        <v>0</v>
      </c>
      <c r="BE171" s="379">
        <v>0</v>
      </c>
      <c r="BF171" s="365">
        <v>0</v>
      </c>
      <c r="BO171" s="381">
        <f t="shared" si="26"/>
        <v>6</v>
      </c>
      <c r="BP171" s="381">
        <f t="shared" si="27"/>
        <v>0</v>
      </c>
      <c r="BQ171" s="381"/>
      <c r="BR171" s="381">
        <f>_xlfn.XLOOKUP(A171,'Summer data team '!B:B,'Summer data team '!BV:BV,0)</f>
        <v>6</v>
      </c>
      <c r="BS171" s="381">
        <f>_xlfn.XLOOKUP(A171,'Summer data team '!B:B,'Summer data team '!BW:BW,0)</f>
        <v>0</v>
      </c>
      <c r="BT171" s="381">
        <f t="shared" si="28"/>
        <v>0</v>
      </c>
      <c r="BU171" s="381">
        <f t="shared" si="29"/>
        <v>0</v>
      </c>
    </row>
    <row r="172" spans="1:73" ht="13" hidden="1" x14ac:dyDescent="0.3">
      <c r="A172" s="364">
        <v>3303366</v>
      </c>
      <c r="B172" s="364" t="s">
        <v>363</v>
      </c>
      <c r="C172" s="365">
        <v>0</v>
      </c>
      <c r="D172" s="365">
        <v>0</v>
      </c>
      <c r="E172" s="365">
        <v>0</v>
      </c>
      <c r="F172" s="365">
        <v>6</v>
      </c>
      <c r="G172" s="365">
        <v>4</v>
      </c>
      <c r="H172" s="377">
        <v>0</v>
      </c>
      <c r="I172" s="377">
        <v>10</v>
      </c>
      <c r="J172" s="365">
        <v>0</v>
      </c>
      <c r="K172" s="365">
        <v>0</v>
      </c>
      <c r="L172" s="377">
        <v>0</v>
      </c>
      <c r="M172" s="365">
        <v>0</v>
      </c>
      <c r="N172" s="365">
        <v>0</v>
      </c>
      <c r="O172" s="365">
        <v>90</v>
      </c>
      <c r="P172" s="365">
        <v>60</v>
      </c>
      <c r="Q172" s="377">
        <v>150</v>
      </c>
      <c r="R172" s="365">
        <v>0</v>
      </c>
      <c r="S172" s="365">
        <v>0</v>
      </c>
      <c r="T172" s="365">
        <v>0</v>
      </c>
      <c r="U172" s="365">
        <v>0</v>
      </c>
      <c r="V172" s="377">
        <v>0</v>
      </c>
      <c r="W172" s="365">
        <v>4</v>
      </c>
      <c r="X172" s="365">
        <v>60</v>
      </c>
      <c r="Y172" s="378">
        <v>0</v>
      </c>
      <c r="Z172" s="365">
        <v>2</v>
      </c>
      <c r="AA172" s="365">
        <v>30</v>
      </c>
      <c r="AB172" s="378">
        <v>0</v>
      </c>
      <c r="AC172" s="365">
        <v>1</v>
      </c>
      <c r="AD172" s="365">
        <v>15</v>
      </c>
      <c r="AE172" s="378">
        <v>0</v>
      </c>
      <c r="AF172" s="379">
        <v>0</v>
      </c>
      <c r="AG172" s="379">
        <v>0</v>
      </c>
      <c r="AH172" s="378">
        <v>0</v>
      </c>
      <c r="AI172" s="379">
        <v>6</v>
      </c>
      <c r="AJ172" s="379">
        <v>90</v>
      </c>
      <c r="AK172" s="378">
        <v>0</v>
      </c>
      <c r="AL172" s="365">
        <v>6</v>
      </c>
      <c r="AM172" s="365">
        <v>90</v>
      </c>
      <c r="AN172" s="378">
        <v>0</v>
      </c>
      <c r="AO172" s="378"/>
      <c r="AP172" s="378">
        <f t="shared" si="24"/>
        <v>6</v>
      </c>
      <c r="AQ172" s="465">
        <v>0</v>
      </c>
      <c r="AR172" s="379">
        <v>0</v>
      </c>
      <c r="AS172" s="378">
        <v>0</v>
      </c>
      <c r="AT172" s="466">
        <v>6</v>
      </c>
      <c r="AU172" s="466">
        <v>0</v>
      </c>
      <c r="AV172" s="379">
        <v>6</v>
      </c>
      <c r="AW172" s="379">
        <v>90</v>
      </c>
      <c r="AX172" s="378">
        <v>0</v>
      </c>
      <c r="AY172" s="365">
        <v>6</v>
      </c>
      <c r="AZ172" s="365">
        <v>90</v>
      </c>
      <c r="BA172" s="378">
        <v>0</v>
      </c>
      <c r="BB172" s="378"/>
      <c r="BC172" s="378">
        <f t="shared" si="25"/>
        <v>6</v>
      </c>
      <c r="BD172" s="379">
        <v>0</v>
      </c>
      <c r="BE172" s="379">
        <v>0</v>
      </c>
      <c r="BF172" s="365">
        <v>0</v>
      </c>
      <c r="BO172" s="381">
        <f t="shared" si="26"/>
        <v>6</v>
      </c>
      <c r="BP172" s="381">
        <f t="shared" si="27"/>
        <v>0</v>
      </c>
      <c r="BQ172" s="381"/>
      <c r="BR172" s="381">
        <f>_xlfn.XLOOKUP(A172,'Summer data team '!B:B,'Summer data team '!BV:BV,0)</f>
        <v>6</v>
      </c>
      <c r="BS172" s="381">
        <f>_xlfn.XLOOKUP(A172,'Summer data team '!B:B,'Summer data team '!BW:BW,0)</f>
        <v>0</v>
      </c>
      <c r="BT172" s="381">
        <f t="shared" si="28"/>
        <v>0</v>
      </c>
      <c r="BU172" s="381">
        <f t="shared" si="29"/>
        <v>0</v>
      </c>
    </row>
    <row r="173" spans="1:73" ht="13" hidden="1" x14ac:dyDescent="0.3">
      <c r="A173" s="364">
        <v>3303367</v>
      </c>
      <c r="B173" s="364" t="s">
        <v>364</v>
      </c>
      <c r="C173" s="365">
        <v>0</v>
      </c>
      <c r="D173" s="365">
        <v>0</v>
      </c>
      <c r="E173" s="365">
        <v>0</v>
      </c>
      <c r="F173" s="365">
        <v>12</v>
      </c>
      <c r="G173" s="365">
        <v>14</v>
      </c>
      <c r="H173" s="377">
        <v>0</v>
      </c>
      <c r="I173" s="377">
        <v>26</v>
      </c>
      <c r="J173" s="365">
        <v>4</v>
      </c>
      <c r="K173" s="365">
        <v>5</v>
      </c>
      <c r="L173" s="377">
        <v>9</v>
      </c>
      <c r="M173" s="365">
        <v>0</v>
      </c>
      <c r="N173" s="365">
        <v>0</v>
      </c>
      <c r="O173" s="365">
        <v>180</v>
      </c>
      <c r="P173" s="365">
        <v>210</v>
      </c>
      <c r="Q173" s="377">
        <v>390</v>
      </c>
      <c r="R173" s="365">
        <v>0</v>
      </c>
      <c r="S173" s="365">
        <v>0</v>
      </c>
      <c r="T173" s="365">
        <v>60</v>
      </c>
      <c r="U173" s="365">
        <v>75</v>
      </c>
      <c r="V173" s="377">
        <v>135</v>
      </c>
      <c r="W173" s="365">
        <v>12</v>
      </c>
      <c r="X173" s="365">
        <v>180</v>
      </c>
      <c r="Y173" s="378">
        <v>45</v>
      </c>
      <c r="Z173" s="365">
        <v>2</v>
      </c>
      <c r="AA173" s="365">
        <v>30</v>
      </c>
      <c r="AB173" s="378">
        <v>15</v>
      </c>
      <c r="AC173" s="365">
        <v>1</v>
      </c>
      <c r="AD173" s="365">
        <v>15</v>
      </c>
      <c r="AE173" s="378">
        <v>0</v>
      </c>
      <c r="AF173" s="379">
        <v>0</v>
      </c>
      <c r="AG173" s="379">
        <v>0</v>
      </c>
      <c r="AH173" s="378">
        <v>0</v>
      </c>
      <c r="AI173" s="379">
        <v>7</v>
      </c>
      <c r="AJ173" s="379">
        <v>105</v>
      </c>
      <c r="AK173" s="378">
        <v>0</v>
      </c>
      <c r="AL173" s="365">
        <v>7</v>
      </c>
      <c r="AM173" s="365">
        <v>105</v>
      </c>
      <c r="AN173" s="378">
        <v>0</v>
      </c>
      <c r="AO173" s="378"/>
      <c r="AP173" s="378">
        <f t="shared" si="24"/>
        <v>7</v>
      </c>
      <c r="AQ173" s="465">
        <v>0</v>
      </c>
      <c r="AR173" s="379">
        <v>0</v>
      </c>
      <c r="AS173" s="378">
        <v>0</v>
      </c>
      <c r="AT173" s="466">
        <v>7</v>
      </c>
      <c r="AU173" s="466">
        <v>0</v>
      </c>
      <c r="AV173" s="379">
        <v>7</v>
      </c>
      <c r="AW173" s="379">
        <v>105</v>
      </c>
      <c r="AX173" s="378">
        <v>0</v>
      </c>
      <c r="AY173" s="365">
        <v>7</v>
      </c>
      <c r="AZ173" s="365">
        <v>105</v>
      </c>
      <c r="BA173" s="378">
        <v>0</v>
      </c>
      <c r="BB173" s="378"/>
      <c r="BC173" s="378">
        <f t="shared" si="25"/>
        <v>7</v>
      </c>
      <c r="BD173" s="379">
        <v>0</v>
      </c>
      <c r="BE173" s="379">
        <v>0</v>
      </c>
      <c r="BF173" s="365">
        <v>0</v>
      </c>
      <c r="BO173" s="381">
        <f t="shared" si="26"/>
        <v>7</v>
      </c>
      <c r="BP173" s="381">
        <f t="shared" si="27"/>
        <v>0</v>
      </c>
      <c r="BQ173" s="381"/>
      <c r="BR173" s="381">
        <f>_xlfn.XLOOKUP(A173,'Summer data team '!B:B,'Summer data team '!BV:BV,0)</f>
        <v>7</v>
      </c>
      <c r="BS173" s="381">
        <f>_xlfn.XLOOKUP(A173,'Summer data team '!B:B,'Summer data team '!BW:BW,0)</f>
        <v>0</v>
      </c>
      <c r="BT173" s="381">
        <f t="shared" si="28"/>
        <v>0</v>
      </c>
      <c r="BU173" s="381">
        <f t="shared" si="29"/>
        <v>0</v>
      </c>
    </row>
    <row r="174" spans="1:73" ht="13" hidden="1" x14ac:dyDescent="0.3">
      <c r="A174" s="364">
        <v>3303372</v>
      </c>
      <c r="B174" s="364" t="s">
        <v>365</v>
      </c>
      <c r="C174" s="365">
        <v>0</v>
      </c>
      <c r="D174" s="365">
        <v>0</v>
      </c>
      <c r="E174" s="365">
        <v>0</v>
      </c>
      <c r="F174" s="365">
        <v>25</v>
      </c>
      <c r="G174" s="365">
        <v>28</v>
      </c>
      <c r="H174" s="377">
        <v>0</v>
      </c>
      <c r="I174" s="377">
        <v>53</v>
      </c>
      <c r="J174" s="365">
        <v>3</v>
      </c>
      <c r="K174" s="365">
        <v>1</v>
      </c>
      <c r="L174" s="377">
        <v>4</v>
      </c>
      <c r="M174" s="365">
        <v>0</v>
      </c>
      <c r="N174" s="365">
        <v>0</v>
      </c>
      <c r="O174" s="365">
        <v>375</v>
      </c>
      <c r="P174" s="365">
        <v>420</v>
      </c>
      <c r="Q174" s="377">
        <v>795</v>
      </c>
      <c r="R174" s="365">
        <v>0</v>
      </c>
      <c r="S174" s="365">
        <v>0</v>
      </c>
      <c r="T174" s="365">
        <v>45</v>
      </c>
      <c r="U174" s="365">
        <v>15</v>
      </c>
      <c r="V174" s="377">
        <v>60</v>
      </c>
      <c r="W174" s="365">
        <v>8</v>
      </c>
      <c r="X174" s="365">
        <v>120</v>
      </c>
      <c r="Y174" s="378">
        <v>30</v>
      </c>
      <c r="Z174" s="365">
        <v>7</v>
      </c>
      <c r="AA174" s="365">
        <v>105</v>
      </c>
      <c r="AB174" s="378">
        <v>0</v>
      </c>
      <c r="AC174" s="365">
        <v>19</v>
      </c>
      <c r="AD174" s="365">
        <v>285</v>
      </c>
      <c r="AE174" s="378">
        <v>0</v>
      </c>
      <c r="AF174" s="379">
        <v>0</v>
      </c>
      <c r="AG174" s="379">
        <v>0</v>
      </c>
      <c r="AH174" s="378">
        <v>0</v>
      </c>
      <c r="AI174" s="379">
        <v>19</v>
      </c>
      <c r="AJ174" s="379">
        <v>285</v>
      </c>
      <c r="AK174" s="378">
        <v>15</v>
      </c>
      <c r="AL174" s="365">
        <v>19</v>
      </c>
      <c r="AM174" s="365">
        <v>285</v>
      </c>
      <c r="AN174" s="378">
        <v>15</v>
      </c>
      <c r="AO174" s="378"/>
      <c r="AP174" s="378">
        <f t="shared" si="24"/>
        <v>19</v>
      </c>
      <c r="AQ174" s="465">
        <v>0</v>
      </c>
      <c r="AR174" s="379">
        <v>0</v>
      </c>
      <c r="AS174" s="378">
        <v>0</v>
      </c>
      <c r="AT174" s="466">
        <v>18</v>
      </c>
      <c r="AU174" s="466">
        <v>1</v>
      </c>
      <c r="AV174" s="379">
        <v>19</v>
      </c>
      <c r="AW174" s="379">
        <v>285</v>
      </c>
      <c r="AX174" s="378">
        <v>15</v>
      </c>
      <c r="AY174" s="365">
        <v>19</v>
      </c>
      <c r="AZ174" s="365">
        <v>285</v>
      </c>
      <c r="BA174" s="378">
        <v>15</v>
      </c>
      <c r="BB174" s="378"/>
      <c r="BC174" s="378">
        <f t="shared" si="25"/>
        <v>19</v>
      </c>
      <c r="BD174" s="379">
        <v>0</v>
      </c>
      <c r="BE174" s="379">
        <v>0</v>
      </c>
      <c r="BF174" s="365">
        <v>0</v>
      </c>
      <c r="BO174" s="381">
        <f t="shared" si="26"/>
        <v>18</v>
      </c>
      <c r="BP174" s="381">
        <f t="shared" si="27"/>
        <v>1</v>
      </c>
      <c r="BQ174" s="381"/>
      <c r="BR174" s="381">
        <f>_xlfn.XLOOKUP(A174,'Summer data team '!B:B,'Summer data team '!BV:BV,0)</f>
        <v>18</v>
      </c>
      <c r="BS174" s="381">
        <f>_xlfn.XLOOKUP(A174,'Summer data team '!B:B,'Summer data team '!BW:BW,0)</f>
        <v>1</v>
      </c>
      <c r="BT174" s="381">
        <f t="shared" si="28"/>
        <v>0</v>
      </c>
      <c r="BU174" s="381">
        <f t="shared" si="29"/>
        <v>0</v>
      </c>
    </row>
    <row r="175" spans="1:73" ht="13" hidden="1" x14ac:dyDescent="0.3">
      <c r="A175" s="364">
        <v>3303377</v>
      </c>
      <c r="B175" s="364" t="s">
        <v>366</v>
      </c>
      <c r="C175" s="365">
        <v>0</v>
      </c>
      <c r="D175" s="365">
        <v>0</v>
      </c>
      <c r="E175" s="365">
        <v>0</v>
      </c>
      <c r="F175" s="365">
        <v>11</v>
      </c>
      <c r="G175" s="365">
        <v>8</v>
      </c>
      <c r="H175" s="377">
        <v>0</v>
      </c>
      <c r="I175" s="377">
        <v>19</v>
      </c>
      <c r="J175" s="365">
        <v>0</v>
      </c>
      <c r="K175" s="365">
        <v>0</v>
      </c>
      <c r="L175" s="377">
        <v>0</v>
      </c>
      <c r="M175" s="365">
        <v>0</v>
      </c>
      <c r="N175" s="365">
        <v>0</v>
      </c>
      <c r="O175" s="365">
        <v>165</v>
      </c>
      <c r="P175" s="365">
        <v>120</v>
      </c>
      <c r="Q175" s="377">
        <v>285</v>
      </c>
      <c r="R175" s="365">
        <v>0</v>
      </c>
      <c r="S175" s="365">
        <v>0</v>
      </c>
      <c r="T175" s="365">
        <v>0</v>
      </c>
      <c r="U175" s="365">
        <v>0</v>
      </c>
      <c r="V175" s="377">
        <v>0</v>
      </c>
      <c r="W175" s="365">
        <v>14</v>
      </c>
      <c r="X175" s="365">
        <v>210</v>
      </c>
      <c r="Y175" s="378">
        <v>0</v>
      </c>
      <c r="Z175" s="365">
        <v>3</v>
      </c>
      <c r="AA175" s="365">
        <v>45</v>
      </c>
      <c r="AB175" s="378">
        <v>0</v>
      </c>
      <c r="AC175" s="365">
        <v>0</v>
      </c>
      <c r="AD175" s="365">
        <v>0</v>
      </c>
      <c r="AE175" s="378">
        <v>0</v>
      </c>
      <c r="AF175" s="379">
        <v>0</v>
      </c>
      <c r="AG175" s="379">
        <v>0</v>
      </c>
      <c r="AH175" s="378">
        <v>0</v>
      </c>
      <c r="AI175" s="379">
        <v>13</v>
      </c>
      <c r="AJ175" s="379">
        <v>195</v>
      </c>
      <c r="AK175" s="378">
        <v>0</v>
      </c>
      <c r="AL175" s="365">
        <v>13</v>
      </c>
      <c r="AM175" s="365">
        <v>195</v>
      </c>
      <c r="AN175" s="378">
        <v>0</v>
      </c>
      <c r="AO175" s="378"/>
      <c r="AP175" s="378">
        <f t="shared" si="24"/>
        <v>13</v>
      </c>
      <c r="AQ175" s="465">
        <v>0</v>
      </c>
      <c r="AR175" s="379">
        <v>0</v>
      </c>
      <c r="AS175" s="378">
        <v>0</v>
      </c>
      <c r="AT175" s="466">
        <v>0</v>
      </c>
      <c r="AU175" s="466">
        <v>0</v>
      </c>
      <c r="AV175" s="379">
        <v>0</v>
      </c>
      <c r="AW175" s="379">
        <v>0</v>
      </c>
      <c r="AX175" s="378">
        <v>0</v>
      </c>
      <c r="AY175" s="365">
        <v>0</v>
      </c>
      <c r="AZ175" s="365">
        <v>0</v>
      </c>
      <c r="BA175" s="378">
        <v>0</v>
      </c>
      <c r="BB175" s="378"/>
      <c r="BC175" s="378">
        <f t="shared" si="25"/>
        <v>0</v>
      </c>
      <c r="BD175" s="379">
        <v>0</v>
      </c>
      <c r="BE175" s="379">
        <v>0</v>
      </c>
      <c r="BF175" s="365">
        <v>0</v>
      </c>
      <c r="BO175" s="381">
        <f t="shared" si="26"/>
        <v>0</v>
      </c>
      <c r="BP175" s="381">
        <f t="shared" si="27"/>
        <v>0</v>
      </c>
      <c r="BQ175" s="381"/>
      <c r="BR175" s="381">
        <f>_xlfn.XLOOKUP(A175,'Summer data team '!B:B,'Summer data team '!BV:BV,0)</f>
        <v>0</v>
      </c>
      <c r="BS175" s="381">
        <f>_xlfn.XLOOKUP(A175,'Summer data team '!B:B,'Summer data team '!BW:BW,0)</f>
        <v>0</v>
      </c>
      <c r="BT175" s="381">
        <f t="shared" si="28"/>
        <v>0</v>
      </c>
      <c r="BU175" s="381">
        <f t="shared" si="29"/>
        <v>0</v>
      </c>
    </row>
    <row r="176" spans="1:73" ht="13" hidden="1" x14ac:dyDescent="0.3">
      <c r="A176" s="364">
        <v>3303386</v>
      </c>
      <c r="B176" s="364" t="s">
        <v>859</v>
      </c>
      <c r="C176" s="365">
        <v>0</v>
      </c>
      <c r="D176" s="365">
        <v>0</v>
      </c>
      <c r="E176" s="365">
        <v>0</v>
      </c>
      <c r="F176" s="365">
        <v>14</v>
      </c>
      <c r="G176" s="365">
        <v>18</v>
      </c>
      <c r="H176" s="377">
        <v>0</v>
      </c>
      <c r="I176" s="377">
        <v>32</v>
      </c>
      <c r="J176" s="365">
        <v>3</v>
      </c>
      <c r="K176" s="365">
        <v>6</v>
      </c>
      <c r="L176" s="377">
        <v>9</v>
      </c>
      <c r="M176" s="365">
        <v>0</v>
      </c>
      <c r="N176" s="365">
        <v>0</v>
      </c>
      <c r="O176" s="365">
        <v>210</v>
      </c>
      <c r="P176" s="365">
        <v>270</v>
      </c>
      <c r="Q176" s="377">
        <v>480</v>
      </c>
      <c r="R176" s="365">
        <v>0</v>
      </c>
      <c r="S176" s="365">
        <v>0</v>
      </c>
      <c r="T176" s="365">
        <v>45</v>
      </c>
      <c r="U176" s="365">
        <v>90</v>
      </c>
      <c r="V176" s="377">
        <v>135</v>
      </c>
      <c r="W176" s="365">
        <v>2</v>
      </c>
      <c r="X176" s="365">
        <v>30</v>
      </c>
      <c r="Y176" s="378">
        <v>15</v>
      </c>
      <c r="Z176" s="365">
        <v>18</v>
      </c>
      <c r="AA176" s="365">
        <v>270</v>
      </c>
      <c r="AB176" s="378">
        <v>15</v>
      </c>
      <c r="AC176" s="365">
        <v>4</v>
      </c>
      <c r="AD176" s="365">
        <v>60</v>
      </c>
      <c r="AE176" s="378">
        <v>30</v>
      </c>
      <c r="AF176" s="379">
        <v>0</v>
      </c>
      <c r="AG176" s="379">
        <v>0</v>
      </c>
      <c r="AH176" s="378">
        <v>0</v>
      </c>
      <c r="AI176" s="379">
        <v>16</v>
      </c>
      <c r="AJ176" s="379">
        <v>240</v>
      </c>
      <c r="AK176" s="378">
        <v>30</v>
      </c>
      <c r="AL176" s="365">
        <v>16</v>
      </c>
      <c r="AM176" s="365">
        <v>240</v>
      </c>
      <c r="AN176" s="378">
        <v>30</v>
      </c>
      <c r="AO176" s="378"/>
      <c r="AP176" s="378">
        <f t="shared" si="24"/>
        <v>16</v>
      </c>
      <c r="AQ176" s="465">
        <v>0</v>
      </c>
      <c r="AR176" s="379">
        <v>0</v>
      </c>
      <c r="AS176" s="378">
        <v>0</v>
      </c>
      <c r="AT176" s="466">
        <v>11</v>
      </c>
      <c r="AU176" s="466">
        <v>2</v>
      </c>
      <c r="AV176" s="379">
        <v>13</v>
      </c>
      <c r="AW176" s="379">
        <v>195</v>
      </c>
      <c r="AX176" s="378">
        <v>30</v>
      </c>
      <c r="AY176" s="365">
        <v>13</v>
      </c>
      <c r="AZ176" s="365">
        <v>195</v>
      </c>
      <c r="BA176" s="378">
        <v>30</v>
      </c>
      <c r="BB176" s="378"/>
      <c r="BC176" s="378">
        <f t="shared" si="25"/>
        <v>13</v>
      </c>
      <c r="BD176" s="379">
        <v>0</v>
      </c>
      <c r="BE176" s="379">
        <v>0</v>
      </c>
      <c r="BF176" s="365">
        <v>0</v>
      </c>
      <c r="BO176" s="381">
        <f t="shared" si="26"/>
        <v>11</v>
      </c>
      <c r="BP176" s="381">
        <f t="shared" si="27"/>
        <v>2</v>
      </c>
      <c r="BQ176" s="381"/>
      <c r="BR176" s="381">
        <f>_xlfn.XLOOKUP(A176,'Summer data team '!B:B,'Summer data team '!BV:BV,0)</f>
        <v>11</v>
      </c>
      <c r="BS176" s="381">
        <f>_xlfn.XLOOKUP(A176,'Summer data team '!B:B,'Summer data team '!BW:BW,0)</f>
        <v>2</v>
      </c>
      <c r="BT176" s="381">
        <f t="shared" si="28"/>
        <v>0</v>
      </c>
      <c r="BU176" s="381">
        <f t="shared" si="29"/>
        <v>0</v>
      </c>
    </row>
    <row r="177" spans="1:73" ht="13" hidden="1" x14ac:dyDescent="0.3">
      <c r="A177" s="364">
        <v>3303406</v>
      </c>
      <c r="B177" s="364" t="s">
        <v>367</v>
      </c>
      <c r="C177" s="365">
        <v>0</v>
      </c>
      <c r="D177" s="365">
        <v>0</v>
      </c>
      <c r="E177" s="365">
        <v>0</v>
      </c>
      <c r="F177" s="365">
        <v>12</v>
      </c>
      <c r="G177" s="365">
        <v>10</v>
      </c>
      <c r="H177" s="377">
        <v>0</v>
      </c>
      <c r="I177" s="377">
        <v>22</v>
      </c>
      <c r="J177" s="365">
        <v>0</v>
      </c>
      <c r="K177" s="365">
        <v>0</v>
      </c>
      <c r="L177" s="377">
        <v>0</v>
      </c>
      <c r="M177" s="365">
        <v>0</v>
      </c>
      <c r="N177" s="365">
        <v>0</v>
      </c>
      <c r="O177" s="365">
        <v>180</v>
      </c>
      <c r="P177" s="365">
        <v>150</v>
      </c>
      <c r="Q177" s="377">
        <v>330</v>
      </c>
      <c r="R177" s="365">
        <v>0</v>
      </c>
      <c r="S177" s="365">
        <v>0</v>
      </c>
      <c r="T177" s="365">
        <v>0</v>
      </c>
      <c r="U177" s="365">
        <v>0</v>
      </c>
      <c r="V177" s="377">
        <v>0</v>
      </c>
      <c r="W177" s="365">
        <v>1</v>
      </c>
      <c r="X177" s="365">
        <v>15</v>
      </c>
      <c r="Y177" s="378">
        <v>0</v>
      </c>
      <c r="Z177" s="365">
        <v>13</v>
      </c>
      <c r="AA177" s="365">
        <v>195</v>
      </c>
      <c r="AB177" s="378">
        <v>0</v>
      </c>
      <c r="AC177" s="365">
        <v>5</v>
      </c>
      <c r="AD177" s="365">
        <v>75</v>
      </c>
      <c r="AE177" s="378">
        <v>0</v>
      </c>
      <c r="AF177" s="379">
        <v>0</v>
      </c>
      <c r="AG177" s="379">
        <v>0</v>
      </c>
      <c r="AH177" s="378">
        <v>0</v>
      </c>
      <c r="AI177" s="379">
        <v>12</v>
      </c>
      <c r="AJ177" s="379">
        <v>180</v>
      </c>
      <c r="AK177" s="378">
        <v>0</v>
      </c>
      <c r="AL177" s="365">
        <v>12</v>
      </c>
      <c r="AM177" s="365">
        <v>180</v>
      </c>
      <c r="AN177" s="378">
        <v>0</v>
      </c>
      <c r="AO177" s="378"/>
      <c r="AP177" s="378">
        <f t="shared" si="24"/>
        <v>12</v>
      </c>
      <c r="AQ177" s="465">
        <v>0</v>
      </c>
      <c r="AR177" s="379">
        <v>0</v>
      </c>
      <c r="AS177" s="378">
        <v>0</v>
      </c>
      <c r="AT177" s="466">
        <v>12</v>
      </c>
      <c r="AU177" s="466">
        <v>0</v>
      </c>
      <c r="AV177" s="379">
        <v>12</v>
      </c>
      <c r="AW177" s="379">
        <v>180</v>
      </c>
      <c r="AX177" s="378">
        <v>0</v>
      </c>
      <c r="AY177" s="365">
        <v>12</v>
      </c>
      <c r="AZ177" s="365">
        <v>180</v>
      </c>
      <c r="BA177" s="378">
        <v>0</v>
      </c>
      <c r="BB177" s="378"/>
      <c r="BC177" s="378">
        <f t="shared" si="25"/>
        <v>12</v>
      </c>
      <c r="BD177" s="379">
        <v>0</v>
      </c>
      <c r="BE177" s="379">
        <v>0</v>
      </c>
      <c r="BF177" s="365">
        <v>0</v>
      </c>
      <c r="BO177" s="381">
        <f t="shared" si="26"/>
        <v>12</v>
      </c>
      <c r="BP177" s="381">
        <f t="shared" si="27"/>
        <v>0</v>
      </c>
      <c r="BQ177" s="381"/>
      <c r="BR177" s="381">
        <f>_xlfn.XLOOKUP(A177,'Summer data team '!B:B,'Summer data team '!BV:BV,0)</f>
        <v>12</v>
      </c>
      <c r="BS177" s="381">
        <f>_xlfn.XLOOKUP(A177,'Summer data team '!B:B,'Summer data team '!BW:BW,0)</f>
        <v>0</v>
      </c>
      <c r="BT177" s="381">
        <f t="shared" si="28"/>
        <v>0</v>
      </c>
      <c r="BU177" s="381">
        <f t="shared" si="29"/>
        <v>0</v>
      </c>
    </row>
    <row r="178" spans="1:73" ht="13" hidden="1" x14ac:dyDescent="0.3">
      <c r="A178" s="364">
        <v>3303411</v>
      </c>
      <c r="B178" s="364" t="s">
        <v>368</v>
      </c>
      <c r="C178" s="365">
        <v>0</v>
      </c>
      <c r="D178" s="365">
        <v>0</v>
      </c>
      <c r="E178" s="365">
        <v>0</v>
      </c>
      <c r="F178" s="365">
        <v>24</v>
      </c>
      <c r="G178" s="365">
        <v>16</v>
      </c>
      <c r="H178" s="377">
        <v>0</v>
      </c>
      <c r="I178" s="377">
        <v>40</v>
      </c>
      <c r="J178" s="365">
        <v>6</v>
      </c>
      <c r="K178" s="365">
        <v>3</v>
      </c>
      <c r="L178" s="377">
        <v>9</v>
      </c>
      <c r="M178" s="365">
        <v>0</v>
      </c>
      <c r="N178" s="365">
        <v>0</v>
      </c>
      <c r="O178" s="365">
        <v>360</v>
      </c>
      <c r="P178" s="365">
        <v>240</v>
      </c>
      <c r="Q178" s="377">
        <v>600</v>
      </c>
      <c r="R178" s="365">
        <v>0</v>
      </c>
      <c r="S178" s="365">
        <v>0</v>
      </c>
      <c r="T178" s="365">
        <v>90</v>
      </c>
      <c r="U178" s="365">
        <v>45</v>
      </c>
      <c r="V178" s="377">
        <v>135</v>
      </c>
      <c r="W178" s="365">
        <v>34</v>
      </c>
      <c r="X178" s="365">
        <v>510</v>
      </c>
      <c r="Y178" s="378">
        <v>120</v>
      </c>
      <c r="Z178" s="365">
        <v>4</v>
      </c>
      <c r="AA178" s="365">
        <v>60</v>
      </c>
      <c r="AB178" s="378">
        <v>0</v>
      </c>
      <c r="AC178" s="365">
        <v>0</v>
      </c>
      <c r="AD178" s="365">
        <v>0</v>
      </c>
      <c r="AE178" s="378">
        <v>0</v>
      </c>
      <c r="AF178" s="379">
        <v>0</v>
      </c>
      <c r="AG178" s="379">
        <v>0</v>
      </c>
      <c r="AH178" s="378">
        <v>0</v>
      </c>
      <c r="AI178" s="379">
        <v>32</v>
      </c>
      <c r="AJ178" s="379">
        <v>480</v>
      </c>
      <c r="AK178" s="378">
        <v>75</v>
      </c>
      <c r="AL178" s="365">
        <v>32</v>
      </c>
      <c r="AM178" s="365">
        <v>480</v>
      </c>
      <c r="AN178" s="378">
        <v>75</v>
      </c>
      <c r="AO178" s="378"/>
      <c r="AP178" s="378">
        <f t="shared" si="24"/>
        <v>32</v>
      </c>
      <c r="AQ178" s="465">
        <v>0</v>
      </c>
      <c r="AR178" s="379">
        <v>0</v>
      </c>
      <c r="AS178" s="378">
        <v>0</v>
      </c>
      <c r="AT178" s="466">
        <v>26</v>
      </c>
      <c r="AU178" s="466">
        <v>5</v>
      </c>
      <c r="AV178" s="379">
        <v>31</v>
      </c>
      <c r="AW178" s="379">
        <v>465</v>
      </c>
      <c r="AX178" s="378">
        <v>75</v>
      </c>
      <c r="AY178" s="365">
        <v>31</v>
      </c>
      <c r="AZ178" s="365">
        <v>465</v>
      </c>
      <c r="BA178" s="378">
        <v>75</v>
      </c>
      <c r="BB178" s="378"/>
      <c r="BC178" s="378">
        <f t="shared" si="25"/>
        <v>31</v>
      </c>
      <c r="BD178" s="379">
        <v>0</v>
      </c>
      <c r="BE178" s="379">
        <v>0</v>
      </c>
      <c r="BF178" s="365">
        <v>0</v>
      </c>
      <c r="BO178" s="381">
        <f t="shared" si="26"/>
        <v>26</v>
      </c>
      <c r="BP178" s="381">
        <f t="shared" si="27"/>
        <v>5</v>
      </c>
      <c r="BQ178" s="381"/>
      <c r="BR178" s="381">
        <f>_xlfn.XLOOKUP(A178,'Summer data team '!B:B,'Summer data team '!BV:BV,0)</f>
        <v>26</v>
      </c>
      <c r="BS178" s="381">
        <f>_xlfn.XLOOKUP(A178,'Summer data team '!B:B,'Summer data team '!BW:BW,0)</f>
        <v>5</v>
      </c>
      <c r="BT178" s="381">
        <f t="shared" si="28"/>
        <v>0</v>
      </c>
      <c r="BU178" s="381">
        <f t="shared" si="29"/>
        <v>0</v>
      </c>
    </row>
    <row r="179" spans="1:73" ht="13" hidden="1" x14ac:dyDescent="0.3">
      <c r="A179" s="364">
        <v>3303412</v>
      </c>
      <c r="B179" s="364" t="s">
        <v>369</v>
      </c>
      <c r="C179" s="365">
        <v>0</v>
      </c>
      <c r="D179" s="365">
        <v>0</v>
      </c>
      <c r="E179" s="365">
        <v>0</v>
      </c>
      <c r="F179" s="365">
        <v>41</v>
      </c>
      <c r="G179" s="365">
        <v>32</v>
      </c>
      <c r="H179" s="377">
        <v>0</v>
      </c>
      <c r="I179" s="377">
        <v>73</v>
      </c>
      <c r="J179" s="365">
        <v>6</v>
      </c>
      <c r="K179" s="365">
        <v>6</v>
      </c>
      <c r="L179" s="377">
        <v>12</v>
      </c>
      <c r="M179" s="365">
        <v>0</v>
      </c>
      <c r="N179" s="365">
        <v>0</v>
      </c>
      <c r="O179" s="365">
        <v>615</v>
      </c>
      <c r="P179" s="365">
        <v>480</v>
      </c>
      <c r="Q179" s="377">
        <v>1095</v>
      </c>
      <c r="R179" s="365">
        <v>0</v>
      </c>
      <c r="S179" s="365">
        <v>0</v>
      </c>
      <c r="T179" s="365">
        <v>90</v>
      </c>
      <c r="U179" s="365">
        <v>90</v>
      </c>
      <c r="V179" s="377">
        <v>180</v>
      </c>
      <c r="W179" s="365">
        <v>24</v>
      </c>
      <c r="X179" s="365">
        <v>360</v>
      </c>
      <c r="Y179" s="378">
        <v>90</v>
      </c>
      <c r="Z179" s="365">
        <v>36</v>
      </c>
      <c r="AA179" s="365">
        <v>540</v>
      </c>
      <c r="AB179" s="378">
        <v>75</v>
      </c>
      <c r="AC179" s="365">
        <v>3</v>
      </c>
      <c r="AD179" s="365">
        <v>45</v>
      </c>
      <c r="AE179" s="378">
        <v>0</v>
      </c>
      <c r="AF179" s="379">
        <v>0</v>
      </c>
      <c r="AG179" s="379">
        <v>0</v>
      </c>
      <c r="AH179" s="378">
        <v>0</v>
      </c>
      <c r="AI179" s="379">
        <v>33</v>
      </c>
      <c r="AJ179" s="379">
        <v>495</v>
      </c>
      <c r="AK179" s="378">
        <v>0</v>
      </c>
      <c r="AL179" s="365">
        <v>33</v>
      </c>
      <c r="AM179" s="365">
        <v>495</v>
      </c>
      <c r="AN179" s="378">
        <v>0</v>
      </c>
      <c r="AO179" s="378"/>
      <c r="AP179" s="378">
        <f t="shared" si="24"/>
        <v>33</v>
      </c>
      <c r="AQ179" s="465">
        <v>0</v>
      </c>
      <c r="AR179" s="379">
        <v>0</v>
      </c>
      <c r="AS179" s="378">
        <v>0</v>
      </c>
      <c r="AT179" s="466">
        <v>33</v>
      </c>
      <c r="AU179" s="466">
        <v>0</v>
      </c>
      <c r="AV179" s="379">
        <v>33</v>
      </c>
      <c r="AW179" s="379">
        <v>495</v>
      </c>
      <c r="AX179" s="378">
        <v>0</v>
      </c>
      <c r="AY179" s="365">
        <v>33</v>
      </c>
      <c r="AZ179" s="365">
        <v>495</v>
      </c>
      <c r="BA179" s="378">
        <v>0</v>
      </c>
      <c r="BB179" s="378"/>
      <c r="BC179" s="378">
        <f t="shared" si="25"/>
        <v>33</v>
      </c>
      <c r="BD179" s="379">
        <v>0</v>
      </c>
      <c r="BE179" s="379">
        <v>0</v>
      </c>
      <c r="BF179" s="365">
        <v>0</v>
      </c>
      <c r="BO179" s="381">
        <f t="shared" si="26"/>
        <v>33</v>
      </c>
      <c r="BP179" s="381">
        <f t="shared" si="27"/>
        <v>0</v>
      </c>
      <c r="BQ179" s="381"/>
      <c r="BR179" s="381">
        <f>_xlfn.XLOOKUP(A179,'Summer data team '!B:B,'Summer data team '!BV:BV,0)</f>
        <v>33</v>
      </c>
      <c r="BS179" s="381">
        <f>_xlfn.XLOOKUP(A179,'Summer data team '!B:B,'Summer data team '!BW:BW,0)</f>
        <v>0</v>
      </c>
      <c r="BT179" s="381">
        <f t="shared" si="28"/>
        <v>0</v>
      </c>
      <c r="BU179" s="381">
        <f t="shared" si="29"/>
        <v>0</v>
      </c>
    </row>
    <row r="180" spans="1:73" ht="13" hidden="1" x14ac:dyDescent="0.3">
      <c r="A180" s="364">
        <v>3303428</v>
      </c>
      <c r="B180" s="364" t="s">
        <v>153</v>
      </c>
      <c r="C180" s="365">
        <v>0</v>
      </c>
      <c r="D180" s="365">
        <v>0</v>
      </c>
      <c r="E180" s="365">
        <v>0</v>
      </c>
      <c r="F180" s="365">
        <v>16</v>
      </c>
      <c r="G180" s="365">
        <v>10</v>
      </c>
      <c r="H180" s="377">
        <v>0</v>
      </c>
      <c r="I180" s="377">
        <v>26</v>
      </c>
      <c r="J180" s="365">
        <v>9</v>
      </c>
      <c r="K180" s="365">
        <v>6</v>
      </c>
      <c r="L180" s="377">
        <v>15</v>
      </c>
      <c r="M180" s="365">
        <v>0</v>
      </c>
      <c r="N180" s="365">
        <v>0</v>
      </c>
      <c r="O180" s="365">
        <v>240</v>
      </c>
      <c r="P180" s="365">
        <v>150</v>
      </c>
      <c r="Q180" s="377">
        <v>390</v>
      </c>
      <c r="R180" s="365">
        <v>0</v>
      </c>
      <c r="S180" s="365">
        <v>0</v>
      </c>
      <c r="T180" s="365">
        <v>135</v>
      </c>
      <c r="U180" s="365">
        <v>90</v>
      </c>
      <c r="V180" s="377">
        <v>225</v>
      </c>
      <c r="W180" s="365">
        <v>1</v>
      </c>
      <c r="X180" s="365">
        <v>15</v>
      </c>
      <c r="Y180" s="378">
        <v>0</v>
      </c>
      <c r="Z180" s="365">
        <v>2</v>
      </c>
      <c r="AA180" s="365">
        <v>30</v>
      </c>
      <c r="AB180" s="378">
        <v>30</v>
      </c>
      <c r="AC180" s="365">
        <v>1</v>
      </c>
      <c r="AD180" s="365">
        <v>15</v>
      </c>
      <c r="AE180" s="378">
        <v>0</v>
      </c>
      <c r="AF180" s="379">
        <v>0</v>
      </c>
      <c r="AG180" s="379">
        <v>0</v>
      </c>
      <c r="AH180" s="378">
        <v>0</v>
      </c>
      <c r="AI180" s="379">
        <v>5</v>
      </c>
      <c r="AJ180" s="379">
        <v>75</v>
      </c>
      <c r="AK180" s="378">
        <v>45</v>
      </c>
      <c r="AL180" s="365">
        <v>5</v>
      </c>
      <c r="AM180" s="365">
        <v>75</v>
      </c>
      <c r="AN180" s="378">
        <v>45</v>
      </c>
      <c r="AO180" s="378"/>
      <c r="AP180" s="378">
        <f t="shared" si="24"/>
        <v>5</v>
      </c>
      <c r="AQ180" s="465">
        <v>0</v>
      </c>
      <c r="AR180" s="379">
        <v>0</v>
      </c>
      <c r="AS180" s="378">
        <v>0</v>
      </c>
      <c r="AT180" s="466">
        <v>2</v>
      </c>
      <c r="AU180" s="466">
        <v>3</v>
      </c>
      <c r="AV180" s="379">
        <v>5</v>
      </c>
      <c r="AW180" s="379">
        <v>75</v>
      </c>
      <c r="AX180" s="378">
        <v>45</v>
      </c>
      <c r="AY180" s="365">
        <v>5</v>
      </c>
      <c r="AZ180" s="365">
        <v>75</v>
      </c>
      <c r="BA180" s="378">
        <v>45</v>
      </c>
      <c r="BB180" s="378"/>
      <c r="BC180" s="378">
        <f t="shared" si="25"/>
        <v>5</v>
      </c>
      <c r="BD180" s="379">
        <v>0</v>
      </c>
      <c r="BE180" s="379">
        <v>0</v>
      </c>
      <c r="BF180" s="365">
        <v>0</v>
      </c>
      <c r="BO180" s="381">
        <f t="shared" si="26"/>
        <v>2</v>
      </c>
      <c r="BP180" s="381">
        <f t="shared" si="27"/>
        <v>3</v>
      </c>
      <c r="BQ180" s="381"/>
      <c r="BR180" s="381">
        <f>_xlfn.XLOOKUP(A180,'Summer data team '!B:B,'Summer data team '!BV:BV,0)</f>
        <v>2</v>
      </c>
      <c r="BS180" s="381">
        <f>_xlfn.XLOOKUP(A180,'Summer data team '!B:B,'Summer data team '!BW:BW,0)</f>
        <v>3</v>
      </c>
      <c r="BT180" s="381">
        <f t="shared" si="28"/>
        <v>0</v>
      </c>
      <c r="BU180" s="381">
        <f t="shared" si="29"/>
        <v>0</v>
      </c>
    </row>
    <row r="181" spans="1:73" ht="13" hidden="1" x14ac:dyDescent="0.3">
      <c r="A181" s="364">
        <v>3303431</v>
      </c>
      <c r="B181" s="364" t="s">
        <v>199</v>
      </c>
      <c r="C181" s="365">
        <v>0</v>
      </c>
      <c r="D181" s="365">
        <v>0</v>
      </c>
      <c r="E181" s="365">
        <v>0</v>
      </c>
      <c r="F181" s="365">
        <v>16</v>
      </c>
      <c r="G181" s="365">
        <v>29</v>
      </c>
      <c r="H181" s="377">
        <v>0</v>
      </c>
      <c r="I181" s="377">
        <v>45</v>
      </c>
      <c r="J181" s="365">
        <v>9</v>
      </c>
      <c r="K181" s="365">
        <v>19</v>
      </c>
      <c r="L181" s="377">
        <v>28</v>
      </c>
      <c r="M181" s="365">
        <v>0</v>
      </c>
      <c r="N181" s="365">
        <v>0</v>
      </c>
      <c r="O181" s="365">
        <v>240</v>
      </c>
      <c r="P181" s="365">
        <v>435</v>
      </c>
      <c r="Q181" s="377">
        <v>675</v>
      </c>
      <c r="R181" s="365">
        <v>0</v>
      </c>
      <c r="S181" s="365">
        <v>0</v>
      </c>
      <c r="T181" s="365">
        <v>135</v>
      </c>
      <c r="U181" s="365">
        <v>285</v>
      </c>
      <c r="V181" s="377">
        <v>420</v>
      </c>
      <c r="W181" s="365">
        <v>5</v>
      </c>
      <c r="X181" s="365">
        <v>75</v>
      </c>
      <c r="Y181" s="378">
        <v>45</v>
      </c>
      <c r="Z181" s="365">
        <v>1</v>
      </c>
      <c r="AA181" s="365">
        <v>15</v>
      </c>
      <c r="AB181" s="378">
        <v>15</v>
      </c>
      <c r="AC181" s="365">
        <v>3</v>
      </c>
      <c r="AD181" s="365">
        <v>45</v>
      </c>
      <c r="AE181" s="378">
        <v>45</v>
      </c>
      <c r="AF181" s="379">
        <v>0</v>
      </c>
      <c r="AG181" s="379">
        <v>0</v>
      </c>
      <c r="AH181" s="378">
        <v>0</v>
      </c>
      <c r="AI181" s="379">
        <v>4</v>
      </c>
      <c r="AJ181" s="379">
        <v>60</v>
      </c>
      <c r="AK181" s="378">
        <v>30</v>
      </c>
      <c r="AL181" s="365">
        <v>4</v>
      </c>
      <c r="AM181" s="365">
        <v>60</v>
      </c>
      <c r="AN181" s="378">
        <v>30</v>
      </c>
      <c r="AO181" s="378"/>
      <c r="AP181" s="378">
        <f t="shared" si="24"/>
        <v>4</v>
      </c>
      <c r="AQ181" s="465">
        <v>0</v>
      </c>
      <c r="AR181" s="379">
        <v>0</v>
      </c>
      <c r="AS181" s="378">
        <v>0</v>
      </c>
      <c r="AT181" s="466">
        <v>2</v>
      </c>
      <c r="AU181" s="466">
        <v>2</v>
      </c>
      <c r="AV181" s="379">
        <v>4</v>
      </c>
      <c r="AW181" s="379">
        <v>60</v>
      </c>
      <c r="AX181" s="378">
        <v>30</v>
      </c>
      <c r="AY181" s="365">
        <v>4</v>
      </c>
      <c r="AZ181" s="365">
        <v>60</v>
      </c>
      <c r="BA181" s="378">
        <v>30</v>
      </c>
      <c r="BB181" s="378"/>
      <c r="BC181" s="378">
        <f t="shared" si="25"/>
        <v>4</v>
      </c>
      <c r="BD181" s="379">
        <v>0</v>
      </c>
      <c r="BE181" s="379">
        <v>1</v>
      </c>
      <c r="BF181" s="365">
        <v>1</v>
      </c>
      <c r="BO181" s="381">
        <f t="shared" si="26"/>
        <v>2</v>
      </c>
      <c r="BP181" s="381">
        <f t="shared" si="27"/>
        <v>2</v>
      </c>
      <c r="BQ181" s="381"/>
      <c r="BR181" s="381">
        <f>_xlfn.XLOOKUP(A181,'Summer data team '!B:B,'Summer data team '!BV:BV,0)</f>
        <v>2</v>
      </c>
      <c r="BS181" s="381">
        <f>_xlfn.XLOOKUP(A181,'Summer data team '!B:B,'Summer data team '!BW:BW,0)</f>
        <v>2</v>
      </c>
      <c r="BT181" s="381">
        <f t="shared" si="28"/>
        <v>0</v>
      </c>
      <c r="BU181" s="381">
        <f t="shared" si="29"/>
        <v>0</v>
      </c>
    </row>
    <row r="182" spans="1:73" ht="13" hidden="1" x14ac:dyDescent="0.3">
      <c r="A182" s="364">
        <v>3303432</v>
      </c>
      <c r="B182" s="364" t="s">
        <v>63</v>
      </c>
      <c r="C182" s="365">
        <v>0</v>
      </c>
      <c r="D182" s="365">
        <v>0</v>
      </c>
      <c r="E182" s="365">
        <v>0</v>
      </c>
      <c r="F182" s="365">
        <v>60</v>
      </c>
      <c r="G182" s="365">
        <v>30</v>
      </c>
      <c r="H182" s="377">
        <v>0</v>
      </c>
      <c r="I182" s="377">
        <v>90</v>
      </c>
      <c r="J182" s="365">
        <v>4</v>
      </c>
      <c r="K182" s="365">
        <v>2</v>
      </c>
      <c r="L182" s="377">
        <v>6</v>
      </c>
      <c r="M182" s="365">
        <v>0</v>
      </c>
      <c r="N182" s="365">
        <v>0</v>
      </c>
      <c r="O182" s="365">
        <v>885.7</v>
      </c>
      <c r="P182" s="365">
        <v>447</v>
      </c>
      <c r="Q182" s="377">
        <v>1332.7</v>
      </c>
      <c r="R182" s="365">
        <v>0</v>
      </c>
      <c r="S182" s="365">
        <v>0</v>
      </c>
      <c r="T182" s="365">
        <v>60</v>
      </c>
      <c r="U182" s="365">
        <v>30</v>
      </c>
      <c r="V182" s="377">
        <v>90</v>
      </c>
      <c r="W182" s="365">
        <v>29</v>
      </c>
      <c r="X182" s="365">
        <v>435</v>
      </c>
      <c r="Y182" s="378">
        <v>15</v>
      </c>
      <c r="Z182" s="365">
        <v>52</v>
      </c>
      <c r="AA182" s="365">
        <v>765.7</v>
      </c>
      <c r="AB182" s="378">
        <v>75</v>
      </c>
      <c r="AC182" s="365">
        <v>4</v>
      </c>
      <c r="AD182" s="365">
        <v>60</v>
      </c>
      <c r="AE182" s="378">
        <v>0</v>
      </c>
      <c r="AF182" s="379">
        <v>0</v>
      </c>
      <c r="AG182" s="379">
        <v>0</v>
      </c>
      <c r="AH182" s="378">
        <v>0</v>
      </c>
      <c r="AI182" s="379">
        <v>32</v>
      </c>
      <c r="AJ182" s="379">
        <v>480</v>
      </c>
      <c r="AK182" s="378">
        <v>0</v>
      </c>
      <c r="AL182" s="365">
        <v>32</v>
      </c>
      <c r="AM182" s="365">
        <v>480</v>
      </c>
      <c r="AN182" s="378">
        <v>0</v>
      </c>
      <c r="AO182" s="378"/>
      <c r="AP182" s="378">
        <f t="shared" si="24"/>
        <v>32</v>
      </c>
      <c r="AQ182" s="465">
        <v>0</v>
      </c>
      <c r="AR182" s="379">
        <v>0</v>
      </c>
      <c r="AS182" s="378">
        <v>0</v>
      </c>
      <c r="AT182" s="466">
        <v>0</v>
      </c>
      <c r="AU182" s="466">
        <v>0</v>
      </c>
      <c r="AV182" s="379">
        <v>0</v>
      </c>
      <c r="AW182" s="379">
        <v>0</v>
      </c>
      <c r="AX182" s="378">
        <v>0</v>
      </c>
      <c r="AY182" s="365">
        <v>0</v>
      </c>
      <c r="AZ182" s="365">
        <v>0</v>
      </c>
      <c r="BA182" s="378">
        <v>0</v>
      </c>
      <c r="BB182" s="378"/>
      <c r="BC182" s="378">
        <f t="shared" si="25"/>
        <v>0</v>
      </c>
      <c r="BD182" s="379">
        <v>0</v>
      </c>
      <c r="BE182" s="379">
        <v>0</v>
      </c>
      <c r="BF182" s="365">
        <v>0</v>
      </c>
      <c r="BO182" s="381">
        <f t="shared" si="26"/>
        <v>0</v>
      </c>
      <c r="BP182" s="381">
        <f t="shared" si="27"/>
        <v>0</v>
      </c>
      <c r="BQ182" s="381"/>
      <c r="BR182" s="381">
        <f>_xlfn.XLOOKUP(A182,'Summer data team '!B:B,'Summer data team '!BV:BV,0)</f>
        <v>0</v>
      </c>
      <c r="BS182" s="381">
        <f>_xlfn.XLOOKUP(A182,'Summer data team '!B:B,'Summer data team '!BW:BW,0)</f>
        <v>0</v>
      </c>
      <c r="BT182" s="381">
        <f t="shared" si="28"/>
        <v>0</v>
      </c>
      <c r="BU182" s="381">
        <f t="shared" si="29"/>
        <v>0</v>
      </c>
    </row>
    <row r="183" spans="1:73" ht="13" hidden="1" x14ac:dyDescent="0.3">
      <c r="A183" s="364">
        <v>3303433</v>
      </c>
      <c r="B183" s="364" t="s">
        <v>371</v>
      </c>
      <c r="C183" s="365">
        <v>0</v>
      </c>
      <c r="D183" s="365">
        <v>0</v>
      </c>
      <c r="E183" s="365">
        <v>0</v>
      </c>
      <c r="F183" s="365">
        <v>9</v>
      </c>
      <c r="G183" s="365">
        <v>12</v>
      </c>
      <c r="H183" s="377">
        <v>0</v>
      </c>
      <c r="I183" s="377">
        <v>21</v>
      </c>
      <c r="J183" s="365">
        <v>0</v>
      </c>
      <c r="K183" s="365">
        <v>0</v>
      </c>
      <c r="L183" s="377">
        <v>0</v>
      </c>
      <c r="M183" s="365">
        <v>0</v>
      </c>
      <c r="N183" s="365">
        <v>0</v>
      </c>
      <c r="O183" s="365">
        <v>135</v>
      </c>
      <c r="P183" s="365">
        <v>180</v>
      </c>
      <c r="Q183" s="377">
        <v>315</v>
      </c>
      <c r="R183" s="365">
        <v>0</v>
      </c>
      <c r="S183" s="365">
        <v>0</v>
      </c>
      <c r="T183" s="365">
        <v>0</v>
      </c>
      <c r="U183" s="365">
        <v>0</v>
      </c>
      <c r="V183" s="377">
        <v>0</v>
      </c>
      <c r="W183" s="365">
        <v>7</v>
      </c>
      <c r="X183" s="365">
        <v>105</v>
      </c>
      <c r="Y183" s="378">
        <v>0</v>
      </c>
      <c r="Z183" s="365">
        <v>3</v>
      </c>
      <c r="AA183" s="365">
        <v>45</v>
      </c>
      <c r="AB183" s="378">
        <v>0</v>
      </c>
      <c r="AC183" s="365">
        <v>8</v>
      </c>
      <c r="AD183" s="365">
        <v>120</v>
      </c>
      <c r="AE183" s="378">
        <v>0</v>
      </c>
      <c r="AF183" s="379">
        <v>0</v>
      </c>
      <c r="AG183" s="379">
        <v>0</v>
      </c>
      <c r="AH183" s="378">
        <v>0</v>
      </c>
      <c r="AI183" s="379">
        <v>12</v>
      </c>
      <c r="AJ183" s="379">
        <v>180</v>
      </c>
      <c r="AK183" s="378">
        <v>0</v>
      </c>
      <c r="AL183" s="365">
        <v>12</v>
      </c>
      <c r="AM183" s="365">
        <v>180</v>
      </c>
      <c r="AN183" s="378">
        <v>0</v>
      </c>
      <c r="AO183" s="378"/>
      <c r="AP183" s="378">
        <f t="shared" si="24"/>
        <v>12</v>
      </c>
      <c r="AQ183" s="465">
        <v>0</v>
      </c>
      <c r="AR183" s="379">
        <v>0</v>
      </c>
      <c r="AS183" s="378">
        <v>0</v>
      </c>
      <c r="AT183" s="466">
        <v>12</v>
      </c>
      <c r="AU183" s="466">
        <v>0</v>
      </c>
      <c r="AV183" s="379">
        <v>12</v>
      </c>
      <c r="AW183" s="379">
        <v>180</v>
      </c>
      <c r="AX183" s="378">
        <v>0</v>
      </c>
      <c r="AY183" s="365">
        <v>12</v>
      </c>
      <c r="AZ183" s="365">
        <v>180</v>
      </c>
      <c r="BA183" s="378">
        <v>0</v>
      </c>
      <c r="BB183" s="378"/>
      <c r="BC183" s="378">
        <f t="shared" si="25"/>
        <v>12</v>
      </c>
      <c r="BD183" s="379">
        <v>0</v>
      </c>
      <c r="BE183" s="379">
        <v>0</v>
      </c>
      <c r="BF183" s="365">
        <v>0</v>
      </c>
      <c r="BO183" s="381">
        <f t="shared" si="26"/>
        <v>12</v>
      </c>
      <c r="BP183" s="381">
        <f t="shared" si="27"/>
        <v>0</v>
      </c>
      <c r="BQ183" s="381"/>
      <c r="BR183" s="381">
        <f>_xlfn.XLOOKUP(A183,'Summer data team '!B:B,'Summer data team '!BV:BV,0)</f>
        <v>12</v>
      </c>
      <c r="BS183" s="381">
        <f>_xlfn.XLOOKUP(A183,'Summer data team '!B:B,'Summer data team '!BW:BW,0)</f>
        <v>0</v>
      </c>
      <c r="BT183" s="381">
        <f t="shared" si="28"/>
        <v>0</v>
      </c>
      <c r="BU183" s="381">
        <f t="shared" si="29"/>
        <v>0</v>
      </c>
    </row>
    <row r="184" spans="1:73" ht="13" hidden="1" x14ac:dyDescent="0.3">
      <c r="A184" s="364">
        <v>3304001</v>
      </c>
      <c r="B184" s="364" t="s">
        <v>372</v>
      </c>
      <c r="C184" s="365">
        <v>0</v>
      </c>
      <c r="D184" s="365">
        <v>0</v>
      </c>
      <c r="E184" s="365">
        <v>0</v>
      </c>
      <c r="F184" s="365">
        <v>15</v>
      </c>
      <c r="G184" s="365">
        <v>11</v>
      </c>
      <c r="H184" s="377">
        <v>0</v>
      </c>
      <c r="I184" s="377">
        <v>26</v>
      </c>
      <c r="J184" s="365">
        <v>0</v>
      </c>
      <c r="K184" s="365">
        <v>0</v>
      </c>
      <c r="L184" s="377">
        <v>0</v>
      </c>
      <c r="M184" s="365">
        <v>0</v>
      </c>
      <c r="N184" s="365">
        <v>0</v>
      </c>
      <c r="O184" s="365">
        <v>225</v>
      </c>
      <c r="P184" s="365">
        <v>165</v>
      </c>
      <c r="Q184" s="377">
        <v>390</v>
      </c>
      <c r="R184" s="365">
        <v>0</v>
      </c>
      <c r="S184" s="365">
        <v>0</v>
      </c>
      <c r="T184" s="365">
        <v>0</v>
      </c>
      <c r="U184" s="365">
        <v>0</v>
      </c>
      <c r="V184" s="377">
        <v>0</v>
      </c>
      <c r="W184" s="365">
        <v>14</v>
      </c>
      <c r="X184" s="365">
        <v>210</v>
      </c>
      <c r="Y184" s="378">
        <v>0</v>
      </c>
      <c r="Z184" s="365">
        <v>9</v>
      </c>
      <c r="AA184" s="365">
        <v>135</v>
      </c>
      <c r="AB184" s="378">
        <v>0</v>
      </c>
      <c r="AC184" s="365">
        <v>0</v>
      </c>
      <c r="AD184" s="365">
        <v>0</v>
      </c>
      <c r="AE184" s="378">
        <v>0</v>
      </c>
      <c r="AF184" s="379">
        <v>0</v>
      </c>
      <c r="AG184" s="379">
        <v>0</v>
      </c>
      <c r="AH184" s="378">
        <v>0</v>
      </c>
      <c r="AI184" s="379">
        <v>13</v>
      </c>
      <c r="AJ184" s="379">
        <v>195</v>
      </c>
      <c r="AK184" s="378">
        <v>0</v>
      </c>
      <c r="AL184" s="365">
        <v>13</v>
      </c>
      <c r="AM184" s="365">
        <v>195</v>
      </c>
      <c r="AN184" s="378">
        <v>0</v>
      </c>
      <c r="AO184" s="378"/>
      <c r="AP184" s="378">
        <f t="shared" si="24"/>
        <v>13</v>
      </c>
      <c r="AQ184" s="465">
        <v>0</v>
      </c>
      <c r="AR184" s="379">
        <v>0</v>
      </c>
      <c r="AS184" s="378">
        <v>0</v>
      </c>
      <c r="AT184" s="466">
        <v>12</v>
      </c>
      <c r="AU184" s="466">
        <v>0</v>
      </c>
      <c r="AV184" s="379">
        <v>12</v>
      </c>
      <c r="AW184" s="379">
        <v>180</v>
      </c>
      <c r="AX184" s="378">
        <v>0</v>
      </c>
      <c r="AY184" s="365">
        <v>12</v>
      </c>
      <c r="AZ184" s="365">
        <v>180</v>
      </c>
      <c r="BA184" s="378">
        <v>0</v>
      </c>
      <c r="BB184" s="378"/>
      <c r="BC184" s="378">
        <f t="shared" si="25"/>
        <v>12</v>
      </c>
      <c r="BD184" s="379">
        <v>0</v>
      </c>
      <c r="BE184" s="379">
        <v>0</v>
      </c>
      <c r="BF184" s="365">
        <v>0</v>
      </c>
      <c r="BO184" s="381">
        <f t="shared" si="26"/>
        <v>12</v>
      </c>
      <c r="BP184" s="381">
        <f t="shared" si="27"/>
        <v>0</v>
      </c>
      <c r="BQ184" s="381"/>
      <c r="BR184" s="381">
        <f>_xlfn.XLOOKUP(A184,'Summer data team '!B:B,'Summer data team '!BV:BV,0)</f>
        <v>12</v>
      </c>
      <c r="BS184" s="381">
        <f>_xlfn.XLOOKUP(A184,'Summer data team '!B:B,'Summer data team '!BW:BW,0)</f>
        <v>0</v>
      </c>
      <c r="BT184" s="381">
        <f t="shared" si="28"/>
        <v>0</v>
      </c>
      <c r="BU184" s="381">
        <f t="shared" si="29"/>
        <v>0</v>
      </c>
    </row>
    <row r="185" spans="1:73" ht="13" hidden="1" x14ac:dyDescent="0.3">
      <c r="A185" s="364">
        <v>3304019</v>
      </c>
      <c r="B185" s="364" t="s">
        <v>373</v>
      </c>
      <c r="C185" s="365">
        <v>0</v>
      </c>
      <c r="D185" s="365">
        <v>0</v>
      </c>
      <c r="E185" s="365">
        <v>0</v>
      </c>
      <c r="F185" s="365">
        <v>58</v>
      </c>
      <c r="G185" s="365">
        <v>37</v>
      </c>
      <c r="H185" s="377">
        <v>0</v>
      </c>
      <c r="I185" s="377">
        <v>95</v>
      </c>
      <c r="J185" s="365">
        <v>4</v>
      </c>
      <c r="K185" s="365">
        <v>3</v>
      </c>
      <c r="L185" s="377">
        <v>7</v>
      </c>
      <c r="M185" s="365">
        <v>0</v>
      </c>
      <c r="N185" s="365">
        <v>0</v>
      </c>
      <c r="O185" s="365">
        <v>870</v>
      </c>
      <c r="P185" s="365">
        <v>555</v>
      </c>
      <c r="Q185" s="377">
        <v>1425</v>
      </c>
      <c r="R185" s="365">
        <v>0</v>
      </c>
      <c r="S185" s="365">
        <v>0</v>
      </c>
      <c r="T185" s="365">
        <v>60</v>
      </c>
      <c r="U185" s="365">
        <v>45</v>
      </c>
      <c r="V185" s="377">
        <v>105</v>
      </c>
      <c r="W185" s="365">
        <v>1</v>
      </c>
      <c r="X185" s="365">
        <v>15</v>
      </c>
      <c r="Y185" s="378">
        <v>0</v>
      </c>
      <c r="Z185" s="365">
        <v>5</v>
      </c>
      <c r="AA185" s="365">
        <v>75</v>
      </c>
      <c r="AB185" s="378">
        <v>0</v>
      </c>
      <c r="AC185" s="365">
        <v>61</v>
      </c>
      <c r="AD185" s="365">
        <v>915</v>
      </c>
      <c r="AE185" s="378">
        <v>75</v>
      </c>
      <c r="AF185" s="379">
        <v>0</v>
      </c>
      <c r="AG185" s="379">
        <v>0</v>
      </c>
      <c r="AH185" s="378">
        <v>0</v>
      </c>
      <c r="AI185" s="379">
        <v>18</v>
      </c>
      <c r="AJ185" s="379">
        <v>270</v>
      </c>
      <c r="AK185" s="378">
        <v>15</v>
      </c>
      <c r="AL185" s="365">
        <v>18</v>
      </c>
      <c r="AM185" s="365">
        <v>270</v>
      </c>
      <c r="AN185" s="378">
        <v>15</v>
      </c>
      <c r="AO185" s="378"/>
      <c r="AP185" s="378">
        <f t="shared" si="24"/>
        <v>18</v>
      </c>
      <c r="AQ185" s="465">
        <v>0</v>
      </c>
      <c r="AR185" s="379">
        <v>0</v>
      </c>
      <c r="AS185" s="378">
        <v>0</v>
      </c>
      <c r="AT185" s="466">
        <v>17</v>
      </c>
      <c r="AU185" s="466">
        <v>1</v>
      </c>
      <c r="AV185" s="379">
        <v>18</v>
      </c>
      <c r="AW185" s="379">
        <v>270</v>
      </c>
      <c r="AX185" s="378">
        <v>15</v>
      </c>
      <c r="AY185" s="365">
        <v>18</v>
      </c>
      <c r="AZ185" s="365">
        <v>270</v>
      </c>
      <c r="BA185" s="378">
        <v>15</v>
      </c>
      <c r="BB185" s="378"/>
      <c r="BC185" s="378">
        <f t="shared" si="25"/>
        <v>18</v>
      </c>
      <c r="BD185" s="379">
        <v>0</v>
      </c>
      <c r="BE185" s="379">
        <v>0</v>
      </c>
      <c r="BF185" s="365">
        <v>0</v>
      </c>
      <c r="BO185" s="381">
        <f t="shared" si="26"/>
        <v>17</v>
      </c>
      <c r="BP185" s="381">
        <f t="shared" si="27"/>
        <v>1</v>
      </c>
      <c r="BQ185" s="381"/>
      <c r="BR185" s="381">
        <f>_xlfn.XLOOKUP(A185,'Summer data team '!B:B,'Summer data team '!BV:BV,0)</f>
        <v>17</v>
      </c>
      <c r="BS185" s="381">
        <f>_xlfn.XLOOKUP(A185,'Summer data team '!B:B,'Summer data team '!BW:BW,0)</f>
        <v>1</v>
      </c>
      <c r="BT185" s="381">
        <f t="shared" si="28"/>
        <v>0</v>
      </c>
      <c r="BU185" s="381">
        <f t="shared" si="29"/>
        <v>0</v>
      </c>
    </row>
    <row r="186" spans="1:73" ht="13" hidden="1" x14ac:dyDescent="0.3">
      <c r="A186" s="364">
        <v>3304038</v>
      </c>
      <c r="B186" s="364" t="s">
        <v>374</v>
      </c>
      <c r="C186" s="365">
        <v>0</v>
      </c>
      <c r="D186" s="365">
        <v>0</v>
      </c>
      <c r="E186" s="365">
        <v>0</v>
      </c>
      <c r="F186" s="365">
        <v>68</v>
      </c>
      <c r="G186" s="365">
        <v>55</v>
      </c>
      <c r="H186" s="377">
        <v>0</v>
      </c>
      <c r="I186" s="377">
        <v>123</v>
      </c>
      <c r="J186" s="365">
        <v>1</v>
      </c>
      <c r="K186" s="365">
        <v>3</v>
      </c>
      <c r="L186" s="377">
        <v>4</v>
      </c>
      <c r="M186" s="365">
        <v>0</v>
      </c>
      <c r="N186" s="365">
        <v>0</v>
      </c>
      <c r="O186" s="365">
        <v>1020</v>
      </c>
      <c r="P186" s="365">
        <v>825</v>
      </c>
      <c r="Q186" s="377">
        <v>1845</v>
      </c>
      <c r="R186" s="365">
        <v>0</v>
      </c>
      <c r="S186" s="365">
        <v>0</v>
      </c>
      <c r="T186" s="365">
        <v>15</v>
      </c>
      <c r="U186" s="365">
        <v>45</v>
      </c>
      <c r="V186" s="377">
        <v>60</v>
      </c>
      <c r="W186" s="365">
        <v>11</v>
      </c>
      <c r="X186" s="365">
        <v>165</v>
      </c>
      <c r="Y186" s="378">
        <v>0</v>
      </c>
      <c r="Z186" s="365">
        <v>30</v>
      </c>
      <c r="AA186" s="365">
        <v>450</v>
      </c>
      <c r="AB186" s="378">
        <v>15</v>
      </c>
      <c r="AC186" s="365">
        <v>68</v>
      </c>
      <c r="AD186" s="365">
        <v>1020</v>
      </c>
      <c r="AE186" s="378">
        <v>45</v>
      </c>
      <c r="AF186" s="379">
        <v>0</v>
      </c>
      <c r="AG186" s="379">
        <v>0</v>
      </c>
      <c r="AH186" s="378">
        <v>0</v>
      </c>
      <c r="AI186" s="379">
        <v>7</v>
      </c>
      <c r="AJ186" s="379">
        <v>105</v>
      </c>
      <c r="AK186" s="378">
        <v>60</v>
      </c>
      <c r="AL186" s="365">
        <v>7</v>
      </c>
      <c r="AM186" s="365">
        <v>105</v>
      </c>
      <c r="AN186" s="378">
        <v>60</v>
      </c>
      <c r="AO186" s="378"/>
      <c r="AP186" s="378">
        <f t="shared" si="24"/>
        <v>7</v>
      </c>
      <c r="AQ186" s="465">
        <v>0</v>
      </c>
      <c r="AR186" s="379">
        <v>0</v>
      </c>
      <c r="AS186" s="378">
        <v>0</v>
      </c>
      <c r="AT186" s="466">
        <v>1</v>
      </c>
      <c r="AU186" s="466">
        <v>0</v>
      </c>
      <c r="AV186" s="379">
        <v>1</v>
      </c>
      <c r="AW186" s="379">
        <v>15</v>
      </c>
      <c r="AX186" s="378">
        <v>0</v>
      </c>
      <c r="AY186" s="365">
        <v>1</v>
      </c>
      <c r="AZ186" s="365">
        <v>15</v>
      </c>
      <c r="BA186" s="378">
        <v>0</v>
      </c>
      <c r="BB186" s="378"/>
      <c r="BC186" s="378">
        <f t="shared" si="25"/>
        <v>1</v>
      </c>
      <c r="BD186" s="379">
        <v>0</v>
      </c>
      <c r="BE186" s="379">
        <v>0</v>
      </c>
      <c r="BF186" s="365">
        <v>0</v>
      </c>
      <c r="BO186" s="381">
        <f t="shared" si="26"/>
        <v>1</v>
      </c>
      <c r="BP186" s="381">
        <f t="shared" si="27"/>
        <v>0</v>
      </c>
      <c r="BQ186" s="381"/>
      <c r="BR186" s="381">
        <f>_xlfn.XLOOKUP(A186,'Summer data team '!B:B,'Summer data team '!BV:BV,0)</f>
        <v>1</v>
      </c>
      <c r="BS186" s="381">
        <f>_xlfn.XLOOKUP(A186,'Summer data team '!B:B,'Summer data team '!BW:BW,0)</f>
        <v>0</v>
      </c>
      <c r="BT186" s="381">
        <f t="shared" si="28"/>
        <v>0</v>
      </c>
      <c r="BU186" s="381">
        <f t="shared" si="29"/>
        <v>0</v>
      </c>
    </row>
    <row r="187" spans="1:73" ht="13" hidden="1" x14ac:dyDescent="0.3">
      <c r="A187" s="364">
        <v>3305201</v>
      </c>
      <c r="B187" s="364" t="s">
        <v>375</v>
      </c>
      <c r="C187" s="365">
        <v>0</v>
      </c>
      <c r="D187" s="365">
        <v>0</v>
      </c>
      <c r="E187" s="365">
        <v>0</v>
      </c>
      <c r="F187" s="365">
        <v>10</v>
      </c>
      <c r="G187" s="365">
        <v>15</v>
      </c>
      <c r="H187" s="377">
        <v>0</v>
      </c>
      <c r="I187" s="377">
        <v>25</v>
      </c>
      <c r="J187" s="365">
        <v>0</v>
      </c>
      <c r="K187" s="365">
        <v>0</v>
      </c>
      <c r="L187" s="377">
        <v>0</v>
      </c>
      <c r="M187" s="365">
        <v>0</v>
      </c>
      <c r="N187" s="365">
        <v>0</v>
      </c>
      <c r="O187" s="365">
        <v>150</v>
      </c>
      <c r="P187" s="365">
        <v>225</v>
      </c>
      <c r="Q187" s="377">
        <v>375</v>
      </c>
      <c r="R187" s="365">
        <v>0</v>
      </c>
      <c r="S187" s="365">
        <v>0</v>
      </c>
      <c r="T187" s="365">
        <v>0</v>
      </c>
      <c r="U187" s="365">
        <v>0</v>
      </c>
      <c r="V187" s="377">
        <v>0</v>
      </c>
      <c r="W187" s="365">
        <v>0</v>
      </c>
      <c r="X187" s="365">
        <v>0</v>
      </c>
      <c r="Y187" s="378">
        <v>0</v>
      </c>
      <c r="Z187" s="365">
        <v>0</v>
      </c>
      <c r="AA187" s="365">
        <v>0</v>
      </c>
      <c r="AB187" s="378">
        <v>0</v>
      </c>
      <c r="AC187" s="365">
        <v>1</v>
      </c>
      <c r="AD187" s="365">
        <v>15</v>
      </c>
      <c r="AE187" s="378">
        <v>0</v>
      </c>
      <c r="AF187" s="379">
        <v>0</v>
      </c>
      <c r="AG187" s="379">
        <v>0</v>
      </c>
      <c r="AH187" s="378">
        <v>0</v>
      </c>
      <c r="AI187" s="379">
        <v>1</v>
      </c>
      <c r="AJ187" s="379">
        <v>15</v>
      </c>
      <c r="AK187" s="378">
        <v>0</v>
      </c>
      <c r="AL187" s="365">
        <v>1</v>
      </c>
      <c r="AM187" s="365">
        <v>15</v>
      </c>
      <c r="AN187" s="378">
        <v>0</v>
      </c>
      <c r="AO187" s="378"/>
      <c r="AP187" s="378">
        <f t="shared" si="24"/>
        <v>1</v>
      </c>
      <c r="AQ187" s="465">
        <v>0</v>
      </c>
      <c r="AR187" s="379">
        <v>0</v>
      </c>
      <c r="AS187" s="378">
        <v>0</v>
      </c>
      <c r="AT187" s="466">
        <v>1</v>
      </c>
      <c r="AU187" s="466">
        <v>0</v>
      </c>
      <c r="AV187" s="379">
        <v>1</v>
      </c>
      <c r="AW187" s="379">
        <v>15</v>
      </c>
      <c r="AX187" s="378">
        <v>0</v>
      </c>
      <c r="AY187" s="365">
        <v>1</v>
      </c>
      <c r="AZ187" s="365">
        <v>15</v>
      </c>
      <c r="BA187" s="378">
        <v>0</v>
      </c>
      <c r="BB187" s="378"/>
      <c r="BC187" s="378">
        <f t="shared" si="25"/>
        <v>1</v>
      </c>
      <c r="BD187" s="379">
        <v>0</v>
      </c>
      <c r="BE187" s="379">
        <v>0</v>
      </c>
      <c r="BF187" s="365">
        <v>0</v>
      </c>
      <c r="BO187" s="381">
        <f t="shared" si="26"/>
        <v>1</v>
      </c>
      <c r="BP187" s="381">
        <f t="shared" si="27"/>
        <v>0</v>
      </c>
      <c r="BQ187" s="381"/>
      <c r="BR187" s="381">
        <f>_xlfn.XLOOKUP(A187,'Summer data team '!B:B,'Summer data team '!BV:BV,0)</f>
        <v>1</v>
      </c>
      <c r="BS187" s="381">
        <f>_xlfn.XLOOKUP(A187,'Summer data team '!B:B,'Summer data team '!BW:BW,0)</f>
        <v>0</v>
      </c>
      <c r="BT187" s="381">
        <f t="shared" si="28"/>
        <v>0</v>
      </c>
      <c r="BU187" s="381">
        <f t="shared" si="29"/>
        <v>0</v>
      </c>
    </row>
    <row r="188" spans="1:73" ht="13" hidden="1" x14ac:dyDescent="0.3">
      <c r="A188" s="364">
        <v>3305203</v>
      </c>
      <c r="B188" s="364" t="s">
        <v>159</v>
      </c>
      <c r="C188" s="365">
        <v>0</v>
      </c>
      <c r="D188" s="365">
        <v>0</v>
      </c>
      <c r="E188" s="365">
        <v>0</v>
      </c>
      <c r="F188" s="365">
        <v>22</v>
      </c>
      <c r="G188" s="365">
        <v>30</v>
      </c>
      <c r="H188" s="377">
        <v>0</v>
      </c>
      <c r="I188" s="377">
        <v>52</v>
      </c>
      <c r="J188" s="365">
        <v>20</v>
      </c>
      <c r="K188" s="365">
        <v>23</v>
      </c>
      <c r="L188" s="377">
        <v>43</v>
      </c>
      <c r="M188" s="365">
        <v>0</v>
      </c>
      <c r="N188" s="365">
        <v>0</v>
      </c>
      <c r="O188" s="365">
        <v>330</v>
      </c>
      <c r="P188" s="365">
        <v>450</v>
      </c>
      <c r="Q188" s="377">
        <v>780</v>
      </c>
      <c r="R188" s="365">
        <v>0</v>
      </c>
      <c r="S188" s="365">
        <v>0</v>
      </c>
      <c r="T188" s="365">
        <v>300</v>
      </c>
      <c r="U188" s="365">
        <v>345</v>
      </c>
      <c r="V188" s="377">
        <v>645</v>
      </c>
      <c r="W188" s="365">
        <v>0</v>
      </c>
      <c r="X188" s="365">
        <v>0</v>
      </c>
      <c r="Y188" s="378">
        <v>0</v>
      </c>
      <c r="Z188" s="365">
        <v>0</v>
      </c>
      <c r="AA188" s="365">
        <v>0</v>
      </c>
      <c r="AB188" s="378">
        <v>0</v>
      </c>
      <c r="AC188" s="365">
        <v>2</v>
      </c>
      <c r="AD188" s="365">
        <v>30</v>
      </c>
      <c r="AE188" s="378">
        <v>30</v>
      </c>
      <c r="AF188" s="379">
        <v>0</v>
      </c>
      <c r="AG188" s="379">
        <v>0</v>
      </c>
      <c r="AH188" s="378">
        <v>0</v>
      </c>
      <c r="AI188" s="379">
        <v>4</v>
      </c>
      <c r="AJ188" s="379">
        <v>60</v>
      </c>
      <c r="AK188" s="378">
        <v>30</v>
      </c>
      <c r="AL188" s="365">
        <v>4</v>
      </c>
      <c r="AM188" s="365">
        <v>60</v>
      </c>
      <c r="AN188" s="378">
        <v>30</v>
      </c>
      <c r="AO188" s="378"/>
      <c r="AP188" s="378">
        <f t="shared" si="24"/>
        <v>4</v>
      </c>
      <c r="AQ188" s="465">
        <v>0</v>
      </c>
      <c r="AR188" s="379">
        <v>0</v>
      </c>
      <c r="AS188" s="378">
        <v>0</v>
      </c>
      <c r="AT188" s="466">
        <v>2</v>
      </c>
      <c r="AU188" s="466">
        <v>1</v>
      </c>
      <c r="AV188" s="379">
        <v>3</v>
      </c>
      <c r="AW188" s="379">
        <v>45</v>
      </c>
      <c r="AX188" s="378">
        <v>15</v>
      </c>
      <c r="AY188" s="365">
        <v>3</v>
      </c>
      <c r="AZ188" s="365">
        <v>45</v>
      </c>
      <c r="BA188" s="378">
        <v>15</v>
      </c>
      <c r="BB188" s="378"/>
      <c r="BC188" s="378">
        <f t="shared" si="25"/>
        <v>3</v>
      </c>
      <c r="BD188" s="379">
        <v>0</v>
      </c>
      <c r="BE188" s="379">
        <v>0</v>
      </c>
      <c r="BF188" s="365">
        <v>0</v>
      </c>
      <c r="BO188" s="381">
        <f t="shared" si="26"/>
        <v>2</v>
      </c>
      <c r="BP188" s="381">
        <f t="shared" si="27"/>
        <v>1</v>
      </c>
      <c r="BQ188" s="381"/>
      <c r="BR188" s="381">
        <f>_xlfn.XLOOKUP(A188,'Summer data team '!B:B,'Summer data team '!BV:BV,0)</f>
        <v>2</v>
      </c>
      <c r="BS188" s="381">
        <f>_xlfn.XLOOKUP(A188,'Summer data team '!B:B,'Summer data team '!BW:BW,0)</f>
        <v>1</v>
      </c>
      <c r="BT188" s="381">
        <f t="shared" si="28"/>
        <v>0</v>
      </c>
      <c r="BU188" s="381">
        <f t="shared" si="29"/>
        <v>0</v>
      </c>
    </row>
    <row r="189" spans="1:73" ht="13" hidden="1" x14ac:dyDescent="0.3">
      <c r="A189" s="364">
        <v>3305205</v>
      </c>
      <c r="B189" s="364" t="s">
        <v>376</v>
      </c>
      <c r="C189" s="365">
        <v>0</v>
      </c>
      <c r="D189" s="365">
        <v>0</v>
      </c>
      <c r="E189" s="365">
        <v>0</v>
      </c>
      <c r="F189" s="365">
        <v>15</v>
      </c>
      <c r="G189" s="365">
        <v>9</v>
      </c>
      <c r="H189" s="377">
        <v>0</v>
      </c>
      <c r="I189" s="377">
        <v>24</v>
      </c>
      <c r="J189" s="365">
        <v>11</v>
      </c>
      <c r="K189" s="365">
        <v>5</v>
      </c>
      <c r="L189" s="377">
        <v>16</v>
      </c>
      <c r="M189" s="365">
        <v>0</v>
      </c>
      <c r="N189" s="365">
        <v>0</v>
      </c>
      <c r="O189" s="365">
        <v>225</v>
      </c>
      <c r="P189" s="365">
        <v>133</v>
      </c>
      <c r="Q189" s="377">
        <v>358</v>
      </c>
      <c r="R189" s="365">
        <v>0</v>
      </c>
      <c r="S189" s="365">
        <v>0</v>
      </c>
      <c r="T189" s="365">
        <v>165</v>
      </c>
      <c r="U189" s="365">
        <v>75</v>
      </c>
      <c r="V189" s="377">
        <v>240</v>
      </c>
      <c r="W189" s="365">
        <v>3</v>
      </c>
      <c r="X189" s="365">
        <v>43</v>
      </c>
      <c r="Y189" s="378">
        <v>15</v>
      </c>
      <c r="Z189" s="365">
        <v>1</v>
      </c>
      <c r="AA189" s="365">
        <v>15</v>
      </c>
      <c r="AB189" s="378">
        <v>15</v>
      </c>
      <c r="AC189" s="365">
        <v>3</v>
      </c>
      <c r="AD189" s="365">
        <v>45</v>
      </c>
      <c r="AE189" s="378">
        <v>30</v>
      </c>
      <c r="AF189" s="379">
        <v>0</v>
      </c>
      <c r="AG189" s="379">
        <v>0</v>
      </c>
      <c r="AH189" s="378">
        <v>0</v>
      </c>
      <c r="AI189" s="379">
        <v>2</v>
      </c>
      <c r="AJ189" s="379">
        <v>30</v>
      </c>
      <c r="AK189" s="378">
        <v>15</v>
      </c>
      <c r="AL189" s="365">
        <v>2</v>
      </c>
      <c r="AM189" s="365">
        <v>30</v>
      </c>
      <c r="AN189" s="378">
        <v>15</v>
      </c>
      <c r="AO189" s="378"/>
      <c r="AP189" s="378">
        <f t="shared" si="24"/>
        <v>2</v>
      </c>
      <c r="AQ189" s="465">
        <v>0</v>
      </c>
      <c r="AR189" s="379">
        <v>0</v>
      </c>
      <c r="AS189" s="378">
        <v>0</v>
      </c>
      <c r="AT189" s="466">
        <v>1</v>
      </c>
      <c r="AU189" s="466">
        <v>1</v>
      </c>
      <c r="AV189" s="379">
        <v>2</v>
      </c>
      <c r="AW189" s="379">
        <v>30</v>
      </c>
      <c r="AX189" s="378">
        <v>15</v>
      </c>
      <c r="AY189" s="365">
        <v>2</v>
      </c>
      <c r="AZ189" s="365">
        <v>30</v>
      </c>
      <c r="BA189" s="378">
        <v>15</v>
      </c>
      <c r="BB189" s="378"/>
      <c r="BC189" s="378">
        <f t="shared" si="25"/>
        <v>2</v>
      </c>
      <c r="BD189" s="379">
        <v>0</v>
      </c>
      <c r="BE189" s="379">
        <v>0</v>
      </c>
      <c r="BF189" s="365">
        <v>0</v>
      </c>
      <c r="BO189" s="381">
        <f t="shared" si="26"/>
        <v>1</v>
      </c>
      <c r="BP189" s="381">
        <f t="shared" si="27"/>
        <v>1</v>
      </c>
      <c r="BQ189" s="381"/>
      <c r="BR189" s="381">
        <f>_xlfn.XLOOKUP(A189,'Summer data team '!B:B,'Summer data team '!BV:BV,0)</f>
        <v>1</v>
      </c>
      <c r="BS189" s="381">
        <f>_xlfn.XLOOKUP(A189,'Summer data team '!B:B,'Summer data team '!BW:BW,0)</f>
        <v>1</v>
      </c>
      <c r="BT189" s="381">
        <f t="shared" si="28"/>
        <v>0</v>
      </c>
      <c r="BU189" s="381">
        <f t="shared" si="29"/>
        <v>0</v>
      </c>
    </row>
    <row r="190" spans="1:73" ht="13" hidden="1" x14ac:dyDescent="0.3">
      <c r="A190" s="364">
        <v>3307009</v>
      </c>
      <c r="B190" s="364" t="s">
        <v>379</v>
      </c>
      <c r="C190" s="365">
        <v>0</v>
      </c>
      <c r="D190" s="365">
        <v>0</v>
      </c>
      <c r="E190" s="365">
        <v>0</v>
      </c>
      <c r="F190" s="365">
        <v>2</v>
      </c>
      <c r="G190" s="365">
        <v>2</v>
      </c>
      <c r="H190" s="377">
        <v>0</v>
      </c>
      <c r="I190" s="377">
        <v>4</v>
      </c>
      <c r="J190" s="365">
        <v>0</v>
      </c>
      <c r="K190" s="365">
        <v>0</v>
      </c>
      <c r="L190" s="377">
        <v>0</v>
      </c>
      <c r="M190" s="365">
        <v>0</v>
      </c>
      <c r="N190" s="365">
        <v>0</v>
      </c>
      <c r="O190" s="365">
        <v>30</v>
      </c>
      <c r="P190" s="365">
        <v>30</v>
      </c>
      <c r="Q190" s="377">
        <v>60</v>
      </c>
      <c r="R190" s="365">
        <v>0</v>
      </c>
      <c r="S190" s="365">
        <v>0</v>
      </c>
      <c r="T190" s="365">
        <v>0</v>
      </c>
      <c r="U190" s="365">
        <v>0</v>
      </c>
      <c r="V190" s="377">
        <v>0</v>
      </c>
      <c r="W190" s="365">
        <v>3</v>
      </c>
      <c r="X190" s="365">
        <v>45</v>
      </c>
      <c r="Y190" s="378">
        <v>0</v>
      </c>
      <c r="Z190" s="365">
        <v>0</v>
      </c>
      <c r="AA190" s="365">
        <v>0</v>
      </c>
      <c r="AB190" s="378">
        <v>0</v>
      </c>
      <c r="AC190" s="365">
        <v>0</v>
      </c>
      <c r="AD190" s="365">
        <v>0</v>
      </c>
      <c r="AE190" s="378">
        <v>0</v>
      </c>
      <c r="AF190" s="379">
        <v>0</v>
      </c>
      <c r="AG190" s="379">
        <v>0</v>
      </c>
      <c r="AH190" s="378">
        <v>0</v>
      </c>
      <c r="AI190" s="379">
        <v>1</v>
      </c>
      <c r="AJ190" s="379">
        <v>15</v>
      </c>
      <c r="AK190" s="378">
        <v>0</v>
      </c>
      <c r="AL190" s="365">
        <v>1</v>
      </c>
      <c r="AM190" s="365">
        <v>15</v>
      </c>
      <c r="AN190" s="378">
        <v>0</v>
      </c>
      <c r="AO190" s="378"/>
      <c r="AP190" s="378">
        <f t="shared" si="24"/>
        <v>1</v>
      </c>
      <c r="AQ190" s="465">
        <v>0</v>
      </c>
      <c r="AR190" s="379">
        <v>0</v>
      </c>
      <c r="AS190" s="378">
        <v>0</v>
      </c>
      <c r="AT190" s="466">
        <v>1</v>
      </c>
      <c r="AU190" s="466">
        <v>0</v>
      </c>
      <c r="AV190" s="379">
        <v>1</v>
      </c>
      <c r="AW190" s="379">
        <v>15</v>
      </c>
      <c r="AX190" s="378">
        <v>0</v>
      </c>
      <c r="AY190" s="365">
        <v>1</v>
      </c>
      <c r="AZ190" s="365">
        <v>15</v>
      </c>
      <c r="BA190" s="378">
        <v>0</v>
      </c>
      <c r="BB190" s="378"/>
      <c r="BC190" s="378">
        <f t="shared" si="25"/>
        <v>1</v>
      </c>
      <c r="BD190" s="379">
        <v>0</v>
      </c>
      <c r="BE190" s="379">
        <v>0</v>
      </c>
      <c r="BF190" s="365">
        <v>0</v>
      </c>
      <c r="BO190" s="381">
        <f t="shared" si="26"/>
        <v>1</v>
      </c>
      <c r="BP190" s="381">
        <f t="shared" si="27"/>
        <v>0</v>
      </c>
      <c r="BQ190" s="381"/>
      <c r="BR190" s="381">
        <f>_xlfn.XLOOKUP(A190,'Summer data team '!B:B,'Summer data team '!BV:BV,0)</f>
        <v>1</v>
      </c>
      <c r="BS190" s="381">
        <f>_xlfn.XLOOKUP(A190,'Summer data team '!B:B,'Summer data team '!BW:BW,0)</f>
        <v>0</v>
      </c>
      <c r="BT190" s="381">
        <f t="shared" si="28"/>
        <v>0</v>
      </c>
      <c r="BU190" s="381">
        <f t="shared" si="29"/>
        <v>0</v>
      </c>
    </row>
    <row r="191" spans="1:73" ht="13" hidden="1" x14ac:dyDescent="0.3">
      <c r="A191" s="364">
        <v>3307012</v>
      </c>
      <c r="B191" s="364" t="s">
        <v>380</v>
      </c>
      <c r="C191" s="365">
        <v>0</v>
      </c>
      <c r="D191" s="365">
        <v>0</v>
      </c>
      <c r="E191" s="365">
        <v>0</v>
      </c>
      <c r="F191" s="365">
        <v>2</v>
      </c>
      <c r="G191" s="365">
        <v>2</v>
      </c>
      <c r="H191" s="377">
        <v>0</v>
      </c>
      <c r="I191" s="377">
        <v>4</v>
      </c>
      <c r="J191" s="365">
        <v>0</v>
      </c>
      <c r="K191" s="365">
        <v>0</v>
      </c>
      <c r="L191" s="377">
        <v>0</v>
      </c>
      <c r="M191" s="365">
        <v>0</v>
      </c>
      <c r="N191" s="365">
        <v>0</v>
      </c>
      <c r="O191" s="365">
        <v>30</v>
      </c>
      <c r="P191" s="365">
        <v>30</v>
      </c>
      <c r="Q191" s="377">
        <v>60</v>
      </c>
      <c r="R191" s="365">
        <v>0</v>
      </c>
      <c r="S191" s="365">
        <v>0</v>
      </c>
      <c r="T191" s="365">
        <v>0</v>
      </c>
      <c r="U191" s="365">
        <v>0</v>
      </c>
      <c r="V191" s="377">
        <v>0</v>
      </c>
      <c r="W191" s="365">
        <v>0</v>
      </c>
      <c r="X191" s="365">
        <v>0</v>
      </c>
      <c r="Y191" s="378">
        <v>0</v>
      </c>
      <c r="Z191" s="365">
        <v>0</v>
      </c>
      <c r="AA191" s="365">
        <v>0</v>
      </c>
      <c r="AB191" s="378">
        <v>0</v>
      </c>
      <c r="AC191" s="365">
        <v>0</v>
      </c>
      <c r="AD191" s="365">
        <v>0</v>
      </c>
      <c r="AE191" s="378">
        <v>0</v>
      </c>
      <c r="AF191" s="379">
        <v>0</v>
      </c>
      <c r="AG191" s="379">
        <v>0</v>
      </c>
      <c r="AH191" s="378">
        <v>0</v>
      </c>
      <c r="AI191" s="379">
        <v>1</v>
      </c>
      <c r="AJ191" s="379">
        <v>15</v>
      </c>
      <c r="AK191" s="378">
        <v>0</v>
      </c>
      <c r="AL191" s="365">
        <v>1</v>
      </c>
      <c r="AM191" s="365">
        <v>15</v>
      </c>
      <c r="AN191" s="378">
        <v>0</v>
      </c>
      <c r="AO191" s="378"/>
      <c r="AP191" s="378">
        <f t="shared" si="24"/>
        <v>1</v>
      </c>
      <c r="AQ191" s="465">
        <v>0</v>
      </c>
      <c r="AR191" s="379">
        <v>0</v>
      </c>
      <c r="AS191" s="378">
        <v>0</v>
      </c>
      <c r="AT191" s="466">
        <v>1</v>
      </c>
      <c r="AU191" s="466">
        <v>0</v>
      </c>
      <c r="AV191" s="379">
        <v>1</v>
      </c>
      <c r="AW191" s="379">
        <v>15</v>
      </c>
      <c r="AX191" s="378">
        <v>0</v>
      </c>
      <c r="AY191" s="365">
        <v>1</v>
      </c>
      <c r="AZ191" s="365">
        <v>15</v>
      </c>
      <c r="BA191" s="378">
        <v>0</v>
      </c>
      <c r="BB191" s="378"/>
      <c r="BC191" s="378">
        <f t="shared" si="25"/>
        <v>1</v>
      </c>
      <c r="BD191" s="379">
        <v>0</v>
      </c>
      <c r="BE191" s="379">
        <v>0</v>
      </c>
      <c r="BF191" s="365">
        <v>0</v>
      </c>
      <c r="BO191" s="381">
        <f t="shared" si="26"/>
        <v>1</v>
      </c>
      <c r="BP191" s="381">
        <f t="shared" si="27"/>
        <v>0</v>
      </c>
      <c r="BQ191" s="381"/>
      <c r="BR191" s="381">
        <f>_xlfn.XLOOKUP(A191,'Summer data team '!B:B,'Summer data team '!BV:BV,0)</f>
        <v>1</v>
      </c>
      <c r="BS191" s="381">
        <f>_xlfn.XLOOKUP(A191,'Summer data team '!B:B,'Summer data team '!BW:BW,0)</f>
        <v>0</v>
      </c>
      <c r="BT191" s="381">
        <f t="shared" si="28"/>
        <v>0</v>
      </c>
      <c r="BU191" s="381">
        <f t="shared" si="29"/>
        <v>0</v>
      </c>
    </row>
    <row r="192" spans="1:73" ht="13" hidden="1" x14ac:dyDescent="0.3">
      <c r="A192" s="364">
        <v>3307013</v>
      </c>
      <c r="B192" s="364" t="s">
        <v>420</v>
      </c>
      <c r="C192" s="365">
        <v>0</v>
      </c>
      <c r="D192" s="365">
        <v>0</v>
      </c>
      <c r="E192" s="365">
        <v>0</v>
      </c>
      <c r="F192" s="365">
        <v>2</v>
      </c>
      <c r="G192" s="365">
        <v>4</v>
      </c>
      <c r="H192" s="377">
        <v>0</v>
      </c>
      <c r="I192" s="377">
        <v>6</v>
      </c>
      <c r="J192" s="365">
        <v>0</v>
      </c>
      <c r="K192" s="365">
        <v>0</v>
      </c>
      <c r="L192" s="377">
        <v>0</v>
      </c>
      <c r="M192" s="365">
        <v>0</v>
      </c>
      <c r="N192" s="365">
        <v>0</v>
      </c>
      <c r="O192" s="365">
        <v>30</v>
      </c>
      <c r="P192" s="365">
        <v>60</v>
      </c>
      <c r="Q192" s="377">
        <v>90</v>
      </c>
      <c r="R192" s="365">
        <v>0</v>
      </c>
      <c r="S192" s="365">
        <v>0</v>
      </c>
      <c r="T192" s="365">
        <v>0</v>
      </c>
      <c r="U192" s="365">
        <v>0</v>
      </c>
      <c r="V192" s="377">
        <v>0</v>
      </c>
      <c r="W192" s="365">
        <v>0</v>
      </c>
      <c r="X192" s="365">
        <v>0</v>
      </c>
      <c r="Y192" s="378">
        <v>0</v>
      </c>
      <c r="Z192" s="365">
        <v>2</v>
      </c>
      <c r="AA192" s="365">
        <v>30</v>
      </c>
      <c r="AB192" s="378">
        <v>0</v>
      </c>
      <c r="AC192" s="365">
        <v>1</v>
      </c>
      <c r="AD192" s="365">
        <v>15</v>
      </c>
      <c r="AE192" s="378">
        <v>0</v>
      </c>
      <c r="AF192" s="379">
        <v>0</v>
      </c>
      <c r="AG192" s="379">
        <v>0</v>
      </c>
      <c r="AH192" s="378">
        <v>0</v>
      </c>
      <c r="AI192" s="379">
        <v>1</v>
      </c>
      <c r="AJ192" s="379">
        <v>15</v>
      </c>
      <c r="AK192" s="378">
        <v>0</v>
      </c>
      <c r="AL192" s="365">
        <v>1</v>
      </c>
      <c r="AM192" s="365">
        <v>15</v>
      </c>
      <c r="AN192" s="378">
        <v>0</v>
      </c>
      <c r="AO192" s="378"/>
      <c r="AP192" s="378">
        <f t="shared" si="24"/>
        <v>1</v>
      </c>
      <c r="AQ192" s="465">
        <v>0</v>
      </c>
      <c r="AR192" s="379">
        <v>0</v>
      </c>
      <c r="AS192" s="378">
        <v>0</v>
      </c>
      <c r="AT192" s="466">
        <v>1</v>
      </c>
      <c r="AU192" s="466">
        <v>0</v>
      </c>
      <c r="AV192" s="379">
        <v>1</v>
      </c>
      <c r="AW192" s="379">
        <v>15</v>
      </c>
      <c r="AX192" s="378">
        <v>0</v>
      </c>
      <c r="AY192" s="365">
        <v>1</v>
      </c>
      <c r="AZ192" s="365">
        <v>15</v>
      </c>
      <c r="BA192" s="378">
        <v>0</v>
      </c>
      <c r="BB192" s="378"/>
      <c r="BC192" s="378">
        <f t="shared" si="25"/>
        <v>1</v>
      </c>
      <c r="BD192" s="379">
        <v>0</v>
      </c>
      <c r="BE192" s="379">
        <v>0</v>
      </c>
      <c r="BF192" s="365">
        <v>0</v>
      </c>
      <c r="BO192" s="381">
        <f t="shared" si="26"/>
        <v>1</v>
      </c>
      <c r="BP192" s="381">
        <f t="shared" si="27"/>
        <v>0</v>
      </c>
      <c r="BQ192" s="381"/>
      <c r="BR192" s="381">
        <f>_xlfn.XLOOKUP(A192,'Summer data team '!B:B,'Summer data team '!BV:BV,0)</f>
        <v>1</v>
      </c>
      <c r="BS192" s="381">
        <f>_xlfn.XLOOKUP(A192,'Summer data team '!B:B,'Summer data team '!BW:BW,0)</f>
        <v>0</v>
      </c>
      <c r="BT192" s="381">
        <f t="shared" si="28"/>
        <v>0</v>
      </c>
      <c r="BU192" s="381">
        <f t="shared" si="29"/>
        <v>0</v>
      </c>
    </row>
    <row r="193" spans="1:73" ht="13" hidden="1" x14ac:dyDescent="0.3">
      <c r="A193" s="364">
        <v>3307014</v>
      </c>
      <c r="B193" s="364" t="s">
        <v>860</v>
      </c>
      <c r="C193" s="365">
        <v>0</v>
      </c>
      <c r="D193" s="365">
        <v>0</v>
      </c>
      <c r="E193" s="365">
        <v>0</v>
      </c>
      <c r="F193" s="365">
        <v>0</v>
      </c>
      <c r="G193" s="365">
        <v>1</v>
      </c>
      <c r="H193" s="377">
        <v>0</v>
      </c>
      <c r="I193" s="377">
        <v>1</v>
      </c>
      <c r="J193" s="365">
        <v>0</v>
      </c>
      <c r="K193" s="365">
        <v>0</v>
      </c>
      <c r="L193" s="377">
        <v>0</v>
      </c>
      <c r="M193" s="365">
        <v>0</v>
      </c>
      <c r="N193" s="365">
        <v>0</v>
      </c>
      <c r="O193" s="365">
        <v>0</v>
      </c>
      <c r="P193" s="365">
        <v>15</v>
      </c>
      <c r="Q193" s="377">
        <v>15</v>
      </c>
      <c r="R193" s="365">
        <v>0</v>
      </c>
      <c r="S193" s="365">
        <v>0</v>
      </c>
      <c r="T193" s="365">
        <v>0</v>
      </c>
      <c r="U193" s="365">
        <v>0</v>
      </c>
      <c r="V193" s="377">
        <v>0</v>
      </c>
      <c r="W193" s="365">
        <v>0</v>
      </c>
      <c r="X193" s="365">
        <v>0</v>
      </c>
      <c r="Y193" s="378">
        <v>0</v>
      </c>
      <c r="Z193" s="365">
        <v>0</v>
      </c>
      <c r="AA193" s="365">
        <v>0</v>
      </c>
      <c r="AB193" s="378">
        <v>0</v>
      </c>
      <c r="AC193" s="365">
        <v>0</v>
      </c>
      <c r="AD193" s="365">
        <v>0</v>
      </c>
      <c r="AE193" s="378">
        <v>0</v>
      </c>
      <c r="AF193" s="379">
        <v>0</v>
      </c>
      <c r="AG193" s="379">
        <v>0</v>
      </c>
      <c r="AH193" s="378">
        <v>0</v>
      </c>
      <c r="AI193" s="379">
        <v>1</v>
      </c>
      <c r="AJ193" s="379">
        <v>15</v>
      </c>
      <c r="AK193" s="378">
        <v>0</v>
      </c>
      <c r="AL193" s="365">
        <v>1</v>
      </c>
      <c r="AM193" s="365">
        <v>15</v>
      </c>
      <c r="AN193" s="378">
        <v>0</v>
      </c>
      <c r="AO193" s="378"/>
      <c r="AP193" s="378">
        <f t="shared" si="24"/>
        <v>1</v>
      </c>
      <c r="AQ193" s="465">
        <v>0</v>
      </c>
      <c r="AR193" s="379">
        <v>0</v>
      </c>
      <c r="AS193" s="378">
        <v>0</v>
      </c>
      <c r="AT193" s="466">
        <v>1</v>
      </c>
      <c r="AU193" s="466">
        <v>0</v>
      </c>
      <c r="AV193" s="379">
        <v>1</v>
      </c>
      <c r="AW193" s="379">
        <v>15</v>
      </c>
      <c r="AX193" s="378">
        <v>0</v>
      </c>
      <c r="AY193" s="365">
        <v>1</v>
      </c>
      <c r="AZ193" s="365">
        <v>15</v>
      </c>
      <c r="BA193" s="378">
        <v>0</v>
      </c>
      <c r="BB193" s="378"/>
      <c r="BC193" s="378">
        <f t="shared" si="25"/>
        <v>1</v>
      </c>
      <c r="BD193" s="379">
        <v>0</v>
      </c>
      <c r="BE193" s="379">
        <v>0</v>
      </c>
      <c r="BF193" s="365">
        <v>0</v>
      </c>
      <c r="BO193" s="381">
        <f t="shared" si="26"/>
        <v>1</v>
      </c>
      <c r="BP193" s="381">
        <f t="shared" si="27"/>
        <v>0</v>
      </c>
      <c r="BQ193" s="381"/>
      <c r="BR193" s="381">
        <f>_xlfn.XLOOKUP(A193,'Summer data team '!B:B,'Summer data team '!BV:BV,0)</f>
        <v>1</v>
      </c>
      <c r="BS193" s="381">
        <f>_xlfn.XLOOKUP(A193,'Summer data team '!B:B,'Summer data team '!BW:BW,0)</f>
        <v>0</v>
      </c>
      <c r="BT193" s="381">
        <f t="shared" si="28"/>
        <v>0</v>
      </c>
      <c r="BU193" s="381">
        <f t="shared" si="29"/>
        <v>0</v>
      </c>
    </row>
    <row r="194" spans="1:73" ht="13" hidden="1" x14ac:dyDescent="0.3">
      <c r="A194" s="364">
        <v>3307031</v>
      </c>
      <c r="B194" s="364" t="s">
        <v>381</v>
      </c>
      <c r="C194" s="365">
        <v>0</v>
      </c>
      <c r="D194" s="365">
        <v>0</v>
      </c>
      <c r="E194" s="365">
        <v>0</v>
      </c>
      <c r="F194" s="365">
        <v>3</v>
      </c>
      <c r="G194" s="365">
        <v>2</v>
      </c>
      <c r="H194" s="377">
        <v>0</v>
      </c>
      <c r="I194" s="377">
        <v>5</v>
      </c>
      <c r="J194" s="365">
        <v>0</v>
      </c>
      <c r="K194" s="365">
        <v>0</v>
      </c>
      <c r="L194" s="377">
        <v>0</v>
      </c>
      <c r="M194" s="365">
        <v>0</v>
      </c>
      <c r="N194" s="365">
        <v>0</v>
      </c>
      <c r="O194" s="365">
        <v>45</v>
      </c>
      <c r="P194" s="365">
        <v>30</v>
      </c>
      <c r="Q194" s="377">
        <v>75</v>
      </c>
      <c r="R194" s="365">
        <v>0</v>
      </c>
      <c r="S194" s="365">
        <v>0</v>
      </c>
      <c r="T194" s="365">
        <v>0</v>
      </c>
      <c r="U194" s="365">
        <v>0</v>
      </c>
      <c r="V194" s="377">
        <v>0</v>
      </c>
      <c r="W194" s="365">
        <v>1</v>
      </c>
      <c r="X194" s="365">
        <v>15</v>
      </c>
      <c r="Y194" s="378">
        <v>0</v>
      </c>
      <c r="Z194" s="365">
        <v>3</v>
      </c>
      <c r="AA194" s="365">
        <v>45</v>
      </c>
      <c r="AB194" s="378">
        <v>0</v>
      </c>
      <c r="AC194" s="365">
        <v>0</v>
      </c>
      <c r="AD194" s="365">
        <v>0</v>
      </c>
      <c r="AE194" s="378">
        <v>0</v>
      </c>
      <c r="AF194" s="379">
        <v>0</v>
      </c>
      <c r="AG194" s="379">
        <v>0</v>
      </c>
      <c r="AH194" s="378">
        <v>0</v>
      </c>
      <c r="AI194" s="379">
        <v>1</v>
      </c>
      <c r="AJ194" s="379">
        <v>15</v>
      </c>
      <c r="AK194" s="378">
        <v>0</v>
      </c>
      <c r="AL194" s="365">
        <v>1</v>
      </c>
      <c r="AM194" s="365">
        <v>15</v>
      </c>
      <c r="AN194" s="378">
        <v>0</v>
      </c>
      <c r="AO194" s="378"/>
      <c r="AP194" s="378">
        <f t="shared" si="24"/>
        <v>1</v>
      </c>
      <c r="AQ194" s="465">
        <v>0</v>
      </c>
      <c r="AR194" s="379">
        <v>0</v>
      </c>
      <c r="AS194" s="378">
        <v>0</v>
      </c>
      <c r="AT194" s="466">
        <v>1</v>
      </c>
      <c r="AU194" s="466">
        <v>0</v>
      </c>
      <c r="AV194" s="379">
        <v>1</v>
      </c>
      <c r="AW194" s="379">
        <v>15</v>
      </c>
      <c r="AX194" s="378">
        <v>0</v>
      </c>
      <c r="AY194" s="365">
        <v>1</v>
      </c>
      <c r="AZ194" s="365">
        <v>15</v>
      </c>
      <c r="BA194" s="378">
        <v>0</v>
      </c>
      <c r="BB194" s="378"/>
      <c r="BC194" s="378">
        <f t="shared" si="25"/>
        <v>1</v>
      </c>
      <c r="BD194" s="379">
        <v>0</v>
      </c>
      <c r="BE194" s="379">
        <v>5</v>
      </c>
      <c r="BF194" s="365">
        <v>5</v>
      </c>
      <c r="BO194" s="381">
        <f t="shared" si="26"/>
        <v>1</v>
      </c>
      <c r="BP194" s="381">
        <f t="shared" si="27"/>
        <v>0</v>
      </c>
      <c r="BQ194" s="381"/>
      <c r="BR194" s="381">
        <f>_xlfn.XLOOKUP(A194,'Summer data team '!B:B,'Summer data team '!BV:BV,0)</f>
        <v>1</v>
      </c>
      <c r="BS194" s="381">
        <f>_xlfn.XLOOKUP(A194,'Summer data team '!B:B,'Summer data team '!BW:BW,0)</f>
        <v>0</v>
      </c>
      <c r="BT194" s="381">
        <f t="shared" si="28"/>
        <v>0</v>
      </c>
      <c r="BU194" s="381">
        <f t="shared" si="29"/>
        <v>0</v>
      </c>
    </row>
    <row r="195" spans="1:73" ht="13" hidden="1" x14ac:dyDescent="0.3">
      <c r="A195" s="364">
        <v>3307034</v>
      </c>
      <c r="B195" s="364" t="s">
        <v>382</v>
      </c>
      <c r="C195" s="365">
        <v>0</v>
      </c>
      <c r="D195" s="365">
        <v>1</v>
      </c>
      <c r="E195" s="365">
        <v>0</v>
      </c>
      <c r="F195" s="365">
        <v>1</v>
      </c>
      <c r="G195" s="365">
        <v>2</v>
      </c>
      <c r="H195" s="377">
        <v>1</v>
      </c>
      <c r="I195" s="377">
        <v>3</v>
      </c>
      <c r="J195" s="365">
        <v>0</v>
      </c>
      <c r="K195" s="365">
        <v>0</v>
      </c>
      <c r="L195" s="377">
        <v>0</v>
      </c>
      <c r="M195" s="365">
        <v>0</v>
      </c>
      <c r="N195" s="365">
        <v>15</v>
      </c>
      <c r="O195" s="365">
        <v>15</v>
      </c>
      <c r="P195" s="365">
        <v>30</v>
      </c>
      <c r="Q195" s="377">
        <v>45</v>
      </c>
      <c r="R195" s="365">
        <v>0</v>
      </c>
      <c r="S195" s="365">
        <v>15</v>
      </c>
      <c r="T195" s="365">
        <v>0</v>
      </c>
      <c r="U195" s="365">
        <v>0</v>
      </c>
      <c r="V195" s="377">
        <v>0</v>
      </c>
      <c r="W195" s="365">
        <v>0</v>
      </c>
      <c r="X195" s="365">
        <v>0</v>
      </c>
      <c r="Y195" s="378">
        <v>0</v>
      </c>
      <c r="Z195" s="365">
        <v>0</v>
      </c>
      <c r="AA195" s="365">
        <v>0</v>
      </c>
      <c r="AB195" s="378">
        <v>0</v>
      </c>
      <c r="AC195" s="365">
        <v>0</v>
      </c>
      <c r="AD195" s="365">
        <v>0</v>
      </c>
      <c r="AE195" s="378">
        <v>0</v>
      </c>
      <c r="AF195" s="379">
        <v>1</v>
      </c>
      <c r="AG195" s="379">
        <v>15</v>
      </c>
      <c r="AH195" s="378">
        <v>0</v>
      </c>
      <c r="AI195" s="379">
        <v>2</v>
      </c>
      <c r="AJ195" s="379">
        <v>30</v>
      </c>
      <c r="AK195" s="378">
        <v>0</v>
      </c>
      <c r="AL195" s="365">
        <v>3</v>
      </c>
      <c r="AM195" s="365">
        <v>45</v>
      </c>
      <c r="AN195" s="378">
        <v>0</v>
      </c>
      <c r="AO195" s="378"/>
      <c r="AP195" s="378">
        <f t="shared" ref="AP195:AP197" si="30">AL195+AO195</f>
        <v>3</v>
      </c>
      <c r="AQ195" s="465">
        <v>1</v>
      </c>
      <c r="AR195" s="379">
        <v>15</v>
      </c>
      <c r="AS195" s="378">
        <v>0</v>
      </c>
      <c r="AT195" s="466">
        <v>2</v>
      </c>
      <c r="AU195" s="466">
        <v>0</v>
      </c>
      <c r="AV195" s="379">
        <v>2</v>
      </c>
      <c r="AW195" s="379">
        <v>30</v>
      </c>
      <c r="AX195" s="378">
        <v>0</v>
      </c>
      <c r="AY195" s="365">
        <v>3</v>
      </c>
      <c r="AZ195" s="365">
        <v>45</v>
      </c>
      <c r="BA195" s="378">
        <v>0</v>
      </c>
      <c r="BB195" s="378"/>
      <c r="BC195" s="378">
        <f t="shared" ref="BC195:BC197" si="31">AY195+BB195</f>
        <v>3</v>
      </c>
      <c r="BD195" s="379">
        <v>1</v>
      </c>
      <c r="BE195" s="379">
        <v>3</v>
      </c>
      <c r="BF195" s="365">
        <v>4</v>
      </c>
      <c r="BO195" s="381">
        <f t="shared" si="26"/>
        <v>3</v>
      </c>
      <c r="BP195" s="381">
        <f t="shared" si="27"/>
        <v>0</v>
      </c>
      <c r="BQ195" s="381"/>
      <c r="BR195" s="381">
        <f>_xlfn.XLOOKUP(A195,'Summer data team '!B:B,'Summer data team '!BV:BV,0)</f>
        <v>3</v>
      </c>
      <c r="BS195" s="381">
        <f>_xlfn.XLOOKUP(A195,'Summer data team '!B:B,'Summer data team '!BW:BW,0)</f>
        <v>0</v>
      </c>
      <c r="BT195" s="381">
        <f t="shared" si="28"/>
        <v>0</v>
      </c>
      <c r="BU195" s="381">
        <f t="shared" si="29"/>
        <v>0</v>
      </c>
    </row>
    <row r="196" spans="1:73" ht="13" hidden="1" x14ac:dyDescent="0.3">
      <c r="A196" s="364">
        <v>3307038</v>
      </c>
      <c r="B196" s="364" t="s">
        <v>421</v>
      </c>
      <c r="C196" s="365">
        <v>0</v>
      </c>
      <c r="D196" s="365">
        <v>0</v>
      </c>
      <c r="E196" s="365">
        <v>0</v>
      </c>
      <c r="F196" s="365">
        <v>1</v>
      </c>
      <c r="G196" s="365">
        <v>0</v>
      </c>
      <c r="H196" s="377">
        <v>0</v>
      </c>
      <c r="I196" s="377">
        <v>1</v>
      </c>
      <c r="J196" s="365">
        <v>0</v>
      </c>
      <c r="K196" s="365">
        <v>0</v>
      </c>
      <c r="L196" s="377">
        <v>0</v>
      </c>
      <c r="M196" s="365">
        <v>0</v>
      </c>
      <c r="N196" s="365">
        <v>0</v>
      </c>
      <c r="O196" s="365">
        <v>15</v>
      </c>
      <c r="P196" s="365">
        <v>0</v>
      </c>
      <c r="Q196" s="377">
        <v>15</v>
      </c>
      <c r="R196" s="365">
        <v>0</v>
      </c>
      <c r="S196" s="365">
        <v>0</v>
      </c>
      <c r="T196" s="365">
        <v>0</v>
      </c>
      <c r="U196" s="365">
        <v>0</v>
      </c>
      <c r="V196" s="377">
        <v>0</v>
      </c>
      <c r="W196" s="365">
        <v>0</v>
      </c>
      <c r="X196" s="365">
        <v>0</v>
      </c>
      <c r="Y196" s="378">
        <v>0</v>
      </c>
      <c r="Z196" s="365">
        <v>0</v>
      </c>
      <c r="AA196" s="365">
        <v>0</v>
      </c>
      <c r="AB196" s="378">
        <v>0</v>
      </c>
      <c r="AC196" s="365">
        <v>0</v>
      </c>
      <c r="AD196" s="365">
        <v>0</v>
      </c>
      <c r="AE196" s="378">
        <v>0</v>
      </c>
      <c r="AF196" s="379">
        <v>0</v>
      </c>
      <c r="AG196" s="379">
        <v>0</v>
      </c>
      <c r="AH196" s="378">
        <v>0</v>
      </c>
      <c r="AI196" s="379">
        <v>0</v>
      </c>
      <c r="AJ196" s="379">
        <v>0</v>
      </c>
      <c r="AK196" s="378">
        <v>0</v>
      </c>
      <c r="AL196" s="365">
        <v>0</v>
      </c>
      <c r="AM196" s="365">
        <v>0</v>
      </c>
      <c r="AN196" s="378">
        <v>0</v>
      </c>
      <c r="AO196" s="378"/>
      <c r="AP196" s="378">
        <f t="shared" si="30"/>
        <v>0</v>
      </c>
      <c r="AQ196" s="465">
        <v>0</v>
      </c>
      <c r="AR196" s="379">
        <v>0</v>
      </c>
      <c r="AS196" s="378">
        <v>0</v>
      </c>
      <c r="AT196" s="466">
        <v>0</v>
      </c>
      <c r="AU196" s="466">
        <v>0</v>
      </c>
      <c r="AV196" s="379">
        <v>0</v>
      </c>
      <c r="AW196" s="379">
        <v>0</v>
      </c>
      <c r="AX196" s="378">
        <v>0</v>
      </c>
      <c r="AY196" s="365">
        <v>0</v>
      </c>
      <c r="AZ196" s="365">
        <v>0</v>
      </c>
      <c r="BA196" s="378">
        <v>0</v>
      </c>
      <c r="BB196" s="378"/>
      <c r="BC196" s="378">
        <f t="shared" si="31"/>
        <v>0</v>
      </c>
      <c r="BD196" s="379">
        <v>0</v>
      </c>
      <c r="BE196" s="379">
        <v>0</v>
      </c>
      <c r="BF196" s="365">
        <v>0</v>
      </c>
      <c r="BO196" s="381">
        <f t="shared" si="26"/>
        <v>0</v>
      </c>
      <c r="BP196" s="381">
        <f t="shared" si="27"/>
        <v>0</v>
      </c>
      <c r="BQ196" s="381"/>
      <c r="BR196" s="381">
        <f>_xlfn.XLOOKUP(A196,'Summer data team '!B:B,'Summer data team '!BV:BV,0)</f>
        <v>0</v>
      </c>
      <c r="BS196" s="381">
        <f>_xlfn.XLOOKUP(A196,'Summer data team '!B:B,'Summer data team '!BW:BW,0)</f>
        <v>0</v>
      </c>
      <c r="BT196" s="381">
        <f t="shared" si="28"/>
        <v>0</v>
      </c>
      <c r="BU196" s="381">
        <f t="shared" si="29"/>
        <v>0</v>
      </c>
    </row>
    <row r="197" spans="1:73" ht="13" hidden="1" x14ac:dyDescent="0.3">
      <c r="A197" s="364">
        <v>3307052</v>
      </c>
      <c r="B197" s="364" t="s">
        <v>423</v>
      </c>
      <c r="C197" s="365">
        <v>0</v>
      </c>
      <c r="D197" s="365">
        <v>0</v>
      </c>
      <c r="E197" s="365">
        <v>0</v>
      </c>
      <c r="F197" s="365">
        <v>0</v>
      </c>
      <c r="G197" s="365">
        <v>1</v>
      </c>
      <c r="H197" s="377">
        <v>0</v>
      </c>
      <c r="I197" s="377">
        <v>1</v>
      </c>
      <c r="J197" s="365">
        <v>0</v>
      </c>
      <c r="K197" s="365">
        <v>0</v>
      </c>
      <c r="L197" s="377">
        <v>0</v>
      </c>
      <c r="M197" s="365">
        <v>0</v>
      </c>
      <c r="N197" s="365">
        <v>0</v>
      </c>
      <c r="O197" s="365">
        <v>0</v>
      </c>
      <c r="P197" s="365">
        <v>15</v>
      </c>
      <c r="Q197" s="377">
        <v>15</v>
      </c>
      <c r="R197" s="365">
        <v>0</v>
      </c>
      <c r="S197" s="365">
        <v>0</v>
      </c>
      <c r="T197" s="365">
        <v>0</v>
      </c>
      <c r="U197" s="365">
        <v>0</v>
      </c>
      <c r="V197" s="377">
        <v>0</v>
      </c>
      <c r="W197" s="365">
        <v>1</v>
      </c>
      <c r="X197" s="365">
        <v>15</v>
      </c>
      <c r="Y197" s="378">
        <v>0</v>
      </c>
      <c r="Z197" s="365">
        <v>0</v>
      </c>
      <c r="AA197" s="365">
        <v>0</v>
      </c>
      <c r="AB197" s="378">
        <v>0</v>
      </c>
      <c r="AC197" s="365">
        <v>0</v>
      </c>
      <c r="AD197" s="365">
        <v>0</v>
      </c>
      <c r="AE197" s="378">
        <v>0</v>
      </c>
      <c r="AF197" s="379">
        <v>0</v>
      </c>
      <c r="AG197" s="379">
        <v>0</v>
      </c>
      <c r="AH197" s="378">
        <v>0</v>
      </c>
      <c r="AI197" s="379">
        <v>0</v>
      </c>
      <c r="AJ197" s="379">
        <v>0</v>
      </c>
      <c r="AK197" s="378">
        <v>0</v>
      </c>
      <c r="AL197" s="365">
        <v>0</v>
      </c>
      <c r="AM197" s="365">
        <v>0</v>
      </c>
      <c r="AN197" s="378">
        <v>0</v>
      </c>
      <c r="AO197" s="378"/>
      <c r="AP197" s="378">
        <f t="shared" si="30"/>
        <v>0</v>
      </c>
      <c r="AQ197" s="465">
        <v>0</v>
      </c>
      <c r="AR197" s="379">
        <v>0</v>
      </c>
      <c r="AS197" s="378">
        <v>0</v>
      </c>
      <c r="AT197" s="466">
        <v>0</v>
      </c>
      <c r="AU197" s="466">
        <v>0</v>
      </c>
      <c r="AV197" s="379">
        <v>0</v>
      </c>
      <c r="AW197" s="379">
        <v>0</v>
      </c>
      <c r="AX197" s="378">
        <v>0</v>
      </c>
      <c r="AY197" s="365">
        <v>0</v>
      </c>
      <c r="AZ197" s="365">
        <v>0</v>
      </c>
      <c r="BA197" s="378">
        <v>0</v>
      </c>
      <c r="BB197" s="378"/>
      <c r="BC197" s="378">
        <f t="shared" si="31"/>
        <v>0</v>
      </c>
      <c r="BD197" s="379">
        <v>0</v>
      </c>
      <c r="BE197" s="379">
        <v>0</v>
      </c>
      <c r="BF197" s="365">
        <v>0</v>
      </c>
      <c r="BO197" s="381">
        <f t="shared" si="26"/>
        <v>0</v>
      </c>
      <c r="BP197" s="381">
        <f t="shared" si="27"/>
        <v>0</v>
      </c>
      <c r="BQ197" s="381"/>
      <c r="BR197" s="381">
        <f>_xlfn.XLOOKUP(A197,'Summer data team '!B:B,'Summer data team '!BV:BV,0)</f>
        <v>0</v>
      </c>
      <c r="BS197" s="381">
        <f>_xlfn.XLOOKUP(A197,'Summer data team '!B:B,'Summer data team '!BW:BW,0)</f>
        <v>0</v>
      </c>
      <c r="BT197" s="381">
        <f t="shared" si="28"/>
        <v>0</v>
      </c>
      <c r="BU197" s="381">
        <f t="shared" si="29"/>
        <v>0</v>
      </c>
    </row>
    <row r="198" spans="1:73" ht="13.5" hidden="1" thickBot="1" x14ac:dyDescent="0.35">
      <c r="H198" s="377"/>
      <c r="I198" s="377"/>
      <c r="J198" s="365"/>
      <c r="K198" s="365"/>
      <c r="L198" s="377"/>
      <c r="M198" s="365"/>
      <c r="N198" s="365"/>
      <c r="O198" s="365"/>
      <c r="P198" s="365"/>
      <c r="Q198" s="377"/>
      <c r="R198" s="365"/>
      <c r="S198" s="365"/>
      <c r="T198" s="365"/>
      <c r="U198" s="365"/>
      <c r="V198" s="377"/>
      <c r="W198" s="365"/>
      <c r="X198" s="365"/>
      <c r="Y198" s="378"/>
      <c r="Z198" s="365"/>
      <c r="AA198" s="365"/>
      <c r="AB198" s="378"/>
      <c r="AC198" s="365"/>
      <c r="AD198" s="365"/>
      <c r="AE198" s="378"/>
      <c r="AF198" s="379"/>
      <c r="AG198" s="379"/>
      <c r="AH198" s="378"/>
      <c r="AI198" s="379"/>
      <c r="AJ198" s="379"/>
      <c r="AK198" s="378"/>
      <c r="AL198" s="365"/>
      <c r="AM198" s="365"/>
      <c r="AN198" s="378"/>
      <c r="AO198" s="378"/>
      <c r="AP198" s="378"/>
      <c r="AQ198" s="379">
        <f>SUM(AQ2:AQ197)</f>
        <v>276</v>
      </c>
      <c r="AR198" s="379">
        <f t="shared" ref="AR198:AU198" si="32">SUM(AR2:AR197)</f>
        <v>4140</v>
      </c>
      <c r="AS198" s="379">
        <f t="shared" si="32"/>
        <v>0</v>
      </c>
      <c r="AT198" s="379">
        <f t="shared" si="32"/>
        <v>2003</v>
      </c>
      <c r="AU198" s="379">
        <f t="shared" si="32"/>
        <v>198</v>
      </c>
      <c r="AV198" s="379"/>
      <c r="AW198" s="379"/>
      <c r="AX198" s="378"/>
      <c r="AY198" s="365"/>
      <c r="AZ198" s="365"/>
      <c r="BA198" s="378"/>
      <c r="BB198" s="378"/>
      <c r="BC198" s="378"/>
      <c r="BD198" s="379"/>
      <c r="BE198" s="379"/>
      <c r="BF198" s="365"/>
      <c r="BO198" s="468">
        <f t="shared" ref="BO198:BU198" si="33">SUM(BO2:BO197)</f>
        <v>2279</v>
      </c>
      <c r="BP198" s="468">
        <f t="shared" si="33"/>
        <v>198</v>
      </c>
      <c r="BQ198" s="469">
        <f t="shared" si="33"/>
        <v>0</v>
      </c>
      <c r="BR198" s="469">
        <f t="shared" si="33"/>
        <v>2279</v>
      </c>
      <c r="BS198" s="469">
        <f t="shared" si="33"/>
        <v>198</v>
      </c>
      <c r="BT198" s="469">
        <f t="shared" si="33"/>
        <v>0</v>
      </c>
      <c r="BU198" s="469">
        <f t="shared" si="33"/>
        <v>0</v>
      </c>
    </row>
    <row r="200" spans="1:73" x14ac:dyDescent="0.25">
      <c r="BF200" s="364">
        <f>SUM(BF2:BF199)</f>
        <v>174</v>
      </c>
      <c r="BG200" s="364">
        <f>SUM(BG2:BG199)</f>
        <v>1346.4</v>
      </c>
      <c r="BH200" s="364">
        <f t="shared" ref="BH200:BM200" si="34">SUM(BH2:BH199)</f>
        <v>1463.3999999999999</v>
      </c>
      <c r="BI200" s="364">
        <f t="shared" si="34"/>
        <v>0</v>
      </c>
      <c r="BJ200" s="364">
        <f t="shared" si="34"/>
        <v>0</v>
      </c>
      <c r="BK200" s="364">
        <f t="shared" si="34"/>
        <v>0</v>
      </c>
      <c r="BL200" s="364">
        <f t="shared" si="34"/>
        <v>0</v>
      </c>
      <c r="BM200" s="364">
        <f t="shared" si="34"/>
        <v>0</v>
      </c>
    </row>
  </sheetData>
  <autoFilter ref="A1:BF198" xr:uid="{79767DB0-00BE-4B56-95AD-B013E77CF6C5}">
    <filterColumn colId="1">
      <filters>
        <filter val="Brearley Nursery School"/>
      </filters>
    </filterColumn>
  </autoFilter>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3E7E4-E635-45FD-A167-8E671FBE384B}">
  <sheetPr filterMode="1"/>
  <dimension ref="A1:AJ216"/>
  <sheetViews>
    <sheetView zoomScale="70" zoomScaleNormal="70" workbookViewId="0">
      <selection activeCell="T203" sqref="T203"/>
    </sheetView>
  </sheetViews>
  <sheetFormatPr defaultColWidth="9.1796875" defaultRowHeight="15.5" x14ac:dyDescent="0.35"/>
  <cols>
    <col min="1" max="1" width="9.81640625" style="310" bestFit="1" customWidth="1"/>
    <col min="2" max="2" width="9.81640625" style="310" customWidth="1"/>
    <col min="3" max="3" width="51.81640625" style="311" customWidth="1"/>
    <col min="4" max="9" width="12.54296875" style="322" customWidth="1"/>
    <col min="10" max="15" width="9.1796875" style="324"/>
    <col min="16" max="16" width="15.7265625" style="322" customWidth="1"/>
    <col min="17" max="18" width="14.453125" style="322" customWidth="1"/>
    <col min="19" max="19" width="18.7265625" style="322" customWidth="1"/>
    <col min="20" max="20" width="14.54296875" style="304" customWidth="1"/>
    <col min="21" max="21" width="16.26953125" style="123" customWidth="1"/>
    <col min="22" max="22" width="15.7265625" style="123" customWidth="1"/>
    <col min="23" max="23" width="9.1796875" style="123"/>
    <col min="24" max="24" width="28.26953125" style="123" customWidth="1"/>
    <col min="25" max="25" width="25.26953125" style="123" customWidth="1"/>
    <col min="26" max="26" width="15" style="123" customWidth="1"/>
    <col min="27" max="28" width="9.1796875" style="123"/>
    <col min="29" max="29" width="12.453125" style="123" bestFit="1" customWidth="1"/>
    <col min="30" max="34" width="9.1796875" style="123"/>
    <col min="35" max="35" width="13.7265625" style="123" bestFit="1" customWidth="1"/>
    <col min="36" max="36" width="10.7265625" style="123" bestFit="1" customWidth="1"/>
    <col min="37" max="16384" width="9.1796875" style="123"/>
  </cols>
  <sheetData>
    <row r="1" spans="1:36" x14ac:dyDescent="0.35">
      <c r="A1" s="299" t="s">
        <v>508</v>
      </c>
      <c r="B1" s="299"/>
      <c r="C1" s="300" t="s">
        <v>733</v>
      </c>
      <c r="D1" s="301"/>
      <c r="E1" s="299" t="s">
        <v>510</v>
      </c>
      <c r="F1" s="300" t="s">
        <v>511</v>
      </c>
      <c r="G1" s="302"/>
      <c r="H1" s="302"/>
      <c r="I1" s="302"/>
      <c r="J1" s="303"/>
      <c r="K1" s="303"/>
      <c r="L1" s="303"/>
      <c r="M1" s="303"/>
      <c r="N1" s="303"/>
      <c r="O1" s="303"/>
      <c r="P1" s="302"/>
      <c r="Q1" s="302"/>
      <c r="R1" s="302"/>
      <c r="S1" s="302"/>
    </row>
    <row r="2" spans="1:36" x14ac:dyDescent="0.35">
      <c r="A2" s="305" t="s">
        <v>512</v>
      </c>
      <c r="B2" s="305"/>
      <c r="C2" s="306">
        <v>0.61</v>
      </c>
      <c r="D2" s="301"/>
      <c r="E2" s="305" t="s">
        <v>513</v>
      </c>
      <c r="F2" s="307">
        <v>13</v>
      </c>
      <c r="G2" s="308"/>
      <c r="H2" s="308"/>
      <c r="I2" s="308"/>
      <c r="J2" s="309"/>
      <c r="K2" s="309"/>
      <c r="L2" s="309"/>
      <c r="M2" s="309"/>
      <c r="N2" s="309"/>
      <c r="O2" s="309"/>
      <c r="P2" s="308"/>
      <c r="Q2" s="308"/>
      <c r="R2" s="308"/>
      <c r="S2" s="308"/>
    </row>
    <row r="3" spans="1:36" x14ac:dyDescent="0.35">
      <c r="A3" s="305" t="s">
        <v>514</v>
      </c>
      <c r="B3" s="305"/>
      <c r="C3" s="306">
        <v>0.28999999999999998</v>
      </c>
      <c r="D3" s="301"/>
      <c r="E3" s="305" t="s">
        <v>515</v>
      </c>
      <c r="F3" s="307">
        <v>13</v>
      </c>
      <c r="G3" s="308"/>
      <c r="H3" s="308"/>
      <c r="I3" s="308"/>
      <c r="J3" s="309"/>
      <c r="K3" s="309"/>
      <c r="L3" s="309"/>
      <c r="M3" s="309"/>
      <c r="N3" s="309"/>
      <c r="O3" s="309"/>
      <c r="P3" s="308"/>
      <c r="Q3" s="308"/>
      <c r="R3" s="308"/>
      <c r="S3" s="308"/>
    </row>
    <row r="4" spans="1:36" x14ac:dyDescent="0.35">
      <c r="A4" s="305" t="s">
        <v>516</v>
      </c>
      <c r="B4" s="305"/>
      <c r="C4" s="306">
        <v>0.08</v>
      </c>
      <c r="D4" s="301"/>
      <c r="E4" s="305" t="s">
        <v>517</v>
      </c>
      <c r="F4" s="307">
        <v>12</v>
      </c>
      <c r="G4" s="308"/>
      <c r="H4" s="308"/>
      <c r="I4" s="308"/>
      <c r="J4" s="309"/>
      <c r="K4" s="309"/>
      <c r="L4" s="309"/>
      <c r="M4" s="309"/>
      <c r="N4" s="309"/>
      <c r="O4" s="309"/>
      <c r="P4" s="308"/>
      <c r="Q4" s="308"/>
      <c r="R4" s="308"/>
      <c r="S4" s="308"/>
    </row>
    <row r="5" spans="1:36" x14ac:dyDescent="0.35">
      <c r="D5" s="308"/>
      <c r="E5" s="308"/>
      <c r="F5" s="308"/>
      <c r="G5" s="308"/>
      <c r="H5" s="308"/>
      <c r="I5" s="308"/>
      <c r="J5" s="309"/>
      <c r="K5" s="309"/>
      <c r="L5" s="309"/>
      <c r="M5" s="309"/>
      <c r="N5" s="309"/>
      <c r="O5" s="309"/>
      <c r="P5" s="308"/>
      <c r="Q5" s="308"/>
      <c r="R5" s="308"/>
      <c r="S5" s="308"/>
    </row>
    <row r="6" spans="1:36" x14ac:dyDescent="0.35">
      <c r="D6" s="308"/>
      <c r="E6" s="308"/>
      <c r="F6" s="308"/>
      <c r="G6" s="308"/>
      <c r="H6" s="308"/>
      <c r="I6" s="308"/>
      <c r="J6" s="309"/>
      <c r="K6" s="309"/>
      <c r="L6" s="309"/>
      <c r="M6" s="309"/>
      <c r="N6" s="309"/>
      <c r="O6" s="309"/>
      <c r="P6" s="308"/>
      <c r="Q6" s="308"/>
      <c r="R6" s="308"/>
      <c r="S6" s="308"/>
    </row>
    <row r="7" spans="1:36" x14ac:dyDescent="0.35">
      <c r="D7" s="308"/>
      <c r="E7" s="308"/>
      <c r="F7" s="308"/>
      <c r="G7" s="308"/>
      <c r="H7" s="308"/>
      <c r="I7" s="308"/>
      <c r="J7" s="309"/>
      <c r="K7" s="309"/>
      <c r="L7" s="309"/>
      <c r="M7" s="309"/>
      <c r="N7" s="309"/>
      <c r="O7" s="309"/>
      <c r="P7" s="308"/>
      <c r="Q7" s="308"/>
      <c r="R7" s="308"/>
      <c r="S7" s="308"/>
    </row>
    <row r="8" spans="1:36" ht="16" thickBot="1" x14ac:dyDescent="0.4">
      <c r="A8" s="312">
        <v>1</v>
      </c>
      <c r="B8" s="312">
        <v>2</v>
      </c>
      <c r="C8" s="312">
        <v>3</v>
      </c>
      <c r="D8" s="312">
        <v>4</v>
      </c>
      <c r="E8" s="312">
        <v>5</v>
      </c>
      <c r="F8" s="312">
        <v>6</v>
      </c>
      <c r="G8" s="312">
        <v>7</v>
      </c>
      <c r="H8" s="312">
        <v>8</v>
      </c>
      <c r="I8" s="312">
        <v>9</v>
      </c>
      <c r="J8" s="312">
        <v>10</v>
      </c>
      <c r="K8" s="312">
        <v>11</v>
      </c>
      <c r="L8" s="312">
        <v>12</v>
      </c>
      <c r="M8" s="312">
        <v>13</v>
      </c>
      <c r="N8" s="312">
        <v>14</v>
      </c>
      <c r="O8" s="312">
        <v>15</v>
      </c>
      <c r="P8" s="312">
        <v>16</v>
      </c>
      <c r="Q8" s="312">
        <v>17</v>
      </c>
      <c r="R8" s="312">
        <v>18</v>
      </c>
      <c r="S8" s="312">
        <v>19</v>
      </c>
      <c r="T8" s="313">
        <v>20</v>
      </c>
      <c r="U8" s="312">
        <v>21</v>
      </c>
      <c r="V8" s="312">
        <v>22</v>
      </c>
      <c r="W8" s="312">
        <v>23</v>
      </c>
      <c r="X8" s="312">
        <v>24</v>
      </c>
    </row>
    <row r="9" spans="1:36" ht="16" thickBot="1" x14ac:dyDescent="0.4">
      <c r="A9" s="544"/>
      <c r="B9" s="545"/>
      <c r="C9" s="545"/>
      <c r="D9" s="545"/>
      <c r="E9" s="545"/>
      <c r="F9" s="545"/>
      <c r="G9" s="546" t="s">
        <v>518</v>
      </c>
      <c r="H9" s="547"/>
      <c r="I9" s="547"/>
      <c r="J9" s="548" t="s">
        <v>519</v>
      </c>
      <c r="K9" s="549"/>
      <c r="L9" s="550"/>
      <c r="M9" s="548" t="s">
        <v>520</v>
      </c>
      <c r="N9" s="549"/>
      <c r="O9" s="550"/>
      <c r="P9" s="540" t="s">
        <v>521</v>
      </c>
      <c r="Q9" s="540" t="s">
        <v>522</v>
      </c>
      <c r="R9" s="540" t="s">
        <v>523</v>
      </c>
      <c r="S9" s="542" t="s">
        <v>524</v>
      </c>
    </row>
    <row r="10" spans="1:36" ht="29" x14ac:dyDescent="0.35">
      <c r="A10" s="190" t="s">
        <v>525</v>
      </c>
      <c r="B10" s="190" t="s">
        <v>526</v>
      </c>
      <c r="C10" s="190" t="s">
        <v>226</v>
      </c>
      <c r="D10" s="190" t="s">
        <v>527</v>
      </c>
      <c r="E10" s="190" t="s">
        <v>49</v>
      </c>
      <c r="F10" s="191" t="s">
        <v>443</v>
      </c>
      <c r="G10" s="192" t="s">
        <v>512</v>
      </c>
      <c r="H10" s="192" t="s">
        <v>514</v>
      </c>
      <c r="I10" s="192" t="s">
        <v>516</v>
      </c>
      <c r="J10" s="193" t="s">
        <v>512</v>
      </c>
      <c r="K10" s="194" t="s">
        <v>514</v>
      </c>
      <c r="L10" s="195" t="s">
        <v>516</v>
      </c>
      <c r="M10" s="193" t="s">
        <v>512</v>
      </c>
      <c r="N10" s="194" t="s">
        <v>514</v>
      </c>
      <c r="O10" s="195" t="s">
        <v>516</v>
      </c>
      <c r="P10" s="541"/>
      <c r="Q10" s="541"/>
      <c r="R10" s="541"/>
      <c r="S10" s="543"/>
      <c r="T10" s="314" t="s">
        <v>528</v>
      </c>
      <c r="U10" s="314" t="s">
        <v>529</v>
      </c>
      <c r="V10" s="314" t="s">
        <v>530</v>
      </c>
      <c r="X10" s="314" t="s">
        <v>531</v>
      </c>
      <c r="Y10" s="314" t="s">
        <v>532</v>
      </c>
      <c r="Z10" s="314" t="s">
        <v>533</v>
      </c>
    </row>
    <row r="11" spans="1:36" hidden="1" x14ac:dyDescent="0.35">
      <c r="A11" s="197">
        <v>3301000</v>
      </c>
      <c r="B11" s="197">
        <v>1000</v>
      </c>
      <c r="C11" s="197" t="s">
        <v>207</v>
      </c>
      <c r="D11" s="198" t="s">
        <v>245</v>
      </c>
      <c r="E11" s="198"/>
      <c r="F11" s="197"/>
      <c r="G11" s="199">
        <v>180</v>
      </c>
      <c r="H11" s="199">
        <v>120</v>
      </c>
      <c r="I11" s="199">
        <v>90</v>
      </c>
      <c r="J11" s="199">
        <v>120</v>
      </c>
      <c r="K11" s="199">
        <v>90</v>
      </c>
      <c r="L11" s="199">
        <v>105</v>
      </c>
      <c r="M11" s="315">
        <v>113.68421052631578</v>
      </c>
      <c r="N11" s="315">
        <v>151.57894736842104</v>
      </c>
      <c r="O11" s="315">
        <v>80.526315789473685</v>
      </c>
      <c r="P11" s="316">
        <f>(G11*$C$2*$F$2)+(J11*$C$2*$F$3)+(M11*$C$2*$F$4)</f>
        <v>3211.1684210526314</v>
      </c>
      <c r="Q11" s="316">
        <f>(H11*$C$3*$F$2)+(K11*$C$3*$F$3)+(N11*$C$3*$F$4)</f>
        <v>1319.1947368421052</v>
      </c>
      <c r="R11" s="316">
        <f>(I11*$C$4*$F$2)+(L11*$C$4*$F$3)+(O11*$C$4*$F$4)</f>
        <v>280.10526315789474</v>
      </c>
      <c r="S11" s="317">
        <f>R11+Q11+P11</f>
        <v>4810.4684210526311</v>
      </c>
      <c r="T11" s="318">
        <f>(G11*$C$2*$F$2)+(H11*$C$3*$F$2)+(I11*$C$4*$F$2)</f>
        <v>1973.3999999999996</v>
      </c>
      <c r="U11" s="319">
        <f>(J11*$C$2*$F$3)+(K11*$C$3*$F$3)+(L11*$C$4*$F$3)</f>
        <v>1400.1000000000001</v>
      </c>
      <c r="V11" s="319">
        <f t="shared" ref="V11:V74" si="0">(M11*$C$2*$F$4)+(N11*$C$3*$F$4)+(O11*$C$4*$F$4)</f>
        <v>1436.9684210526316</v>
      </c>
      <c r="X11" s="320">
        <f>T11*0.8</f>
        <v>1578.7199999999998</v>
      </c>
      <c r="Y11" s="320">
        <f t="shared" ref="Y11:Z26" si="1">U11*0.8</f>
        <v>1120.0800000000002</v>
      </c>
      <c r="Z11" s="320">
        <f t="shared" si="1"/>
        <v>1149.5747368421053</v>
      </c>
      <c r="AB11" s="123" t="s">
        <v>206</v>
      </c>
      <c r="AC11" s="320">
        <f>(((T11+U11+V11)*5/12)*80%)</f>
        <v>1603.4894736842107</v>
      </c>
      <c r="AE11" s="123">
        <f>X11/(SUM($T$11:$V$11))</f>
        <v>0.32818425604684515</v>
      </c>
      <c r="AF11" s="123">
        <f>Y11/(SUM($T$11:$V$11))</f>
        <v>0.23284218956683286</v>
      </c>
      <c r="AG11" s="123">
        <f t="shared" ref="AG11" si="2">Z11/(SUM($T$11:$V$11))</f>
        <v>0.23897355438632192</v>
      </c>
      <c r="AI11" s="123">
        <v>1764.75</v>
      </c>
      <c r="AJ11" s="320">
        <f>T11-AI11</f>
        <v>208.64999999999964</v>
      </c>
    </row>
    <row r="12" spans="1:36" hidden="1" x14ac:dyDescent="0.35">
      <c r="A12" s="197">
        <v>3301001</v>
      </c>
      <c r="B12" s="197">
        <v>1001</v>
      </c>
      <c r="C12" s="197" t="s">
        <v>181</v>
      </c>
      <c r="D12" s="198" t="s">
        <v>246</v>
      </c>
      <c r="E12" s="198"/>
      <c r="F12" s="197"/>
      <c r="G12" s="199">
        <v>150</v>
      </c>
      <c r="H12" s="199">
        <v>105</v>
      </c>
      <c r="I12" s="199">
        <v>420</v>
      </c>
      <c r="J12" s="199">
        <v>120</v>
      </c>
      <c r="K12" s="199">
        <v>75</v>
      </c>
      <c r="L12" s="199">
        <v>345</v>
      </c>
      <c r="M12" s="315">
        <v>108.94736842105263</v>
      </c>
      <c r="N12" s="315">
        <v>94.73684210526315</v>
      </c>
      <c r="O12" s="315">
        <v>378.9473684210526</v>
      </c>
      <c r="P12" s="316">
        <f t="shared" ref="P12:P75" si="3">(G12*$C$2*$F$2)+(J12*$C$2*$F$3)+(M12*$C$2*$F$4)</f>
        <v>2938.5947368421052</v>
      </c>
      <c r="Q12" s="316">
        <f t="shared" ref="Q12:Q75" si="4">(H12*$C$3*$F$2)+(K12*$C$3*$F$3)+(N12*$C$3*$F$4)</f>
        <v>1008.2842105263156</v>
      </c>
      <c r="R12" s="316">
        <f t="shared" ref="R12:R75" si="5">(I12*$C$4*$F$2)+(L12*$C$4*$F$3)+(O12*$C$4*$F$4)</f>
        <v>1159.3894736842105</v>
      </c>
      <c r="S12" s="317">
        <f t="shared" ref="S12:S75" si="6">R12+Q12+P12</f>
        <v>5106.2684210526313</v>
      </c>
      <c r="T12" s="318">
        <f t="shared" ref="T12:T74" si="7">(G12*$C$2*$F$2)+(H12*$C$3*$F$2)+(I12*$C$4*$F$2)</f>
        <v>2022.1499999999999</v>
      </c>
      <c r="U12" s="319">
        <f t="shared" ref="U12:U74" si="8">(J12*$C$2*$F$3)+(K12*$C$3*$F$3)+(L12*$C$4*$F$3)</f>
        <v>1593.1499999999999</v>
      </c>
      <c r="V12" s="319">
        <f t="shared" si="0"/>
        <v>1490.9684210526316</v>
      </c>
      <c r="X12" s="320">
        <f t="shared" ref="X12:Z75" si="9">T12*0.8</f>
        <v>1617.72</v>
      </c>
      <c r="Y12" s="320">
        <f t="shared" si="1"/>
        <v>1274.52</v>
      </c>
      <c r="Z12" s="320">
        <f t="shared" si="1"/>
        <v>1192.7747368421053</v>
      </c>
      <c r="AB12" s="123" t="s">
        <v>180</v>
      </c>
      <c r="AI12" s="123">
        <v>2047.5</v>
      </c>
      <c r="AJ12" s="320">
        <f t="shared" ref="AJ12:AJ75" si="10">T12-AI12</f>
        <v>-25.350000000000136</v>
      </c>
    </row>
    <row r="13" spans="1:36" hidden="1" x14ac:dyDescent="0.35">
      <c r="A13" s="197">
        <v>3301002</v>
      </c>
      <c r="B13" s="197">
        <v>1002</v>
      </c>
      <c r="C13" s="197" t="s">
        <v>46</v>
      </c>
      <c r="D13" s="198" t="s">
        <v>27</v>
      </c>
      <c r="E13" s="198"/>
      <c r="F13" s="197"/>
      <c r="G13" s="199">
        <v>1380</v>
      </c>
      <c r="H13" s="199">
        <v>345</v>
      </c>
      <c r="I13" s="199">
        <v>60</v>
      </c>
      <c r="J13" s="199">
        <v>1050</v>
      </c>
      <c r="K13" s="199">
        <v>240</v>
      </c>
      <c r="L13" s="199">
        <v>15</v>
      </c>
      <c r="M13" s="315">
        <v>1113.1578947368421</v>
      </c>
      <c r="N13" s="315">
        <v>189.4736842105263</v>
      </c>
      <c r="O13" s="315">
        <v>28.421052631578945</v>
      </c>
      <c r="P13" s="316">
        <f t="shared" si="3"/>
        <v>27418.215789473685</v>
      </c>
      <c r="Q13" s="316">
        <f t="shared" si="4"/>
        <v>2864.8184210526315</v>
      </c>
      <c r="R13" s="316">
        <f t="shared" si="5"/>
        <v>105.28421052631579</v>
      </c>
      <c r="S13" s="317">
        <f t="shared" si="6"/>
        <v>30388.318421052631</v>
      </c>
      <c r="T13" s="318">
        <f t="shared" si="7"/>
        <v>12306.449999999999</v>
      </c>
      <c r="U13" s="319">
        <f t="shared" si="8"/>
        <v>9246.9</v>
      </c>
      <c r="V13" s="319">
        <f t="shared" si="0"/>
        <v>8834.9684210526302</v>
      </c>
      <c r="X13" s="320">
        <f t="shared" si="9"/>
        <v>9845.16</v>
      </c>
      <c r="Y13" s="320">
        <f t="shared" si="1"/>
        <v>7397.52</v>
      </c>
      <c r="Z13" s="320">
        <f t="shared" si="1"/>
        <v>7067.9747368421049</v>
      </c>
      <c r="AB13" s="123" t="s">
        <v>45</v>
      </c>
      <c r="AI13" s="123">
        <v>12836.85</v>
      </c>
      <c r="AJ13" s="320">
        <f t="shared" si="10"/>
        <v>-530.40000000000146</v>
      </c>
    </row>
    <row r="14" spans="1:36" hidden="1" x14ac:dyDescent="0.35">
      <c r="A14" s="197">
        <v>3301006</v>
      </c>
      <c r="B14" s="197">
        <v>1006</v>
      </c>
      <c r="C14" s="197" t="s">
        <v>77</v>
      </c>
      <c r="D14" s="198" t="s">
        <v>27</v>
      </c>
      <c r="E14" s="198"/>
      <c r="F14" s="197"/>
      <c r="G14" s="199">
        <v>210</v>
      </c>
      <c r="H14" s="199">
        <v>90</v>
      </c>
      <c r="I14" s="199">
        <v>135</v>
      </c>
      <c r="J14" s="199">
        <v>195</v>
      </c>
      <c r="K14" s="199">
        <v>90</v>
      </c>
      <c r="L14" s="199">
        <v>105</v>
      </c>
      <c r="M14" s="315">
        <v>175.26315789473682</v>
      </c>
      <c r="N14" s="315">
        <v>47.368421052631575</v>
      </c>
      <c r="O14" s="315">
        <v>99.473684210526301</v>
      </c>
      <c r="P14" s="316">
        <f t="shared" si="3"/>
        <v>4494.5763157894735</v>
      </c>
      <c r="Q14" s="316">
        <f t="shared" si="4"/>
        <v>843.44210526315783</v>
      </c>
      <c r="R14" s="316">
        <f t="shared" si="5"/>
        <v>345.09473684210525</v>
      </c>
      <c r="S14" s="317">
        <f t="shared" si="6"/>
        <v>5683.113157894737</v>
      </c>
      <c r="T14" s="318">
        <f t="shared" si="7"/>
        <v>2145</v>
      </c>
      <c r="U14" s="319">
        <f t="shared" si="8"/>
        <v>1994.8500000000001</v>
      </c>
      <c r="V14" s="319">
        <f t="shared" si="0"/>
        <v>1543.2631578947367</v>
      </c>
      <c r="X14" s="320">
        <f t="shared" si="9"/>
        <v>1716</v>
      </c>
      <c r="Y14" s="320">
        <f t="shared" si="1"/>
        <v>1595.88</v>
      </c>
      <c r="Z14" s="320">
        <f t="shared" si="1"/>
        <v>1234.6105263157895</v>
      </c>
      <c r="AB14" s="123" t="s">
        <v>76</v>
      </c>
      <c r="AI14" s="123">
        <v>1649.6999999999998</v>
      </c>
      <c r="AJ14" s="320">
        <f t="shared" si="10"/>
        <v>495.30000000000018</v>
      </c>
    </row>
    <row r="15" spans="1:36" hidden="1" x14ac:dyDescent="0.35">
      <c r="A15" s="197">
        <v>3301008</v>
      </c>
      <c r="B15" s="197">
        <v>1008</v>
      </c>
      <c r="C15" s="197" t="s">
        <v>247</v>
      </c>
      <c r="D15" s="198" t="s">
        <v>27</v>
      </c>
      <c r="E15" s="198"/>
      <c r="F15" s="197"/>
      <c r="G15" s="199">
        <v>15</v>
      </c>
      <c r="H15" s="199">
        <v>30</v>
      </c>
      <c r="I15" s="199">
        <v>45</v>
      </c>
      <c r="J15" s="199">
        <v>15</v>
      </c>
      <c r="K15" s="199">
        <v>30</v>
      </c>
      <c r="L15" s="199">
        <v>60</v>
      </c>
      <c r="M15" s="315">
        <v>33.157894736842103</v>
      </c>
      <c r="N15" s="315">
        <v>9.473684210526315</v>
      </c>
      <c r="O15" s="315">
        <v>28.421052631578945</v>
      </c>
      <c r="P15" s="316">
        <f t="shared" si="3"/>
        <v>480.61578947368417</v>
      </c>
      <c r="Q15" s="316">
        <f t="shared" si="4"/>
        <v>259.16842105263157</v>
      </c>
      <c r="R15" s="316">
        <f t="shared" si="5"/>
        <v>136.48421052631579</v>
      </c>
      <c r="S15" s="317">
        <f t="shared" si="6"/>
        <v>876.26842105263154</v>
      </c>
      <c r="T15" s="318">
        <f t="shared" si="7"/>
        <v>278.85000000000002</v>
      </c>
      <c r="U15" s="319">
        <f t="shared" si="8"/>
        <v>294.45</v>
      </c>
      <c r="V15" s="319">
        <f t="shared" si="0"/>
        <v>302.96842105263153</v>
      </c>
      <c r="X15" s="320">
        <f t="shared" si="9"/>
        <v>223.08000000000004</v>
      </c>
      <c r="Y15" s="320">
        <f t="shared" si="1"/>
        <v>235.56</v>
      </c>
      <c r="Z15" s="320">
        <f t="shared" si="1"/>
        <v>242.37473684210522</v>
      </c>
      <c r="AB15" s="123" t="s">
        <v>122</v>
      </c>
      <c r="AI15" s="123">
        <v>372.45</v>
      </c>
      <c r="AJ15" s="320">
        <f t="shared" si="10"/>
        <v>-93.599999999999966</v>
      </c>
    </row>
    <row r="16" spans="1:36" hidden="1" x14ac:dyDescent="0.35">
      <c r="A16" s="197">
        <v>3301009</v>
      </c>
      <c r="B16" s="197">
        <v>1009</v>
      </c>
      <c r="C16" s="197" t="s">
        <v>248</v>
      </c>
      <c r="D16" s="198" t="s">
        <v>245</v>
      </c>
      <c r="E16" s="198"/>
      <c r="F16" s="197"/>
      <c r="G16" s="199">
        <v>705</v>
      </c>
      <c r="H16" s="199">
        <v>45</v>
      </c>
      <c r="I16" s="199">
        <v>75</v>
      </c>
      <c r="J16" s="199">
        <v>615</v>
      </c>
      <c r="K16" s="199">
        <v>90</v>
      </c>
      <c r="L16" s="199">
        <v>15</v>
      </c>
      <c r="M16" s="315">
        <v>596.84210526315792</v>
      </c>
      <c r="N16" s="315">
        <v>113.68421052631578</v>
      </c>
      <c r="O16" s="315">
        <v>66.315789473684205</v>
      </c>
      <c r="P16" s="316">
        <f t="shared" si="3"/>
        <v>14836.484210526316</v>
      </c>
      <c r="Q16" s="316">
        <f t="shared" si="4"/>
        <v>904.57105263157882</v>
      </c>
      <c r="R16" s="316">
        <f t="shared" si="5"/>
        <v>157.26315789473682</v>
      </c>
      <c r="S16" s="317">
        <f t="shared" si="6"/>
        <v>15898.318421052632</v>
      </c>
      <c r="T16" s="318">
        <f t="shared" si="7"/>
        <v>5838.3</v>
      </c>
      <c r="U16" s="319">
        <f t="shared" si="8"/>
        <v>5231.8500000000004</v>
      </c>
      <c r="V16" s="319">
        <f t="shared" si="0"/>
        <v>4828.1684210526319</v>
      </c>
      <c r="X16" s="320">
        <f t="shared" si="9"/>
        <v>4670.6400000000003</v>
      </c>
      <c r="Y16" s="320">
        <f t="shared" si="1"/>
        <v>4185.4800000000005</v>
      </c>
      <c r="Z16" s="320">
        <f t="shared" si="1"/>
        <v>3862.5347368421058</v>
      </c>
      <c r="AB16" s="123" t="s">
        <v>214</v>
      </c>
      <c r="AI16" s="123">
        <v>7505.5499999999993</v>
      </c>
      <c r="AJ16" s="320">
        <f t="shared" si="10"/>
        <v>-1667.2499999999991</v>
      </c>
    </row>
    <row r="17" spans="1:36" hidden="1" x14ac:dyDescent="0.35">
      <c r="A17" s="197">
        <v>3301010</v>
      </c>
      <c r="B17" s="197">
        <v>1010</v>
      </c>
      <c r="C17" s="197" t="s">
        <v>249</v>
      </c>
      <c r="D17" s="198" t="s">
        <v>27</v>
      </c>
      <c r="E17" s="198"/>
      <c r="F17" s="197"/>
      <c r="G17" s="199">
        <v>120</v>
      </c>
      <c r="H17" s="199">
        <v>540</v>
      </c>
      <c r="I17" s="199">
        <v>1935</v>
      </c>
      <c r="J17" s="199">
        <v>90</v>
      </c>
      <c r="K17" s="199">
        <v>405</v>
      </c>
      <c r="L17" s="199">
        <v>1470</v>
      </c>
      <c r="M17" s="315">
        <v>56.84210526315789</v>
      </c>
      <c r="N17" s="315">
        <v>421.57894736842104</v>
      </c>
      <c r="O17" s="315">
        <v>1402.1052631578946</v>
      </c>
      <c r="P17" s="316">
        <f t="shared" si="3"/>
        <v>2081.3842105263157</v>
      </c>
      <c r="Q17" s="316">
        <f t="shared" si="4"/>
        <v>5029.7447368421044</v>
      </c>
      <c r="R17" s="316">
        <f t="shared" si="5"/>
        <v>4887.2210526315794</v>
      </c>
      <c r="S17" s="317">
        <f t="shared" si="6"/>
        <v>11998.35</v>
      </c>
      <c r="T17" s="318">
        <f t="shared" si="7"/>
        <v>4999.8</v>
      </c>
      <c r="U17" s="319">
        <f t="shared" si="8"/>
        <v>3769.35</v>
      </c>
      <c r="V17" s="319">
        <f t="shared" si="0"/>
        <v>3229.2</v>
      </c>
      <c r="X17" s="320">
        <f t="shared" si="9"/>
        <v>3999.84</v>
      </c>
      <c r="Y17" s="320">
        <f t="shared" si="1"/>
        <v>3015.48</v>
      </c>
      <c r="Z17" s="320">
        <f t="shared" si="1"/>
        <v>2583.36</v>
      </c>
      <c r="AB17" s="123" t="s">
        <v>88</v>
      </c>
      <c r="AI17" s="123">
        <v>4578.5999999999995</v>
      </c>
      <c r="AJ17" s="320">
        <f t="shared" si="10"/>
        <v>421.20000000000073</v>
      </c>
    </row>
    <row r="18" spans="1:36" hidden="1" x14ac:dyDescent="0.35">
      <c r="A18" s="197">
        <v>3301012</v>
      </c>
      <c r="B18" s="197">
        <v>1012</v>
      </c>
      <c r="C18" s="197" t="s">
        <v>109</v>
      </c>
      <c r="D18" s="198" t="s">
        <v>27</v>
      </c>
      <c r="E18" s="198"/>
      <c r="F18" s="197"/>
      <c r="G18" s="199">
        <v>315</v>
      </c>
      <c r="H18" s="199">
        <v>450</v>
      </c>
      <c r="I18" s="199">
        <v>315</v>
      </c>
      <c r="J18" s="199">
        <v>270</v>
      </c>
      <c r="K18" s="199">
        <v>405</v>
      </c>
      <c r="L18" s="199">
        <v>195</v>
      </c>
      <c r="M18" s="315">
        <v>175.26315789473682</v>
      </c>
      <c r="N18" s="315">
        <v>374.21052631578948</v>
      </c>
      <c r="O18" s="315">
        <v>217.89473684210526</v>
      </c>
      <c r="P18" s="316">
        <f t="shared" si="3"/>
        <v>5921.976315789474</v>
      </c>
      <c r="Q18" s="316">
        <f t="shared" si="4"/>
        <v>4525.6026315789477</v>
      </c>
      <c r="R18" s="316">
        <f t="shared" si="5"/>
        <v>739.57894736842104</v>
      </c>
      <c r="S18" s="317">
        <f t="shared" si="6"/>
        <v>11187.157894736843</v>
      </c>
      <c r="T18" s="318">
        <f t="shared" si="7"/>
        <v>4522.0500000000011</v>
      </c>
      <c r="U18" s="319">
        <f t="shared" si="8"/>
        <v>3870.75</v>
      </c>
      <c r="V18" s="319">
        <f t="shared" si="0"/>
        <v>2794.3578947368419</v>
      </c>
      <c r="X18" s="320">
        <f t="shared" si="9"/>
        <v>3617.6400000000012</v>
      </c>
      <c r="Y18" s="320">
        <f t="shared" si="1"/>
        <v>3096.6000000000004</v>
      </c>
      <c r="Z18" s="320">
        <f t="shared" si="1"/>
        <v>2235.4863157894738</v>
      </c>
      <c r="AB18" s="123" t="s">
        <v>108</v>
      </c>
      <c r="AI18" s="123">
        <v>3301.35</v>
      </c>
      <c r="AJ18" s="320">
        <f t="shared" si="10"/>
        <v>1220.7000000000012</v>
      </c>
    </row>
    <row r="19" spans="1:36" hidden="1" x14ac:dyDescent="0.35">
      <c r="A19" s="197">
        <v>3301014</v>
      </c>
      <c r="B19" s="197">
        <v>1014</v>
      </c>
      <c r="C19" s="197" t="s">
        <v>167</v>
      </c>
      <c r="D19" s="198" t="s">
        <v>27</v>
      </c>
      <c r="E19" s="198"/>
      <c r="F19" s="197"/>
      <c r="G19" s="199">
        <v>600</v>
      </c>
      <c r="H19" s="199">
        <v>375</v>
      </c>
      <c r="I19" s="199">
        <v>255</v>
      </c>
      <c r="J19" s="199">
        <v>465</v>
      </c>
      <c r="K19" s="199">
        <v>270</v>
      </c>
      <c r="L19" s="199">
        <v>255</v>
      </c>
      <c r="M19" s="315">
        <v>558.94736842105272</v>
      </c>
      <c r="N19" s="315">
        <v>274.73684210526318</v>
      </c>
      <c r="O19" s="315">
        <v>189.4736842105263</v>
      </c>
      <c r="P19" s="316">
        <f t="shared" si="3"/>
        <v>12536.944736842106</v>
      </c>
      <c r="Q19" s="316">
        <f t="shared" si="4"/>
        <v>3387.7342105263156</v>
      </c>
      <c r="R19" s="316">
        <f t="shared" si="5"/>
        <v>712.29473684210529</v>
      </c>
      <c r="S19" s="317">
        <f t="shared" si="6"/>
        <v>16636.973684210527</v>
      </c>
      <c r="T19" s="318">
        <f t="shared" si="7"/>
        <v>6436.95</v>
      </c>
      <c r="U19" s="319">
        <f t="shared" si="8"/>
        <v>4970.5499999999993</v>
      </c>
      <c r="V19" s="319">
        <f t="shared" si="0"/>
        <v>5229.4736842105267</v>
      </c>
      <c r="X19" s="320">
        <f t="shared" si="9"/>
        <v>5149.5600000000004</v>
      </c>
      <c r="Y19" s="320">
        <f t="shared" si="1"/>
        <v>3976.4399999999996</v>
      </c>
      <c r="Z19" s="320">
        <f t="shared" si="1"/>
        <v>4183.5789473684217</v>
      </c>
      <c r="AB19" s="123" t="s">
        <v>166</v>
      </c>
      <c r="AI19" s="123">
        <v>7394.4000000000005</v>
      </c>
      <c r="AJ19" s="320">
        <f t="shared" si="10"/>
        <v>-957.45000000000073</v>
      </c>
    </row>
    <row r="20" spans="1:36" hidden="1" x14ac:dyDescent="0.35">
      <c r="A20" s="197">
        <v>3301015</v>
      </c>
      <c r="B20" s="197">
        <v>1015</v>
      </c>
      <c r="C20" s="197" t="s">
        <v>250</v>
      </c>
      <c r="D20" s="198" t="s">
        <v>27</v>
      </c>
      <c r="E20" s="198"/>
      <c r="F20" s="197"/>
      <c r="G20" s="199">
        <v>150</v>
      </c>
      <c r="H20" s="199">
        <v>150</v>
      </c>
      <c r="I20" s="199">
        <v>90</v>
      </c>
      <c r="J20" s="199">
        <v>150</v>
      </c>
      <c r="K20" s="199">
        <v>165</v>
      </c>
      <c r="L20" s="199">
        <v>75</v>
      </c>
      <c r="M20" s="315">
        <v>151.57894736842104</v>
      </c>
      <c r="N20" s="315">
        <v>151.57894736842104</v>
      </c>
      <c r="O20" s="315">
        <v>66.315789473684205</v>
      </c>
      <c r="P20" s="316">
        <f t="shared" si="3"/>
        <v>3488.5578947368422</v>
      </c>
      <c r="Q20" s="316">
        <f t="shared" si="4"/>
        <v>1715.0447368421051</v>
      </c>
      <c r="R20" s="316">
        <f t="shared" si="5"/>
        <v>235.26315789473688</v>
      </c>
      <c r="S20" s="317">
        <f t="shared" si="6"/>
        <v>5438.8657894736843</v>
      </c>
      <c r="T20" s="318">
        <f t="shared" si="7"/>
        <v>1848.6</v>
      </c>
      <c r="U20" s="319">
        <f t="shared" si="8"/>
        <v>1889.55</v>
      </c>
      <c r="V20" s="319">
        <f t="shared" si="0"/>
        <v>1700.7157894736843</v>
      </c>
      <c r="X20" s="320">
        <f t="shared" si="9"/>
        <v>1478.88</v>
      </c>
      <c r="Y20" s="320">
        <f t="shared" si="1"/>
        <v>1511.64</v>
      </c>
      <c r="Z20" s="320">
        <f t="shared" si="1"/>
        <v>1360.5726315789475</v>
      </c>
      <c r="AB20" s="123" t="s">
        <v>78</v>
      </c>
      <c r="AI20" s="123">
        <v>2224.9499999999998</v>
      </c>
      <c r="AJ20" s="320">
        <f t="shared" si="10"/>
        <v>-376.34999999999991</v>
      </c>
    </row>
    <row r="21" spans="1:36" hidden="1" x14ac:dyDescent="0.35">
      <c r="A21" s="197">
        <v>3301016</v>
      </c>
      <c r="B21" s="197">
        <v>1016</v>
      </c>
      <c r="C21" s="197" t="s">
        <v>101</v>
      </c>
      <c r="D21" s="198" t="s">
        <v>27</v>
      </c>
      <c r="E21" s="198"/>
      <c r="F21" s="197"/>
      <c r="G21" s="199">
        <v>360</v>
      </c>
      <c r="H21" s="199">
        <v>120</v>
      </c>
      <c r="I21" s="199">
        <v>135</v>
      </c>
      <c r="J21" s="199">
        <v>300</v>
      </c>
      <c r="K21" s="199">
        <v>120</v>
      </c>
      <c r="L21" s="199">
        <v>90</v>
      </c>
      <c r="M21" s="315">
        <v>284.21052631578948</v>
      </c>
      <c r="N21" s="315">
        <v>85.26315789473685</v>
      </c>
      <c r="O21" s="315">
        <v>99.473684210526301</v>
      </c>
      <c r="P21" s="316">
        <f t="shared" si="3"/>
        <v>7314.2210526315785</v>
      </c>
      <c r="Q21" s="316">
        <f t="shared" si="4"/>
        <v>1201.5157894736842</v>
      </c>
      <c r="R21" s="316">
        <f t="shared" si="5"/>
        <v>329.49473684210523</v>
      </c>
      <c r="S21" s="317">
        <f t="shared" si="6"/>
        <v>8845.2315789473687</v>
      </c>
      <c r="T21" s="318">
        <f t="shared" si="7"/>
        <v>3447.6</v>
      </c>
      <c r="U21" s="319">
        <f t="shared" si="8"/>
        <v>2925</v>
      </c>
      <c r="V21" s="319">
        <f t="shared" si="0"/>
        <v>2472.6315789473688</v>
      </c>
      <c r="X21" s="320">
        <f t="shared" si="9"/>
        <v>2758.08</v>
      </c>
      <c r="Y21" s="320">
        <f t="shared" si="1"/>
        <v>2340</v>
      </c>
      <c r="Z21" s="320">
        <f t="shared" si="1"/>
        <v>1978.105263157895</v>
      </c>
      <c r="AB21" s="123" t="s">
        <v>100</v>
      </c>
      <c r="AI21" s="123">
        <v>3318.8999999999996</v>
      </c>
      <c r="AJ21" s="320">
        <f t="shared" si="10"/>
        <v>128.70000000000027</v>
      </c>
    </row>
    <row r="22" spans="1:36" hidden="1" x14ac:dyDescent="0.35">
      <c r="A22" s="197">
        <v>3301017</v>
      </c>
      <c r="B22" s="197">
        <v>1017</v>
      </c>
      <c r="C22" s="197" t="s">
        <v>29</v>
      </c>
      <c r="D22" s="198" t="s">
        <v>27</v>
      </c>
      <c r="E22" s="198"/>
      <c r="F22" s="197"/>
      <c r="G22" s="199">
        <v>330</v>
      </c>
      <c r="H22" s="199">
        <v>405</v>
      </c>
      <c r="I22" s="199">
        <v>345</v>
      </c>
      <c r="J22" s="199">
        <v>300</v>
      </c>
      <c r="K22" s="199">
        <v>375</v>
      </c>
      <c r="L22" s="199">
        <v>330</v>
      </c>
      <c r="M22" s="315">
        <v>307.89473684210526</v>
      </c>
      <c r="N22" s="315">
        <v>369.47368421052636</v>
      </c>
      <c r="O22" s="315">
        <v>255.78947368421052</v>
      </c>
      <c r="P22" s="316">
        <f t="shared" si="3"/>
        <v>7249.6894736842096</v>
      </c>
      <c r="Q22" s="316">
        <f t="shared" si="4"/>
        <v>4226.3684210526308</v>
      </c>
      <c r="R22" s="316">
        <f t="shared" si="5"/>
        <v>947.55789473684217</v>
      </c>
      <c r="S22" s="317">
        <f t="shared" si="6"/>
        <v>12423.615789473683</v>
      </c>
      <c r="T22" s="318">
        <f t="shared" si="7"/>
        <v>4502.55</v>
      </c>
      <c r="U22" s="319">
        <f t="shared" si="8"/>
        <v>4135.95</v>
      </c>
      <c r="V22" s="319">
        <f t="shared" si="0"/>
        <v>3785.1157894736843</v>
      </c>
      <c r="X22" s="320">
        <f t="shared" si="9"/>
        <v>3602.0400000000004</v>
      </c>
      <c r="Y22" s="320">
        <f t="shared" si="1"/>
        <v>3308.76</v>
      </c>
      <c r="Z22" s="320">
        <f t="shared" si="1"/>
        <v>3028.0926315789475</v>
      </c>
      <c r="AB22" s="123" t="s">
        <v>28</v>
      </c>
      <c r="AI22" s="123">
        <v>5461.95</v>
      </c>
      <c r="AJ22" s="320">
        <f t="shared" si="10"/>
        <v>-959.39999999999964</v>
      </c>
    </row>
    <row r="23" spans="1:36" hidden="1" x14ac:dyDescent="0.35">
      <c r="A23" s="197">
        <v>3301018</v>
      </c>
      <c r="B23" s="197">
        <v>1018</v>
      </c>
      <c r="C23" s="197" t="s">
        <v>129</v>
      </c>
      <c r="D23" s="198" t="s">
        <v>27</v>
      </c>
      <c r="E23" s="198"/>
      <c r="F23" s="197"/>
      <c r="G23" s="199">
        <v>765</v>
      </c>
      <c r="H23" s="199">
        <v>345</v>
      </c>
      <c r="I23" s="199">
        <v>450</v>
      </c>
      <c r="J23" s="199">
        <v>510</v>
      </c>
      <c r="K23" s="199">
        <v>195</v>
      </c>
      <c r="L23" s="199">
        <v>375</v>
      </c>
      <c r="M23" s="315">
        <v>592.1052631578948</v>
      </c>
      <c r="N23" s="315">
        <v>232.10526315789474</v>
      </c>
      <c r="O23" s="315">
        <v>303.15789473684208</v>
      </c>
      <c r="P23" s="316">
        <f t="shared" si="3"/>
        <v>14444.96052631579</v>
      </c>
      <c r="Q23" s="316">
        <f t="shared" si="4"/>
        <v>2843.5263157894733</v>
      </c>
      <c r="R23" s="316">
        <f t="shared" si="5"/>
        <v>1149.0315789473684</v>
      </c>
      <c r="S23" s="317">
        <f t="shared" si="6"/>
        <v>18437.518421052631</v>
      </c>
      <c r="T23" s="318">
        <f t="shared" si="7"/>
        <v>7835.0999999999995</v>
      </c>
      <c r="U23" s="319">
        <f t="shared" si="8"/>
        <v>5169.45</v>
      </c>
      <c r="V23" s="319">
        <f t="shared" si="0"/>
        <v>5432.968421052632</v>
      </c>
      <c r="X23" s="320">
        <f t="shared" si="9"/>
        <v>6268.08</v>
      </c>
      <c r="Y23" s="320">
        <f t="shared" si="1"/>
        <v>4135.5600000000004</v>
      </c>
      <c r="Z23" s="320">
        <f t="shared" si="1"/>
        <v>4346.3747368421054</v>
      </c>
      <c r="AB23" s="123" t="s">
        <v>128</v>
      </c>
      <c r="AI23" s="123">
        <v>8326.5</v>
      </c>
      <c r="AJ23" s="320">
        <f t="shared" si="10"/>
        <v>-491.40000000000055</v>
      </c>
    </row>
    <row r="24" spans="1:36" hidden="1" x14ac:dyDescent="0.35">
      <c r="A24" s="197">
        <v>3301019</v>
      </c>
      <c r="B24" s="197">
        <v>1019</v>
      </c>
      <c r="C24" s="197" t="s">
        <v>185</v>
      </c>
      <c r="D24" s="198" t="s">
        <v>246</v>
      </c>
      <c r="E24" s="198"/>
      <c r="F24" s="197"/>
      <c r="G24" s="199">
        <v>405</v>
      </c>
      <c r="H24" s="199">
        <v>345</v>
      </c>
      <c r="I24" s="199">
        <v>780</v>
      </c>
      <c r="J24" s="199">
        <v>285</v>
      </c>
      <c r="K24" s="199">
        <v>270</v>
      </c>
      <c r="L24" s="199">
        <v>540</v>
      </c>
      <c r="M24" s="315">
        <v>251.0526315789474</v>
      </c>
      <c r="N24" s="315">
        <v>270</v>
      </c>
      <c r="O24" s="315">
        <v>701.05263157894694</v>
      </c>
      <c r="P24" s="316">
        <f t="shared" si="3"/>
        <v>7309.4052631578943</v>
      </c>
      <c r="Q24" s="316">
        <f t="shared" si="4"/>
        <v>3258.1499999999996</v>
      </c>
      <c r="R24" s="316">
        <f t="shared" si="5"/>
        <v>2045.810526315789</v>
      </c>
      <c r="S24" s="317">
        <f t="shared" si="6"/>
        <v>12613.365789473683</v>
      </c>
      <c r="T24" s="318">
        <f t="shared" si="7"/>
        <v>5323.4999999999991</v>
      </c>
      <c r="U24" s="319">
        <f t="shared" si="8"/>
        <v>3839.5499999999997</v>
      </c>
      <c r="V24" s="319">
        <f t="shared" si="0"/>
        <v>3450.3157894736842</v>
      </c>
      <c r="X24" s="320">
        <f t="shared" si="9"/>
        <v>4258.7999999999993</v>
      </c>
      <c r="Y24" s="320">
        <f t="shared" si="1"/>
        <v>3071.64</v>
      </c>
      <c r="Z24" s="320">
        <f t="shared" si="1"/>
        <v>2760.2526315789473</v>
      </c>
      <c r="AB24" s="123" t="s">
        <v>184</v>
      </c>
      <c r="AI24" s="123">
        <v>4724.8500000000004</v>
      </c>
      <c r="AJ24" s="320">
        <f t="shared" si="10"/>
        <v>598.64999999999873</v>
      </c>
    </row>
    <row r="25" spans="1:36" hidden="1" x14ac:dyDescent="0.35">
      <c r="A25" s="197">
        <v>3301020</v>
      </c>
      <c r="B25" s="197">
        <v>1020</v>
      </c>
      <c r="C25" s="197" t="s">
        <v>219</v>
      </c>
      <c r="D25" s="198" t="s">
        <v>245</v>
      </c>
      <c r="E25" s="198"/>
      <c r="F25" s="197"/>
      <c r="G25" s="199">
        <v>1095</v>
      </c>
      <c r="H25" s="199">
        <v>900</v>
      </c>
      <c r="I25" s="199">
        <v>735</v>
      </c>
      <c r="J25" s="199">
        <v>810</v>
      </c>
      <c r="K25" s="199">
        <v>705</v>
      </c>
      <c r="L25" s="199">
        <v>585</v>
      </c>
      <c r="M25" s="315">
        <v>781.57894736842104</v>
      </c>
      <c r="N25" s="315">
        <v>753.15789473684208</v>
      </c>
      <c r="O25" s="315">
        <v>407.36842105263156</v>
      </c>
      <c r="P25" s="316">
        <f t="shared" si="3"/>
        <v>20827.807894736841</v>
      </c>
      <c r="Q25" s="316">
        <f t="shared" si="4"/>
        <v>8671.839473684211</v>
      </c>
      <c r="R25" s="316">
        <f t="shared" si="5"/>
        <v>1763.8736842105263</v>
      </c>
      <c r="S25" s="317">
        <f t="shared" si="6"/>
        <v>31263.521052631579</v>
      </c>
      <c r="T25" s="318">
        <f t="shared" si="7"/>
        <v>12840.749999999998</v>
      </c>
      <c r="U25" s="319">
        <f t="shared" si="8"/>
        <v>9689.5499999999993</v>
      </c>
      <c r="V25" s="319">
        <f t="shared" si="0"/>
        <v>8733.2210526315794</v>
      </c>
      <c r="X25" s="320">
        <f t="shared" si="9"/>
        <v>10272.599999999999</v>
      </c>
      <c r="Y25" s="320">
        <f t="shared" si="1"/>
        <v>7751.6399999999994</v>
      </c>
      <c r="Z25" s="320">
        <f t="shared" si="1"/>
        <v>6986.5768421052635</v>
      </c>
      <c r="AB25" s="123" t="s">
        <v>218</v>
      </c>
      <c r="AI25" s="123">
        <v>13150.799999999997</v>
      </c>
      <c r="AJ25" s="320">
        <f t="shared" si="10"/>
        <v>-310.04999999999927</v>
      </c>
    </row>
    <row r="26" spans="1:36" hidden="1" x14ac:dyDescent="0.35">
      <c r="A26" s="197">
        <v>3301021</v>
      </c>
      <c r="B26" s="197">
        <v>1021</v>
      </c>
      <c r="C26" s="197" t="s">
        <v>91</v>
      </c>
      <c r="D26" s="198" t="s">
        <v>27</v>
      </c>
      <c r="E26" s="198"/>
      <c r="F26" s="197"/>
      <c r="G26" s="199">
        <v>105</v>
      </c>
      <c r="H26" s="199">
        <v>195</v>
      </c>
      <c r="I26" s="199">
        <v>330</v>
      </c>
      <c r="J26" s="199">
        <v>45</v>
      </c>
      <c r="K26" s="199">
        <v>105</v>
      </c>
      <c r="L26" s="199">
        <v>300</v>
      </c>
      <c r="M26" s="315">
        <v>52.10526315789474</v>
      </c>
      <c r="N26" s="315">
        <v>104.21052631578948</v>
      </c>
      <c r="O26" s="315">
        <v>293.68421052631578</v>
      </c>
      <c r="P26" s="316">
        <f t="shared" si="3"/>
        <v>1570.9105263157894</v>
      </c>
      <c r="Q26" s="316">
        <f t="shared" si="4"/>
        <v>1493.6526315789474</v>
      </c>
      <c r="R26" s="316">
        <f t="shared" si="5"/>
        <v>937.13684210526321</v>
      </c>
      <c r="S26" s="317">
        <f t="shared" si="6"/>
        <v>4001.7000000000003</v>
      </c>
      <c r="T26" s="318">
        <f t="shared" si="7"/>
        <v>1911</v>
      </c>
      <c r="U26" s="319">
        <f t="shared" si="8"/>
        <v>1064.6999999999998</v>
      </c>
      <c r="V26" s="319">
        <f t="shared" si="0"/>
        <v>1026</v>
      </c>
      <c r="X26" s="320">
        <f t="shared" si="9"/>
        <v>1528.8000000000002</v>
      </c>
      <c r="Y26" s="320">
        <f t="shared" si="1"/>
        <v>851.75999999999988</v>
      </c>
      <c r="Z26" s="320">
        <f t="shared" si="1"/>
        <v>820.80000000000007</v>
      </c>
      <c r="AB26" s="123" t="s">
        <v>90</v>
      </c>
      <c r="AI26" s="123">
        <v>1581.45</v>
      </c>
      <c r="AJ26" s="320">
        <f t="shared" si="10"/>
        <v>329.54999999999995</v>
      </c>
    </row>
    <row r="27" spans="1:36" hidden="1" x14ac:dyDescent="0.35">
      <c r="A27" s="197">
        <v>3301022</v>
      </c>
      <c r="B27" s="197">
        <v>1022</v>
      </c>
      <c r="C27" s="197" t="s">
        <v>81</v>
      </c>
      <c r="D27" s="198" t="s">
        <v>27</v>
      </c>
      <c r="E27" s="198"/>
      <c r="F27" s="197"/>
      <c r="G27" s="199">
        <v>345</v>
      </c>
      <c r="H27" s="199">
        <v>285</v>
      </c>
      <c r="I27" s="199">
        <v>705</v>
      </c>
      <c r="J27" s="199">
        <v>270</v>
      </c>
      <c r="K27" s="199">
        <v>195</v>
      </c>
      <c r="L27" s="199">
        <v>450</v>
      </c>
      <c r="M27" s="315">
        <v>241.57894736842104</v>
      </c>
      <c r="N27" s="315">
        <v>265.26315789473682</v>
      </c>
      <c r="O27" s="315">
        <v>530.52631578947364</v>
      </c>
      <c r="P27" s="316">
        <f t="shared" si="3"/>
        <v>6645.3078947368422</v>
      </c>
      <c r="Q27" s="316">
        <f t="shared" si="4"/>
        <v>2732.7157894736838</v>
      </c>
      <c r="R27" s="316">
        <f t="shared" si="5"/>
        <v>1710.5052631578947</v>
      </c>
      <c r="S27" s="317">
        <f t="shared" si="6"/>
        <v>11088.528947368421</v>
      </c>
      <c r="T27" s="318">
        <f t="shared" si="7"/>
        <v>4543.5</v>
      </c>
      <c r="U27" s="319">
        <f t="shared" si="8"/>
        <v>3344.25</v>
      </c>
      <c r="V27" s="319">
        <f t="shared" si="0"/>
        <v>3200.7789473684211</v>
      </c>
      <c r="X27" s="320">
        <f t="shared" si="9"/>
        <v>3634.8</v>
      </c>
      <c r="Y27" s="320">
        <f t="shared" si="9"/>
        <v>2675.4</v>
      </c>
      <c r="Z27" s="320">
        <f t="shared" si="9"/>
        <v>2560.6231578947372</v>
      </c>
      <c r="AB27" s="123" t="s">
        <v>80</v>
      </c>
      <c r="AI27" s="123">
        <v>4572.75</v>
      </c>
      <c r="AJ27" s="320">
        <f t="shared" si="10"/>
        <v>-29.25</v>
      </c>
    </row>
    <row r="28" spans="1:36" hidden="1" x14ac:dyDescent="0.35">
      <c r="A28" s="197">
        <v>3301023</v>
      </c>
      <c r="B28" s="197">
        <v>1023</v>
      </c>
      <c r="C28" s="197" t="s">
        <v>97</v>
      </c>
      <c r="D28" s="198" t="s">
        <v>27</v>
      </c>
      <c r="E28" s="198"/>
      <c r="F28" s="197"/>
      <c r="G28" s="199">
        <v>150</v>
      </c>
      <c r="H28" s="199">
        <v>450</v>
      </c>
      <c r="I28" s="199">
        <v>855</v>
      </c>
      <c r="J28" s="199">
        <v>90</v>
      </c>
      <c r="K28" s="199">
        <v>255</v>
      </c>
      <c r="L28" s="199">
        <v>495</v>
      </c>
      <c r="M28" s="315">
        <v>104.21052631578948</v>
      </c>
      <c r="N28" s="315">
        <v>279.47368421052636</v>
      </c>
      <c r="O28" s="315">
        <v>577.8947368421052</v>
      </c>
      <c r="P28" s="316">
        <f t="shared" si="3"/>
        <v>2666.0210526315786</v>
      </c>
      <c r="Q28" s="316">
        <f t="shared" si="4"/>
        <v>3630.4184210526319</v>
      </c>
      <c r="R28" s="316">
        <f t="shared" si="5"/>
        <v>1958.7789473684211</v>
      </c>
      <c r="S28" s="317">
        <f t="shared" si="6"/>
        <v>8255.218421052632</v>
      </c>
      <c r="T28" s="318">
        <f t="shared" si="7"/>
        <v>3775.2</v>
      </c>
      <c r="U28" s="319">
        <f t="shared" si="8"/>
        <v>2189.85</v>
      </c>
      <c r="V28" s="319">
        <f t="shared" si="0"/>
        <v>2290.1684210526319</v>
      </c>
      <c r="X28" s="320">
        <f t="shared" si="9"/>
        <v>3020.16</v>
      </c>
      <c r="Y28" s="320">
        <f t="shared" si="9"/>
        <v>1751.88</v>
      </c>
      <c r="Z28" s="320">
        <f t="shared" si="9"/>
        <v>1832.1347368421057</v>
      </c>
      <c r="AB28" s="123" t="s">
        <v>96</v>
      </c>
      <c r="AI28" s="123">
        <v>3636.75</v>
      </c>
      <c r="AJ28" s="320">
        <f t="shared" si="10"/>
        <v>138.44999999999982</v>
      </c>
    </row>
    <row r="29" spans="1:36" hidden="1" x14ac:dyDescent="0.35">
      <c r="A29" s="197">
        <v>3301024</v>
      </c>
      <c r="B29" s="197">
        <v>1024</v>
      </c>
      <c r="C29" s="197" t="s">
        <v>251</v>
      </c>
      <c r="D29" s="198" t="s">
        <v>245</v>
      </c>
      <c r="E29" s="198"/>
      <c r="F29" s="197"/>
      <c r="G29" s="199">
        <v>615</v>
      </c>
      <c r="H29" s="199">
        <v>165</v>
      </c>
      <c r="I29" s="199">
        <v>315</v>
      </c>
      <c r="J29" s="199">
        <v>510</v>
      </c>
      <c r="K29" s="199">
        <v>150</v>
      </c>
      <c r="L29" s="199">
        <v>225</v>
      </c>
      <c r="M29" s="315">
        <v>506.84210526315792</v>
      </c>
      <c r="N29" s="315">
        <v>118.42105263157895</v>
      </c>
      <c r="O29" s="315">
        <v>246.31578947368422</v>
      </c>
      <c r="P29" s="316">
        <f t="shared" si="3"/>
        <v>12631.334210526316</v>
      </c>
      <c r="Q29" s="316">
        <f t="shared" si="4"/>
        <v>1599.6552631578948</v>
      </c>
      <c r="R29" s="316">
        <f t="shared" si="5"/>
        <v>798.06315789473683</v>
      </c>
      <c r="S29" s="317">
        <f t="shared" si="6"/>
        <v>15029.052631578948</v>
      </c>
      <c r="T29" s="318">
        <f t="shared" si="7"/>
        <v>5826.6</v>
      </c>
      <c r="U29" s="319">
        <f t="shared" si="8"/>
        <v>4843.7999999999993</v>
      </c>
      <c r="V29" s="319">
        <f t="shared" si="0"/>
        <v>4358.6526315789479</v>
      </c>
      <c r="X29" s="320">
        <f t="shared" si="9"/>
        <v>4661.2800000000007</v>
      </c>
      <c r="Y29" s="320">
        <f t="shared" si="9"/>
        <v>3875.0399999999995</v>
      </c>
      <c r="Z29" s="320">
        <f t="shared" si="9"/>
        <v>3486.9221052631583</v>
      </c>
      <c r="AB29" s="123" t="s">
        <v>194</v>
      </c>
      <c r="AI29" s="123">
        <v>6002.1</v>
      </c>
      <c r="AJ29" s="320">
        <f t="shared" si="10"/>
        <v>-175.5</v>
      </c>
    </row>
    <row r="30" spans="1:36" hidden="1" x14ac:dyDescent="0.35">
      <c r="A30" s="197">
        <v>3301025</v>
      </c>
      <c r="B30" s="197">
        <v>1025</v>
      </c>
      <c r="C30" s="197" t="s">
        <v>40</v>
      </c>
      <c r="D30" s="198" t="s">
        <v>27</v>
      </c>
      <c r="E30" s="198"/>
      <c r="F30" s="197"/>
      <c r="G30" s="199">
        <v>1020</v>
      </c>
      <c r="H30" s="199">
        <v>705</v>
      </c>
      <c r="I30" s="199">
        <v>225</v>
      </c>
      <c r="J30" s="199">
        <v>825</v>
      </c>
      <c r="K30" s="199">
        <v>600</v>
      </c>
      <c r="L30" s="199">
        <v>135</v>
      </c>
      <c r="M30" s="315">
        <v>819.47368421052624</v>
      </c>
      <c r="N30" s="315">
        <v>606.31578947368416</v>
      </c>
      <c r="O30" s="315">
        <v>132.63157894736841</v>
      </c>
      <c r="P30" s="316">
        <f t="shared" si="3"/>
        <v>20629.39736842105</v>
      </c>
      <c r="Q30" s="316">
        <f t="shared" si="4"/>
        <v>7029.8289473684217</v>
      </c>
      <c r="R30" s="316">
        <f t="shared" si="5"/>
        <v>501.72631578947369</v>
      </c>
      <c r="S30" s="317">
        <f t="shared" si="6"/>
        <v>28160.952631578948</v>
      </c>
      <c r="T30" s="318">
        <f t="shared" si="7"/>
        <v>10980.449999999999</v>
      </c>
      <c r="U30" s="319">
        <f t="shared" si="8"/>
        <v>8944.65</v>
      </c>
      <c r="V30" s="319">
        <f t="shared" si="0"/>
        <v>8235.8526315789477</v>
      </c>
      <c r="X30" s="320">
        <f t="shared" si="9"/>
        <v>8784.3599999999988</v>
      </c>
      <c r="Y30" s="320">
        <f t="shared" si="9"/>
        <v>7155.72</v>
      </c>
      <c r="Z30" s="320">
        <f t="shared" si="9"/>
        <v>6588.6821052631585</v>
      </c>
      <c r="AB30" s="123" t="s">
        <v>39</v>
      </c>
      <c r="AI30" s="123">
        <v>12409.799999999997</v>
      </c>
      <c r="AJ30" s="320">
        <f t="shared" si="10"/>
        <v>-1429.3499999999985</v>
      </c>
    </row>
    <row r="31" spans="1:36" hidden="1" x14ac:dyDescent="0.35">
      <c r="A31" s="197">
        <v>3301026</v>
      </c>
      <c r="B31" s="197">
        <v>1026</v>
      </c>
      <c r="C31" s="197" t="s">
        <v>73</v>
      </c>
      <c r="D31" s="198" t="s">
        <v>27</v>
      </c>
      <c r="E31" s="198"/>
      <c r="F31" s="197"/>
      <c r="G31" s="199">
        <v>120</v>
      </c>
      <c r="H31" s="199">
        <v>210</v>
      </c>
      <c r="I31" s="199">
        <v>330</v>
      </c>
      <c r="J31" s="199">
        <v>105</v>
      </c>
      <c r="K31" s="199">
        <v>180</v>
      </c>
      <c r="L31" s="199">
        <v>300</v>
      </c>
      <c r="M31" s="315">
        <v>113.68421052631578</v>
      </c>
      <c r="N31" s="315">
        <v>217.89473684210526</v>
      </c>
      <c r="O31" s="315">
        <v>265.26315789473682</v>
      </c>
      <c r="P31" s="316">
        <f t="shared" si="3"/>
        <v>2616.4184210526314</v>
      </c>
      <c r="Q31" s="316">
        <f t="shared" si="4"/>
        <v>2228.5736842105262</v>
      </c>
      <c r="R31" s="316">
        <f t="shared" si="5"/>
        <v>909.85263157894747</v>
      </c>
      <c r="S31" s="317">
        <f t="shared" si="6"/>
        <v>5754.8447368421057</v>
      </c>
      <c r="T31" s="318">
        <f t="shared" si="7"/>
        <v>2086.5</v>
      </c>
      <c r="U31" s="319">
        <f t="shared" si="8"/>
        <v>1823.25</v>
      </c>
      <c r="V31" s="319">
        <f t="shared" si="0"/>
        <v>1845.094736842105</v>
      </c>
      <c r="X31" s="320">
        <f t="shared" si="9"/>
        <v>1669.2</v>
      </c>
      <c r="Y31" s="320">
        <f t="shared" si="9"/>
        <v>1458.6000000000001</v>
      </c>
      <c r="Z31" s="320">
        <f t="shared" si="9"/>
        <v>1476.0757894736842</v>
      </c>
      <c r="AB31" s="123" t="s">
        <v>72</v>
      </c>
      <c r="AI31" s="123">
        <v>2375.1</v>
      </c>
      <c r="AJ31" s="320">
        <f t="shared" si="10"/>
        <v>-288.59999999999991</v>
      </c>
    </row>
    <row r="32" spans="1:36" hidden="1" x14ac:dyDescent="0.35">
      <c r="A32" s="197">
        <v>3301027</v>
      </c>
      <c r="B32" s="197">
        <v>1027</v>
      </c>
      <c r="C32" s="197" t="s">
        <v>25</v>
      </c>
      <c r="D32" s="198" t="s">
        <v>27</v>
      </c>
      <c r="E32" s="198"/>
      <c r="F32" s="197"/>
      <c r="G32" s="199">
        <v>90</v>
      </c>
      <c r="H32" s="199">
        <v>810</v>
      </c>
      <c r="I32" s="199">
        <v>555</v>
      </c>
      <c r="J32" s="199">
        <v>45</v>
      </c>
      <c r="K32" s="199">
        <v>615</v>
      </c>
      <c r="L32" s="199">
        <v>330</v>
      </c>
      <c r="M32" s="315">
        <v>75.78947368421052</v>
      </c>
      <c r="N32" s="315">
        <v>738.94736842105272</v>
      </c>
      <c r="O32" s="315">
        <v>421.57894736842104</v>
      </c>
      <c r="P32" s="316">
        <f t="shared" si="3"/>
        <v>1625.328947368421</v>
      </c>
      <c r="Q32" s="316">
        <f t="shared" si="4"/>
        <v>7943.7868421052626</v>
      </c>
      <c r="R32" s="316">
        <f t="shared" si="5"/>
        <v>1325.1157894736841</v>
      </c>
      <c r="S32" s="317">
        <f t="shared" si="6"/>
        <v>10894.231578947369</v>
      </c>
      <c r="T32" s="318">
        <f t="shared" si="7"/>
        <v>4344.5999999999995</v>
      </c>
      <c r="U32" s="319">
        <f t="shared" si="8"/>
        <v>3018.5999999999995</v>
      </c>
      <c r="V32" s="319">
        <f t="shared" si="0"/>
        <v>3531.0315789473684</v>
      </c>
      <c r="X32" s="320">
        <f t="shared" si="9"/>
        <v>3475.68</v>
      </c>
      <c r="Y32" s="320">
        <f t="shared" si="9"/>
        <v>2414.8799999999997</v>
      </c>
      <c r="Z32" s="320">
        <f t="shared" si="9"/>
        <v>2824.8252631578948</v>
      </c>
      <c r="AB32" s="123" t="s">
        <v>24</v>
      </c>
      <c r="AI32" s="123">
        <v>5343</v>
      </c>
      <c r="AJ32" s="320">
        <f t="shared" si="10"/>
        <v>-998.40000000000055</v>
      </c>
    </row>
    <row r="33" spans="1:36" hidden="1" x14ac:dyDescent="0.35">
      <c r="A33" s="197">
        <v>3301028</v>
      </c>
      <c r="B33" s="197">
        <v>1028</v>
      </c>
      <c r="C33" s="197" t="s">
        <v>201</v>
      </c>
      <c r="D33" s="198" t="s">
        <v>245</v>
      </c>
      <c r="E33" s="198"/>
      <c r="F33" s="197"/>
      <c r="G33" s="199">
        <v>960</v>
      </c>
      <c r="H33" s="199">
        <v>255</v>
      </c>
      <c r="I33" s="199">
        <v>315</v>
      </c>
      <c r="J33" s="199">
        <v>615</v>
      </c>
      <c r="K33" s="199">
        <v>135</v>
      </c>
      <c r="L33" s="199">
        <v>210</v>
      </c>
      <c r="M33" s="315">
        <v>615.78947368421052</v>
      </c>
      <c r="N33" s="315">
        <v>180</v>
      </c>
      <c r="O33" s="315">
        <v>156.31578947368422</v>
      </c>
      <c r="P33" s="316">
        <f t="shared" si="3"/>
        <v>16997.32894736842</v>
      </c>
      <c r="Q33" s="316">
        <f t="shared" si="4"/>
        <v>2096.6999999999998</v>
      </c>
      <c r="R33" s="316">
        <f t="shared" si="5"/>
        <v>696.06315789473683</v>
      </c>
      <c r="S33" s="317">
        <f t="shared" si="6"/>
        <v>19790.092105263157</v>
      </c>
      <c r="T33" s="318">
        <f t="shared" si="7"/>
        <v>8901.75</v>
      </c>
      <c r="U33" s="319">
        <f t="shared" si="8"/>
        <v>5604.2999999999993</v>
      </c>
      <c r="V33" s="319">
        <f t="shared" si="0"/>
        <v>5284.0421052631573</v>
      </c>
      <c r="X33" s="320">
        <f t="shared" si="9"/>
        <v>7121.4000000000005</v>
      </c>
      <c r="Y33" s="320">
        <f t="shared" si="9"/>
        <v>4483.4399999999996</v>
      </c>
      <c r="Z33" s="320">
        <f t="shared" si="9"/>
        <v>4227.233684210526</v>
      </c>
      <c r="AB33" s="123" t="s">
        <v>200</v>
      </c>
      <c r="AI33" s="123">
        <v>7778.5499999999993</v>
      </c>
      <c r="AJ33" s="320">
        <f t="shared" si="10"/>
        <v>1123.2000000000007</v>
      </c>
    </row>
    <row r="34" spans="1:36" hidden="1" x14ac:dyDescent="0.35">
      <c r="A34" s="197">
        <v>3301038</v>
      </c>
      <c r="B34" s="197">
        <v>1038</v>
      </c>
      <c r="C34" s="197" t="s">
        <v>252</v>
      </c>
      <c r="D34" s="198" t="s">
        <v>27</v>
      </c>
      <c r="E34" s="198"/>
      <c r="F34" s="197"/>
      <c r="G34" s="199">
        <v>900</v>
      </c>
      <c r="H34" s="199">
        <v>345</v>
      </c>
      <c r="I34" s="199">
        <v>450</v>
      </c>
      <c r="J34" s="199">
        <v>810</v>
      </c>
      <c r="K34" s="199">
        <v>285</v>
      </c>
      <c r="L34" s="199">
        <v>435</v>
      </c>
      <c r="M34" s="315">
        <v>824.21052631578959</v>
      </c>
      <c r="N34" s="315">
        <v>288.9473684210526</v>
      </c>
      <c r="O34" s="315">
        <v>303.15789473684208</v>
      </c>
      <c r="P34" s="316">
        <f t="shared" si="3"/>
        <v>19593.521052631579</v>
      </c>
      <c r="Q34" s="316">
        <f t="shared" si="4"/>
        <v>3380.6368421052625</v>
      </c>
      <c r="R34" s="316">
        <f t="shared" si="5"/>
        <v>1211.4315789473685</v>
      </c>
      <c r="S34" s="317">
        <f t="shared" si="6"/>
        <v>24185.589473684209</v>
      </c>
      <c r="T34" s="318">
        <f t="shared" si="7"/>
        <v>8905.65</v>
      </c>
      <c r="U34" s="319">
        <f t="shared" si="8"/>
        <v>7950.1499999999987</v>
      </c>
      <c r="V34" s="319">
        <f t="shared" si="0"/>
        <v>7329.78947368421</v>
      </c>
      <c r="X34" s="320">
        <f t="shared" si="9"/>
        <v>7124.52</v>
      </c>
      <c r="Y34" s="320">
        <f t="shared" si="9"/>
        <v>6360.119999999999</v>
      </c>
      <c r="Z34" s="320">
        <f t="shared" si="9"/>
        <v>5863.8315789473681</v>
      </c>
      <c r="AB34" s="123" t="s">
        <v>134</v>
      </c>
      <c r="AI34" s="123">
        <v>10450.049999999999</v>
      </c>
      <c r="AJ34" s="320">
        <f t="shared" si="10"/>
        <v>-1544.3999999999996</v>
      </c>
    </row>
    <row r="35" spans="1:36" hidden="1" x14ac:dyDescent="0.35">
      <c r="A35" s="197">
        <v>3301048</v>
      </c>
      <c r="B35" s="197">
        <v>1048</v>
      </c>
      <c r="C35" s="197" t="s">
        <v>53</v>
      </c>
      <c r="D35" s="198" t="s">
        <v>27</v>
      </c>
      <c r="E35" s="198"/>
      <c r="F35" s="197"/>
      <c r="G35" s="199">
        <v>1260</v>
      </c>
      <c r="H35" s="199">
        <v>15</v>
      </c>
      <c r="I35" s="199">
        <v>300</v>
      </c>
      <c r="J35" s="199">
        <v>1170</v>
      </c>
      <c r="K35" s="199">
        <v>15</v>
      </c>
      <c r="L35" s="199">
        <v>210</v>
      </c>
      <c r="M35" s="315">
        <v>1174.7368421052631</v>
      </c>
      <c r="N35" s="315">
        <v>23.684210526315788</v>
      </c>
      <c r="O35" s="315">
        <v>208.42105263157896</v>
      </c>
      <c r="P35" s="316">
        <f t="shared" si="3"/>
        <v>27868.973684210527</v>
      </c>
      <c r="Q35" s="316">
        <f t="shared" si="4"/>
        <v>195.52105263157893</v>
      </c>
      <c r="R35" s="316">
        <f t="shared" si="5"/>
        <v>730.48421052631579</v>
      </c>
      <c r="S35" s="317">
        <f t="shared" si="6"/>
        <v>28794.978947368421</v>
      </c>
      <c r="T35" s="318">
        <f t="shared" si="7"/>
        <v>10360.35</v>
      </c>
      <c r="U35" s="319">
        <f t="shared" si="8"/>
        <v>9553.0499999999975</v>
      </c>
      <c r="V35" s="319">
        <f t="shared" si="0"/>
        <v>8881.5789473684199</v>
      </c>
      <c r="X35" s="320">
        <f t="shared" si="9"/>
        <v>8288.2800000000007</v>
      </c>
      <c r="Y35" s="320">
        <f t="shared" si="9"/>
        <v>7642.4399999999987</v>
      </c>
      <c r="Z35" s="320">
        <f t="shared" si="9"/>
        <v>7105.2631578947367</v>
      </c>
      <c r="AB35" s="123" t="s">
        <v>52</v>
      </c>
      <c r="AI35" s="123">
        <v>12376.65</v>
      </c>
      <c r="AJ35" s="320">
        <f t="shared" si="10"/>
        <v>-2016.2999999999993</v>
      </c>
    </row>
    <row r="36" spans="1:36" hidden="1" x14ac:dyDescent="0.35">
      <c r="A36" s="197">
        <v>3301049</v>
      </c>
      <c r="B36" s="197">
        <v>1049</v>
      </c>
      <c r="C36" s="197" t="s">
        <v>117</v>
      </c>
      <c r="D36" s="198" t="s">
        <v>27</v>
      </c>
      <c r="E36" s="198"/>
      <c r="F36" s="197"/>
      <c r="G36" s="199">
        <v>1020</v>
      </c>
      <c r="H36" s="199">
        <v>45</v>
      </c>
      <c r="I36" s="199">
        <v>450</v>
      </c>
      <c r="J36" s="199">
        <v>825</v>
      </c>
      <c r="K36" s="199">
        <v>15</v>
      </c>
      <c r="L36" s="199">
        <v>300</v>
      </c>
      <c r="M36" s="315">
        <v>819.47368421052624</v>
      </c>
      <c r="N36" s="315">
        <v>71.05263157894737</v>
      </c>
      <c r="O36" s="315">
        <v>336.31578947368422</v>
      </c>
      <c r="P36" s="316">
        <f t="shared" si="3"/>
        <v>20629.39736842105</v>
      </c>
      <c r="Q36" s="316">
        <f t="shared" si="4"/>
        <v>473.46315789473681</v>
      </c>
      <c r="R36" s="316">
        <f t="shared" si="5"/>
        <v>1102.8631578947368</v>
      </c>
      <c r="S36" s="317">
        <f t="shared" si="6"/>
        <v>22205.723684210523</v>
      </c>
      <c r="T36" s="318">
        <f>(G36*$C$2*$F$2)+(H36*$C$3*$F$2)+(I36*$C$4*$F$2)</f>
        <v>8726.25</v>
      </c>
      <c r="U36" s="319">
        <f t="shared" si="8"/>
        <v>6910.8</v>
      </c>
      <c r="V36" s="319">
        <f t="shared" si="0"/>
        <v>6568.6736842105256</v>
      </c>
      <c r="X36" s="320">
        <f t="shared" si="9"/>
        <v>6981</v>
      </c>
      <c r="Y36" s="320">
        <f t="shared" si="9"/>
        <v>5528.64</v>
      </c>
      <c r="Z36" s="320">
        <f t="shared" si="9"/>
        <v>5254.9389473684205</v>
      </c>
      <c r="AB36" s="123" t="s">
        <v>116</v>
      </c>
      <c r="AI36" s="123">
        <v>9500.4</v>
      </c>
      <c r="AJ36" s="320">
        <f t="shared" si="10"/>
        <v>-774.14999999999964</v>
      </c>
    </row>
    <row r="37" spans="1:36" hidden="1" x14ac:dyDescent="0.35">
      <c r="A37" s="197">
        <v>3301802</v>
      </c>
      <c r="B37" s="197">
        <v>1802</v>
      </c>
      <c r="C37" s="197" t="s">
        <v>189</v>
      </c>
      <c r="D37" s="198" t="s">
        <v>245</v>
      </c>
      <c r="E37" s="198"/>
      <c r="F37" s="197"/>
      <c r="G37" s="199">
        <v>480</v>
      </c>
      <c r="H37" s="199">
        <v>525</v>
      </c>
      <c r="I37" s="199">
        <v>135</v>
      </c>
      <c r="J37" s="199">
        <v>360</v>
      </c>
      <c r="K37" s="199">
        <v>390</v>
      </c>
      <c r="L37" s="199">
        <v>90</v>
      </c>
      <c r="M37" s="315">
        <v>355.26315789473682</v>
      </c>
      <c r="N37" s="315">
        <v>360</v>
      </c>
      <c r="O37" s="315">
        <v>99.473684210526301</v>
      </c>
      <c r="P37" s="316">
        <f t="shared" si="3"/>
        <v>9261.726315789474</v>
      </c>
      <c r="Q37" s="316">
        <f t="shared" si="4"/>
        <v>4702.3500000000004</v>
      </c>
      <c r="R37" s="316">
        <f t="shared" si="5"/>
        <v>329.49473684210523</v>
      </c>
      <c r="S37" s="317">
        <f t="shared" si="6"/>
        <v>14293.57105263158</v>
      </c>
      <c r="T37" s="318">
        <f t="shared" si="7"/>
        <v>5926.0499999999993</v>
      </c>
      <c r="U37" s="319">
        <f t="shared" si="8"/>
        <v>4418.7</v>
      </c>
      <c r="V37" s="319">
        <f t="shared" si="0"/>
        <v>3948.8210526315788</v>
      </c>
      <c r="X37" s="320">
        <f t="shared" si="9"/>
        <v>4740.8399999999992</v>
      </c>
      <c r="Y37" s="320">
        <f t="shared" si="9"/>
        <v>3534.96</v>
      </c>
      <c r="Z37" s="320">
        <f t="shared" si="9"/>
        <v>3159.0568421052631</v>
      </c>
      <c r="AB37" s="123" t="s">
        <v>188</v>
      </c>
      <c r="AI37" s="123">
        <v>6210.75</v>
      </c>
      <c r="AJ37" s="320">
        <f t="shared" si="10"/>
        <v>-284.70000000000073</v>
      </c>
    </row>
    <row r="38" spans="1:36" hidden="1" x14ac:dyDescent="0.35">
      <c r="A38" s="197">
        <v>3302003</v>
      </c>
      <c r="B38" s="197">
        <v>2003</v>
      </c>
      <c r="C38" s="197" t="s">
        <v>253</v>
      </c>
      <c r="D38" s="198" t="s">
        <v>49</v>
      </c>
      <c r="E38" s="198"/>
      <c r="F38" s="197"/>
      <c r="G38" s="199">
        <v>15</v>
      </c>
      <c r="H38" s="199">
        <v>420</v>
      </c>
      <c r="I38" s="199">
        <v>540</v>
      </c>
      <c r="J38" s="199">
        <v>15</v>
      </c>
      <c r="K38" s="199">
        <v>345</v>
      </c>
      <c r="L38" s="199">
        <v>405</v>
      </c>
      <c r="M38" s="315">
        <v>14.210526315789473</v>
      </c>
      <c r="N38" s="315">
        <v>364.73684210526318</v>
      </c>
      <c r="O38" s="315">
        <v>416.84210526315792</v>
      </c>
      <c r="P38" s="316">
        <f t="shared" si="3"/>
        <v>341.92105263157896</v>
      </c>
      <c r="Q38" s="316">
        <f t="shared" si="4"/>
        <v>4153.3342105263155</v>
      </c>
      <c r="R38" s="316">
        <f t="shared" si="5"/>
        <v>1382.9684210526316</v>
      </c>
      <c r="S38" s="317">
        <f t="shared" si="6"/>
        <v>5878.2236842105258</v>
      </c>
      <c r="T38" s="318">
        <f t="shared" si="7"/>
        <v>2263.9499999999998</v>
      </c>
      <c r="U38" s="319">
        <f t="shared" si="8"/>
        <v>1840.8</v>
      </c>
      <c r="V38" s="319">
        <f t="shared" si="0"/>
        <v>1773.4736842105262</v>
      </c>
      <c r="X38" s="320">
        <f t="shared" si="9"/>
        <v>1811.1599999999999</v>
      </c>
      <c r="Y38" s="320">
        <f t="shared" si="9"/>
        <v>1472.64</v>
      </c>
      <c r="Z38" s="320">
        <f t="shared" si="9"/>
        <v>1418.7789473684211</v>
      </c>
      <c r="AB38" s="123">
        <v>2113.8000000000002</v>
      </c>
      <c r="AC38" s="320">
        <f>AB38-T38</f>
        <v>-150.14999999999964</v>
      </c>
      <c r="AI38" s="123">
        <v>2113.8000000000002</v>
      </c>
      <c r="AJ38" s="320">
        <f t="shared" si="10"/>
        <v>150.14999999999964</v>
      </c>
    </row>
    <row r="39" spans="1:36" hidden="1" x14ac:dyDescent="0.35">
      <c r="A39" s="197">
        <v>3302004</v>
      </c>
      <c r="B39" s="197">
        <v>2004</v>
      </c>
      <c r="C39" s="197" t="s">
        <v>197</v>
      </c>
      <c r="D39" s="198" t="s">
        <v>245</v>
      </c>
      <c r="E39" s="198"/>
      <c r="F39" s="197"/>
      <c r="G39" s="199">
        <v>30</v>
      </c>
      <c r="H39" s="199">
        <v>0</v>
      </c>
      <c r="I39" s="199">
        <v>120</v>
      </c>
      <c r="J39" s="199">
        <v>30</v>
      </c>
      <c r="K39" s="199">
        <v>0</v>
      </c>
      <c r="L39" s="199">
        <v>105</v>
      </c>
      <c r="M39" s="315">
        <v>18.94736842105263</v>
      </c>
      <c r="N39" s="315">
        <v>0</v>
      </c>
      <c r="O39" s="315">
        <v>71.05263157894737</v>
      </c>
      <c r="P39" s="316">
        <f t="shared" si="3"/>
        <v>614.49473684210534</v>
      </c>
      <c r="Q39" s="316">
        <f t="shared" si="4"/>
        <v>0</v>
      </c>
      <c r="R39" s="316">
        <f t="shared" si="5"/>
        <v>302.21052631578948</v>
      </c>
      <c r="S39" s="317">
        <f t="shared" si="6"/>
        <v>916.70526315789482</v>
      </c>
      <c r="T39" s="318">
        <f t="shared" si="7"/>
        <v>362.7</v>
      </c>
      <c r="U39" s="319">
        <f t="shared" si="8"/>
        <v>347.1</v>
      </c>
      <c r="V39" s="319">
        <f t="shared" si="0"/>
        <v>206.90526315789475</v>
      </c>
      <c r="X39" s="320">
        <f t="shared" si="9"/>
        <v>290.16000000000003</v>
      </c>
      <c r="Y39" s="320">
        <f t="shared" si="9"/>
        <v>277.68</v>
      </c>
      <c r="Z39" s="320">
        <f t="shared" si="9"/>
        <v>165.52421052631581</v>
      </c>
      <c r="AB39" s="123" t="s">
        <v>196</v>
      </c>
      <c r="AI39" s="123">
        <v>181.35</v>
      </c>
      <c r="AJ39" s="320">
        <f t="shared" si="10"/>
        <v>181.35</v>
      </c>
    </row>
    <row r="40" spans="1:36" hidden="1" x14ac:dyDescent="0.35">
      <c r="A40" s="197">
        <v>3302005</v>
      </c>
      <c r="B40" s="197">
        <v>2005</v>
      </c>
      <c r="C40" s="197" t="s">
        <v>193</v>
      </c>
      <c r="D40" s="198" t="s">
        <v>245</v>
      </c>
      <c r="E40" s="198"/>
      <c r="F40" s="197"/>
      <c r="G40" s="199">
        <v>15</v>
      </c>
      <c r="H40" s="199">
        <v>15</v>
      </c>
      <c r="I40" s="199">
        <v>15</v>
      </c>
      <c r="J40" s="199">
        <v>15</v>
      </c>
      <c r="K40" s="199">
        <v>0</v>
      </c>
      <c r="L40" s="199">
        <v>15</v>
      </c>
      <c r="M40" s="315">
        <v>14.210526315789473</v>
      </c>
      <c r="N40" s="315">
        <v>0</v>
      </c>
      <c r="O40" s="315">
        <v>23.684210526315788</v>
      </c>
      <c r="P40" s="316">
        <f t="shared" si="3"/>
        <v>341.92105263157896</v>
      </c>
      <c r="Q40" s="316">
        <f t="shared" si="4"/>
        <v>56.55</v>
      </c>
      <c r="R40" s="316">
        <f t="shared" si="5"/>
        <v>53.936842105263153</v>
      </c>
      <c r="S40" s="317">
        <f t="shared" si="6"/>
        <v>452.40789473684208</v>
      </c>
      <c r="T40" s="318">
        <f t="shared" si="7"/>
        <v>191.1</v>
      </c>
      <c r="U40" s="319">
        <f t="shared" si="8"/>
        <v>134.55000000000001</v>
      </c>
      <c r="V40" s="319">
        <f t="shared" si="0"/>
        <v>126.75789473684208</v>
      </c>
      <c r="X40" s="320">
        <f t="shared" si="9"/>
        <v>152.88</v>
      </c>
      <c r="Y40" s="320">
        <f t="shared" si="9"/>
        <v>107.64000000000001</v>
      </c>
      <c r="Z40" s="320">
        <f t="shared" si="9"/>
        <v>101.40631578947367</v>
      </c>
      <c r="AB40" s="123" t="s">
        <v>192</v>
      </c>
      <c r="AI40" s="123">
        <v>150.15</v>
      </c>
      <c r="AJ40" s="320">
        <f t="shared" si="10"/>
        <v>40.949999999999989</v>
      </c>
    </row>
    <row r="41" spans="1:36" hidden="1" x14ac:dyDescent="0.35">
      <c r="A41" s="197">
        <v>3302008</v>
      </c>
      <c r="B41" s="197">
        <v>2008</v>
      </c>
      <c r="C41" s="197" t="s">
        <v>133</v>
      </c>
      <c r="D41" s="198" t="s">
        <v>27</v>
      </c>
      <c r="E41" s="198"/>
      <c r="F41" s="197"/>
      <c r="G41" s="199">
        <v>105</v>
      </c>
      <c r="H41" s="199">
        <v>0</v>
      </c>
      <c r="I41" s="199">
        <v>360</v>
      </c>
      <c r="J41" s="199">
        <v>105</v>
      </c>
      <c r="K41" s="199">
        <v>0</v>
      </c>
      <c r="L41" s="199">
        <v>300</v>
      </c>
      <c r="M41" s="315">
        <v>142.10526315789474</v>
      </c>
      <c r="N41" s="315">
        <v>9.473684210526315</v>
      </c>
      <c r="O41" s="315">
        <v>307.89473684210526</v>
      </c>
      <c r="P41" s="316">
        <f t="shared" si="3"/>
        <v>2705.5105263157893</v>
      </c>
      <c r="Q41" s="316">
        <f t="shared" si="4"/>
        <v>32.968421052631577</v>
      </c>
      <c r="R41" s="316">
        <f t="shared" si="5"/>
        <v>981.97894736842113</v>
      </c>
      <c r="S41" s="317">
        <f t="shared" si="6"/>
        <v>3720.4578947368418</v>
      </c>
      <c r="T41" s="318">
        <f t="shared" si="7"/>
        <v>1207.05</v>
      </c>
      <c r="U41" s="319">
        <f t="shared" si="8"/>
        <v>1144.6500000000001</v>
      </c>
      <c r="V41" s="319">
        <f t="shared" si="0"/>
        <v>1368.7578947368422</v>
      </c>
      <c r="X41" s="320">
        <f t="shared" si="9"/>
        <v>965.64</v>
      </c>
      <c r="Y41" s="320">
        <f t="shared" si="9"/>
        <v>915.72000000000014</v>
      </c>
      <c r="Z41" s="320">
        <f t="shared" si="9"/>
        <v>1095.0063157894738</v>
      </c>
      <c r="AB41" s="123" t="s">
        <v>132</v>
      </c>
      <c r="AI41" s="123">
        <v>1604.85</v>
      </c>
      <c r="AJ41" s="320">
        <f t="shared" si="10"/>
        <v>-397.79999999999995</v>
      </c>
    </row>
    <row r="42" spans="1:36" hidden="1" x14ac:dyDescent="0.35">
      <c r="A42" s="197">
        <v>3302011</v>
      </c>
      <c r="B42" s="197">
        <v>2011</v>
      </c>
      <c r="C42" s="197" t="s">
        <v>169</v>
      </c>
      <c r="D42" s="198" t="s">
        <v>27</v>
      </c>
      <c r="E42" s="198"/>
      <c r="F42" s="197"/>
      <c r="G42" s="199">
        <v>165</v>
      </c>
      <c r="H42" s="199">
        <v>30</v>
      </c>
      <c r="I42" s="199">
        <v>45</v>
      </c>
      <c r="J42" s="199">
        <v>165</v>
      </c>
      <c r="K42" s="199">
        <v>30</v>
      </c>
      <c r="L42" s="199">
        <v>45</v>
      </c>
      <c r="M42" s="315">
        <v>71.05263157894737</v>
      </c>
      <c r="N42" s="315">
        <v>18.94736842105263</v>
      </c>
      <c r="O42" s="315">
        <v>37.89473684210526</v>
      </c>
      <c r="P42" s="316">
        <f t="shared" si="3"/>
        <v>3137.0052631578947</v>
      </c>
      <c r="Q42" s="316">
        <f t="shared" si="4"/>
        <v>292.13684210526316</v>
      </c>
      <c r="R42" s="316">
        <f t="shared" si="5"/>
        <v>129.97894736842107</v>
      </c>
      <c r="S42" s="317">
        <f t="shared" si="6"/>
        <v>3559.121052631579</v>
      </c>
      <c r="T42" s="318">
        <f t="shared" si="7"/>
        <v>1468.3499999999997</v>
      </c>
      <c r="U42" s="319">
        <f t="shared" si="8"/>
        <v>1468.3499999999997</v>
      </c>
      <c r="V42" s="319">
        <f t="shared" si="0"/>
        <v>622.42105263157896</v>
      </c>
      <c r="X42" s="320">
        <f t="shared" si="9"/>
        <v>1174.6799999999998</v>
      </c>
      <c r="Y42" s="320">
        <f t="shared" si="9"/>
        <v>1174.6799999999998</v>
      </c>
      <c r="Z42" s="320">
        <f t="shared" si="9"/>
        <v>497.93684210526317</v>
      </c>
      <c r="AB42" s="123" t="s">
        <v>168</v>
      </c>
      <c r="AI42" s="123">
        <v>325.64999999999998</v>
      </c>
      <c r="AJ42" s="320">
        <f t="shared" si="10"/>
        <v>1142.6999999999998</v>
      </c>
    </row>
    <row r="43" spans="1:36" hidden="1" x14ac:dyDescent="0.35">
      <c r="A43" s="197">
        <v>3302014</v>
      </c>
      <c r="B43" s="197">
        <v>2014</v>
      </c>
      <c r="C43" s="197" t="s">
        <v>187</v>
      </c>
      <c r="D43" s="198" t="s">
        <v>245</v>
      </c>
      <c r="E43" s="198"/>
      <c r="F43" s="197"/>
      <c r="G43" s="199">
        <v>90</v>
      </c>
      <c r="H43" s="199">
        <v>240</v>
      </c>
      <c r="I43" s="199">
        <v>30</v>
      </c>
      <c r="J43" s="199">
        <v>75</v>
      </c>
      <c r="K43" s="199">
        <v>300</v>
      </c>
      <c r="L43" s="199">
        <v>30</v>
      </c>
      <c r="M43" s="315">
        <v>47.368421052631575</v>
      </c>
      <c r="N43" s="315">
        <v>241.57894736842104</v>
      </c>
      <c r="O43" s="315">
        <v>28.421052631578945</v>
      </c>
      <c r="P43" s="316">
        <f t="shared" si="3"/>
        <v>1655.1868421052629</v>
      </c>
      <c r="Q43" s="316">
        <f t="shared" si="4"/>
        <v>2876.4947368421053</v>
      </c>
      <c r="R43" s="316">
        <f t="shared" si="5"/>
        <v>89.68421052631578</v>
      </c>
      <c r="S43" s="317">
        <f t="shared" si="6"/>
        <v>4621.3657894736843</v>
      </c>
      <c r="T43" s="318">
        <f t="shared" si="7"/>
        <v>1649.7</v>
      </c>
      <c r="U43" s="319">
        <f t="shared" si="8"/>
        <v>1756.95</v>
      </c>
      <c r="V43" s="319">
        <f t="shared" si="0"/>
        <v>1214.715789473684</v>
      </c>
      <c r="X43" s="320">
        <f t="shared" si="9"/>
        <v>1319.7600000000002</v>
      </c>
      <c r="Y43" s="320">
        <f t="shared" si="9"/>
        <v>1405.5600000000002</v>
      </c>
      <c r="Z43" s="320">
        <f t="shared" si="9"/>
        <v>971.77263157894731</v>
      </c>
      <c r="AB43" s="123" t="s">
        <v>186</v>
      </c>
      <c r="AI43" s="123">
        <v>1333.7999999999997</v>
      </c>
      <c r="AJ43" s="320">
        <f t="shared" si="10"/>
        <v>315.90000000000032</v>
      </c>
    </row>
    <row r="44" spans="1:36" hidden="1" x14ac:dyDescent="0.35">
      <c r="A44" s="197">
        <v>3302015</v>
      </c>
      <c r="B44" s="197">
        <v>2015</v>
      </c>
      <c r="C44" s="197" t="s">
        <v>99</v>
      </c>
      <c r="D44" s="198" t="s">
        <v>27</v>
      </c>
      <c r="E44" s="198"/>
      <c r="F44" s="197"/>
      <c r="G44" s="199">
        <v>195</v>
      </c>
      <c r="H44" s="199">
        <v>180</v>
      </c>
      <c r="I44" s="199">
        <v>270</v>
      </c>
      <c r="J44" s="199">
        <v>195</v>
      </c>
      <c r="K44" s="199">
        <v>150</v>
      </c>
      <c r="L44" s="199">
        <v>270</v>
      </c>
      <c r="M44" s="315">
        <v>151.57894736842104</v>
      </c>
      <c r="N44" s="315">
        <v>118.42105263157895</v>
      </c>
      <c r="O44" s="315">
        <v>189.4736842105263</v>
      </c>
      <c r="P44" s="316">
        <f t="shared" si="3"/>
        <v>4202.257894736842</v>
      </c>
      <c r="Q44" s="316">
        <f t="shared" si="4"/>
        <v>1656.2052631578945</v>
      </c>
      <c r="R44" s="316">
        <f t="shared" si="5"/>
        <v>743.49473684210534</v>
      </c>
      <c r="S44" s="317">
        <f t="shared" si="6"/>
        <v>6601.9578947368418</v>
      </c>
      <c r="T44" s="318">
        <f t="shared" si="7"/>
        <v>2505.75</v>
      </c>
      <c r="U44" s="319">
        <f t="shared" si="8"/>
        <v>2392.6500000000005</v>
      </c>
      <c r="V44" s="319">
        <f t="shared" si="0"/>
        <v>1703.5578947368419</v>
      </c>
      <c r="X44" s="320">
        <f t="shared" si="9"/>
        <v>2004.6000000000001</v>
      </c>
      <c r="Y44" s="320">
        <f t="shared" si="9"/>
        <v>1914.1200000000006</v>
      </c>
      <c r="Z44" s="320">
        <f t="shared" si="9"/>
        <v>1362.8463157894737</v>
      </c>
      <c r="AB44" s="123" t="s">
        <v>98</v>
      </c>
      <c r="AI44" s="123">
        <v>1622.3999999999999</v>
      </c>
      <c r="AJ44" s="320">
        <f t="shared" si="10"/>
        <v>883.35000000000014</v>
      </c>
    </row>
    <row r="45" spans="1:36" hidden="1" x14ac:dyDescent="0.35">
      <c r="A45" s="197">
        <v>3302018</v>
      </c>
      <c r="B45" s="197">
        <v>2018</v>
      </c>
      <c r="C45" s="197" t="s">
        <v>254</v>
      </c>
      <c r="D45" s="198" t="s">
        <v>49</v>
      </c>
      <c r="E45" s="198"/>
      <c r="F45" s="197"/>
      <c r="G45" s="199">
        <v>630</v>
      </c>
      <c r="H45" s="199">
        <v>120</v>
      </c>
      <c r="I45" s="199">
        <v>15</v>
      </c>
      <c r="J45" s="199">
        <v>510</v>
      </c>
      <c r="K45" s="199">
        <v>90</v>
      </c>
      <c r="L45" s="199">
        <v>0</v>
      </c>
      <c r="M45" s="315">
        <v>544.73684210526312</v>
      </c>
      <c r="N45" s="315">
        <v>80.526315789473685</v>
      </c>
      <c r="O45" s="315">
        <v>9.473684210526315</v>
      </c>
      <c r="P45" s="316">
        <f t="shared" si="3"/>
        <v>13027.673684210527</v>
      </c>
      <c r="Q45" s="316">
        <f t="shared" si="4"/>
        <v>1071.9315789473683</v>
      </c>
      <c r="R45" s="316">
        <f t="shared" si="5"/>
        <v>24.694736842105264</v>
      </c>
      <c r="S45" s="317">
        <f t="shared" si="6"/>
        <v>14124.300000000001</v>
      </c>
      <c r="T45" s="318">
        <f t="shared" si="7"/>
        <v>5463.9000000000005</v>
      </c>
      <c r="U45" s="319">
        <f t="shared" si="8"/>
        <v>4383.5999999999995</v>
      </c>
      <c r="V45" s="319">
        <f t="shared" si="0"/>
        <v>4276.8</v>
      </c>
      <c r="X45" s="320">
        <f t="shared" si="9"/>
        <v>4371.1200000000008</v>
      </c>
      <c r="Y45" s="320">
        <f t="shared" si="9"/>
        <v>3506.8799999999997</v>
      </c>
      <c r="Z45" s="320">
        <f t="shared" si="9"/>
        <v>3421.4400000000005</v>
      </c>
      <c r="AB45" s="123">
        <v>6477.9000000000005</v>
      </c>
      <c r="AC45" s="320">
        <f t="shared" ref="AC45:AC47" si="11">AB45-T45</f>
        <v>1014</v>
      </c>
      <c r="AI45" s="123">
        <v>6477.9000000000005</v>
      </c>
      <c r="AJ45" s="320">
        <f t="shared" si="10"/>
        <v>-1014</v>
      </c>
    </row>
    <row r="46" spans="1:36" hidden="1" x14ac:dyDescent="0.35">
      <c r="A46" s="197">
        <v>3302020</v>
      </c>
      <c r="B46" s="197">
        <v>2020</v>
      </c>
      <c r="C46" s="197" t="s">
        <v>255</v>
      </c>
      <c r="D46" s="198" t="s">
        <v>49</v>
      </c>
      <c r="E46" s="198"/>
      <c r="F46" s="197"/>
      <c r="G46" s="199">
        <v>15</v>
      </c>
      <c r="H46" s="199">
        <v>120</v>
      </c>
      <c r="I46" s="199">
        <v>300</v>
      </c>
      <c r="J46" s="199">
        <v>0</v>
      </c>
      <c r="K46" s="199">
        <v>105</v>
      </c>
      <c r="L46" s="199">
        <v>240</v>
      </c>
      <c r="M46" s="315">
        <v>0</v>
      </c>
      <c r="N46" s="315">
        <v>99.473684210526301</v>
      </c>
      <c r="O46" s="315">
        <v>251.0526315789474</v>
      </c>
      <c r="P46" s="316">
        <f t="shared" si="3"/>
        <v>118.95</v>
      </c>
      <c r="Q46" s="316">
        <f t="shared" si="4"/>
        <v>1194.4184210526314</v>
      </c>
      <c r="R46" s="316">
        <f t="shared" si="5"/>
        <v>802.61052631578957</v>
      </c>
      <c r="S46" s="317">
        <f t="shared" si="6"/>
        <v>2115.9789473684209</v>
      </c>
      <c r="T46" s="318">
        <f t="shared" si="7"/>
        <v>883.35</v>
      </c>
      <c r="U46" s="319">
        <f t="shared" si="8"/>
        <v>645.44999999999993</v>
      </c>
      <c r="V46" s="319">
        <f t="shared" si="0"/>
        <v>587.17894736842106</v>
      </c>
      <c r="X46" s="320">
        <f t="shared" si="9"/>
        <v>706.68000000000006</v>
      </c>
      <c r="Y46" s="320">
        <f t="shared" si="9"/>
        <v>516.36</v>
      </c>
      <c r="Z46" s="320">
        <f t="shared" si="9"/>
        <v>469.7431578947369</v>
      </c>
      <c r="AB46" s="123">
        <v>676.65</v>
      </c>
      <c r="AC46" s="320">
        <f t="shared" si="11"/>
        <v>-206.70000000000005</v>
      </c>
      <c r="AI46" s="123">
        <v>676.65</v>
      </c>
      <c r="AJ46" s="320">
        <f t="shared" si="10"/>
        <v>206.70000000000005</v>
      </c>
    </row>
    <row r="47" spans="1:36" hidden="1" x14ac:dyDescent="0.35">
      <c r="A47" s="197">
        <v>3302021</v>
      </c>
      <c r="B47" s="197">
        <v>2021</v>
      </c>
      <c r="C47" s="197" t="s">
        <v>256</v>
      </c>
      <c r="D47" s="198" t="s">
        <v>49</v>
      </c>
      <c r="E47" s="198"/>
      <c r="F47" s="197"/>
      <c r="G47" s="199">
        <v>15</v>
      </c>
      <c r="H47" s="199">
        <v>225</v>
      </c>
      <c r="I47" s="199">
        <v>30</v>
      </c>
      <c r="J47" s="199">
        <v>0</v>
      </c>
      <c r="K47" s="199">
        <v>165</v>
      </c>
      <c r="L47" s="199">
        <v>30</v>
      </c>
      <c r="M47" s="315">
        <v>47.368421052631575</v>
      </c>
      <c r="N47" s="315">
        <v>137.36842105263159</v>
      </c>
      <c r="O47" s="315">
        <v>52.10526315789474</v>
      </c>
      <c r="P47" s="316">
        <f t="shared" si="3"/>
        <v>465.68684210526311</v>
      </c>
      <c r="Q47" s="316">
        <f t="shared" si="4"/>
        <v>1948.3421052631579</v>
      </c>
      <c r="R47" s="316">
        <f t="shared" si="5"/>
        <v>112.42105263157896</v>
      </c>
      <c r="S47" s="317">
        <f t="shared" si="6"/>
        <v>2526.4499999999998</v>
      </c>
      <c r="T47" s="318">
        <f t="shared" si="7"/>
        <v>998.40000000000009</v>
      </c>
      <c r="U47" s="319">
        <f t="shared" si="8"/>
        <v>653.25</v>
      </c>
      <c r="V47" s="319">
        <f t="shared" si="0"/>
        <v>874.80000000000007</v>
      </c>
      <c r="X47" s="320">
        <f t="shared" si="9"/>
        <v>798.72000000000014</v>
      </c>
      <c r="Y47" s="320">
        <f t="shared" si="9"/>
        <v>522.6</v>
      </c>
      <c r="Z47" s="320">
        <f t="shared" si="9"/>
        <v>699.84000000000015</v>
      </c>
      <c r="AB47" s="123">
        <v>1244.0999999999999</v>
      </c>
      <c r="AC47" s="320">
        <f t="shared" si="11"/>
        <v>245.69999999999982</v>
      </c>
      <c r="AI47" s="123">
        <v>1244.0999999999999</v>
      </c>
      <c r="AJ47" s="320">
        <f t="shared" si="10"/>
        <v>-245.69999999999982</v>
      </c>
    </row>
    <row r="48" spans="1:36" hidden="1" x14ac:dyDescent="0.35">
      <c r="A48" s="197">
        <v>3302030</v>
      </c>
      <c r="B48" s="197">
        <v>2030</v>
      </c>
      <c r="C48" s="197" t="s">
        <v>44</v>
      </c>
      <c r="D48" s="198" t="s">
        <v>27</v>
      </c>
      <c r="E48" s="198"/>
      <c r="F48" s="197"/>
      <c r="G48" s="199">
        <v>30</v>
      </c>
      <c r="H48" s="199">
        <v>30</v>
      </c>
      <c r="I48" s="199">
        <v>555</v>
      </c>
      <c r="J48" s="199">
        <v>30</v>
      </c>
      <c r="K48" s="199">
        <v>60</v>
      </c>
      <c r="L48" s="199">
        <v>525</v>
      </c>
      <c r="M48" s="315">
        <v>18.94736842105263</v>
      </c>
      <c r="N48" s="315">
        <v>108.94736842105263</v>
      </c>
      <c r="O48" s="315">
        <v>506.84210526315792</v>
      </c>
      <c r="P48" s="316">
        <f t="shared" si="3"/>
        <v>614.49473684210534</v>
      </c>
      <c r="Q48" s="316">
        <f t="shared" si="4"/>
        <v>718.43684210526305</v>
      </c>
      <c r="R48" s="316">
        <f t="shared" si="5"/>
        <v>1609.7684210526313</v>
      </c>
      <c r="S48" s="317">
        <f t="shared" si="6"/>
        <v>2942.7</v>
      </c>
      <c r="T48" s="318">
        <f t="shared" si="7"/>
        <v>928.19999999999993</v>
      </c>
      <c r="U48" s="319">
        <f t="shared" si="8"/>
        <v>1010.1</v>
      </c>
      <c r="V48" s="319">
        <f t="shared" si="0"/>
        <v>1004.4</v>
      </c>
      <c r="X48" s="320">
        <f t="shared" si="9"/>
        <v>742.56</v>
      </c>
      <c r="Y48" s="320">
        <f t="shared" si="9"/>
        <v>808.08</v>
      </c>
      <c r="Z48" s="320">
        <f t="shared" si="9"/>
        <v>803.52</v>
      </c>
      <c r="AB48" s="123" t="s">
        <v>43</v>
      </c>
      <c r="AI48" s="123">
        <v>1189.5</v>
      </c>
      <c r="AJ48" s="320">
        <f t="shared" si="10"/>
        <v>-261.30000000000007</v>
      </c>
    </row>
    <row r="49" spans="1:36" hidden="1" x14ac:dyDescent="0.35">
      <c r="A49" s="197">
        <v>3302036</v>
      </c>
      <c r="B49" s="197">
        <v>2036</v>
      </c>
      <c r="C49" s="197" t="s">
        <v>257</v>
      </c>
      <c r="D49" s="198" t="s">
        <v>49</v>
      </c>
      <c r="E49" s="198"/>
      <c r="F49" s="197"/>
      <c r="G49" s="199">
        <v>30</v>
      </c>
      <c r="H49" s="199">
        <v>210</v>
      </c>
      <c r="I49" s="199">
        <v>75</v>
      </c>
      <c r="J49" s="199">
        <v>15</v>
      </c>
      <c r="K49" s="199">
        <v>135</v>
      </c>
      <c r="L49" s="199">
        <v>45</v>
      </c>
      <c r="M49" s="315">
        <v>14.210526315789473</v>
      </c>
      <c r="N49" s="315">
        <v>184.73684210526318</v>
      </c>
      <c r="O49" s="315">
        <v>33.157894736842103</v>
      </c>
      <c r="P49" s="316">
        <f t="shared" si="3"/>
        <v>460.87105263157895</v>
      </c>
      <c r="Q49" s="316">
        <f t="shared" si="4"/>
        <v>1943.5342105263157</v>
      </c>
      <c r="R49" s="316">
        <f t="shared" si="5"/>
        <v>156.63157894736844</v>
      </c>
      <c r="S49" s="317">
        <f t="shared" si="6"/>
        <v>2561.0368421052631</v>
      </c>
      <c r="T49" s="318">
        <f t="shared" si="7"/>
        <v>1107.5999999999999</v>
      </c>
      <c r="U49" s="319">
        <f t="shared" si="8"/>
        <v>674.69999999999993</v>
      </c>
      <c r="V49" s="319">
        <f t="shared" si="0"/>
        <v>778.73684210526312</v>
      </c>
      <c r="X49" s="320">
        <f t="shared" si="9"/>
        <v>886.07999999999993</v>
      </c>
      <c r="Y49" s="320">
        <f t="shared" si="9"/>
        <v>539.76</v>
      </c>
      <c r="Z49" s="320">
        <f t="shared" si="9"/>
        <v>622.98947368421057</v>
      </c>
      <c r="AB49" s="123">
        <v>941.85</v>
      </c>
      <c r="AC49" s="320">
        <f t="shared" ref="AC49:AC52" si="12">AB49-T49</f>
        <v>-165.74999999999989</v>
      </c>
      <c r="AI49" s="123">
        <v>941.85</v>
      </c>
      <c r="AJ49" s="320">
        <f t="shared" si="10"/>
        <v>165.74999999999989</v>
      </c>
    </row>
    <row r="50" spans="1:36" hidden="1" x14ac:dyDescent="0.35">
      <c r="A50" s="197">
        <v>3302037</v>
      </c>
      <c r="B50" s="197">
        <v>2037</v>
      </c>
      <c r="C50" s="197" t="s">
        <v>258</v>
      </c>
      <c r="D50" s="198" t="s">
        <v>49</v>
      </c>
      <c r="E50" s="198"/>
      <c r="F50" s="197"/>
      <c r="G50" s="199">
        <v>0</v>
      </c>
      <c r="H50" s="199">
        <v>75</v>
      </c>
      <c r="I50" s="199">
        <v>150</v>
      </c>
      <c r="J50" s="199">
        <v>0</v>
      </c>
      <c r="K50" s="199">
        <v>60</v>
      </c>
      <c r="L50" s="199">
        <v>135</v>
      </c>
      <c r="M50" s="315">
        <v>0</v>
      </c>
      <c r="N50" s="315">
        <v>47.368421052631575</v>
      </c>
      <c r="O50" s="315">
        <v>194.21052631578948</v>
      </c>
      <c r="P50" s="316">
        <f t="shared" si="3"/>
        <v>0</v>
      </c>
      <c r="Q50" s="316">
        <f t="shared" si="4"/>
        <v>673.79210526315785</v>
      </c>
      <c r="R50" s="316">
        <f t="shared" si="5"/>
        <v>482.84210526315786</v>
      </c>
      <c r="S50" s="317">
        <f t="shared" si="6"/>
        <v>1156.6342105263157</v>
      </c>
      <c r="T50" s="318">
        <f t="shared" si="7"/>
        <v>438.75</v>
      </c>
      <c r="U50" s="319">
        <f t="shared" si="8"/>
        <v>366.6</v>
      </c>
      <c r="V50" s="319">
        <f t="shared" si="0"/>
        <v>351.28421052631575</v>
      </c>
      <c r="X50" s="320">
        <f t="shared" si="9"/>
        <v>351</v>
      </c>
      <c r="Y50" s="320">
        <f t="shared" si="9"/>
        <v>293.28000000000003</v>
      </c>
      <c r="Z50" s="320">
        <f t="shared" si="9"/>
        <v>281.02736842105259</v>
      </c>
      <c r="AB50" s="123">
        <v>419.25</v>
      </c>
      <c r="AC50" s="320">
        <f t="shared" si="12"/>
        <v>-19.5</v>
      </c>
      <c r="AI50" s="123">
        <v>419.25</v>
      </c>
      <c r="AJ50" s="320">
        <f t="shared" si="10"/>
        <v>19.5</v>
      </c>
    </row>
    <row r="51" spans="1:36" hidden="1" x14ac:dyDescent="0.35">
      <c r="A51" s="279">
        <v>3302038</v>
      </c>
      <c r="B51" s="279">
        <v>2038</v>
      </c>
      <c r="C51" s="279" t="s">
        <v>259</v>
      </c>
      <c r="D51" s="280" t="s">
        <v>49</v>
      </c>
      <c r="E51" s="198"/>
      <c r="F51" s="197"/>
      <c r="G51" s="199">
        <v>0</v>
      </c>
      <c r="H51" s="199">
        <v>0</v>
      </c>
      <c r="I51" s="199">
        <v>0</v>
      </c>
      <c r="J51" s="199">
        <v>75</v>
      </c>
      <c r="K51" s="199">
        <v>0</v>
      </c>
      <c r="L51" s="199">
        <v>180</v>
      </c>
      <c r="M51" s="315">
        <v>33.157894736842103</v>
      </c>
      <c r="N51" s="315">
        <v>4.7368421052631575</v>
      </c>
      <c r="O51" s="315">
        <v>61.578947368421055</v>
      </c>
      <c r="P51" s="316">
        <f t="shared" si="3"/>
        <v>837.46578947368414</v>
      </c>
      <c r="Q51" s="316">
        <f t="shared" si="4"/>
        <v>16.484210526315788</v>
      </c>
      <c r="R51" s="316">
        <f t="shared" si="5"/>
        <v>246.31578947368422</v>
      </c>
      <c r="S51" s="317">
        <f t="shared" si="6"/>
        <v>1100.2657894736842</v>
      </c>
      <c r="T51" s="318">
        <f t="shared" si="7"/>
        <v>0</v>
      </c>
      <c r="U51" s="319">
        <f t="shared" si="8"/>
        <v>781.95</v>
      </c>
      <c r="V51" s="319">
        <f t="shared" si="0"/>
        <v>318.31578947368416</v>
      </c>
      <c r="X51" s="320">
        <f t="shared" si="9"/>
        <v>0</v>
      </c>
      <c r="Y51" s="320">
        <f t="shared" si="9"/>
        <v>625.56000000000006</v>
      </c>
      <c r="Z51" s="320">
        <f t="shared" si="9"/>
        <v>254.65263157894734</v>
      </c>
      <c r="AB51" s="123">
        <v>175.5</v>
      </c>
      <c r="AC51" s="320">
        <f t="shared" si="12"/>
        <v>175.5</v>
      </c>
      <c r="AI51" s="123">
        <v>175.5</v>
      </c>
      <c r="AJ51" s="320">
        <f t="shared" si="10"/>
        <v>-175.5</v>
      </c>
    </row>
    <row r="52" spans="1:36" hidden="1" x14ac:dyDescent="0.35">
      <c r="A52" s="197">
        <v>3302039</v>
      </c>
      <c r="B52" s="197">
        <v>2039</v>
      </c>
      <c r="C52" s="197" t="s">
        <v>260</v>
      </c>
      <c r="D52" s="198" t="s">
        <v>49</v>
      </c>
      <c r="E52" s="198"/>
      <c r="F52" s="197"/>
      <c r="G52" s="199">
        <v>0</v>
      </c>
      <c r="H52" s="199">
        <v>30</v>
      </c>
      <c r="I52" s="199">
        <v>405</v>
      </c>
      <c r="J52" s="199">
        <v>0</v>
      </c>
      <c r="K52" s="199">
        <v>30</v>
      </c>
      <c r="L52" s="199">
        <v>450</v>
      </c>
      <c r="M52" s="315">
        <v>0</v>
      </c>
      <c r="N52" s="315">
        <v>47.368421052631575</v>
      </c>
      <c r="O52" s="315">
        <v>360</v>
      </c>
      <c r="P52" s="316">
        <f t="shared" si="3"/>
        <v>0</v>
      </c>
      <c r="Q52" s="316">
        <f t="shared" si="4"/>
        <v>391.04210526315785</v>
      </c>
      <c r="R52" s="316">
        <f t="shared" si="5"/>
        <v>1234.8000000000002</v>
      </c>
      <c r="S52" s="317">
        <f t="shared" si="6"/>
        <v>1625.8421052631579</v>
      </c>
      <c r="T52" s="318">
        <f t="shared" si="7"/>
        <v>534.29999999999995</v>
      </c>
      <c r="U52" s="319">
        <f t="shared" si="8"/>
        <v>581.1</v>
      </c>
      <c r="V52" s="319">
        <f t="shared" si="0"/>
        <v>510.44210526315788</v>
      </c>
      <c r="X52" s="320">
        <f t="shared" si="9"/>
        <v>427.44</v>
      </c>
      <c r="Y52" s="320">
        <f t="shared" si="9"/>
        <v>464.88000000000005</v>
      </c>
      <c r="Z52" s="320">
        <f t="shared" si="9"/>
        <v>408.35368421052635</v>
      </c>
      <c r="AB52" s="123">
        <v>553.79999999999995</v>
      </c>
      <c r="AC52" s="320">
        <f t="shared" si="12"/>
        <v>19.5</v>
      </c>
      <c r="AI52" s="123">
        <v>553.79999999999995</v>
      </c>
      <c r="AJ52" s="320">
        <f t="shared" si="10"/>
        <v>-19.5</v>
      </c>
    </row>
    <row r="53" spans="1:36" hidden="1" x14ac:dyDescent="0.35">
      <c r="A53" s="197">
        <v>3302040</v>
      </c>
      <c r="B53" s="197">
        <v>2040</v>
      </c>
      <c r="C53" s="197" t="s">
        <v>55</v>
      </c>
      <c r="D53" s="198" t="s">
        <v>27</v>
      </c>
      <c r="E53" s="198"/>
      <c r="F53" s="197"/>
      <c r="G53" s="199">
        <v>0</v>
      </c>
      <c r="H53" s="199">
        <v>15</v>
      </c>
      <c r="I53" s="199">
        <v>30</v>
      </c>
      <c r="J53" s="199">
        <v>0</v>
      </c>
      <c r="K53" s="199">
        <v>15</v>
      </c>
      <c r="L53" s="199">
        <v>30</v>
      </c>
      <c r="M53" s="315">
        <v>0</v>
      </c>
      <c r="N53" s="315">
        <v>4.7368421052631575</v>
      </c>
      <c r="O53" s="315">
        <v>9.473684210526315</v>
      </c>
      <c r="P53" s="316">
        <f t="shared" si="3"/>
        <v>0</v>
      </c>
      <c r="Q53" s="316">
        <f t="shared" si="4"/>
        <v>129.58421052631579</v>
      </c>
      <c r="R53" s="316">
        <f t="shared" si="5"/>
        <v>71.494736842105254</v>
      </c>
      <c r="S53" s="317">
        <f t="shared" si="6"/>
        <v>201.07894736842104</v>
      </c>
      <c r="T53" s="318">
        <f t="shared" si="7"/>
        <v>87.75</v>
      </c>
      <c r="U53" s="319">
        <f t="shared" si="8"/>
        <v>87.75</v>
      </c>
      <c r="V53" s="319">
        <f t="shared" si="0"/>
        <v>25.578947368421051</v>
      </c>
      <c r="X53" s="320">
        <f t="shared" si="9"/>
        <v>70.2</v>
      </c>
      <c r="Y53" s="320">
        <f t="shared" si="9"/>
        <v>70.2</v>
      </c>
      <c r="Z53" s="320">
        <f t="shared" si="9"/>
        <v>20.463157894736842</v>
      </c>
      <c r="AB53" s="123" t="s">
        <v>54</v>
      </c>
      <c r="AI53" s="123">
        <v>0</v>
      </c>
      <c r="AJ53" s="320">
        <f t="shared" si="10"/>
        <v>87.75</v>
      </c>
    </row>
    <row r="54" spans="1:36" hidden="1" x14ac:dyDescent="0.35">
      <c r="A54" s="197">
        <v>3302048</v>
      </c>
      <c r="B54" s="197">
        <v>2048</v>
      </c>
      <c r="C54" s="197" t="s">
        <v>261</v>
      </c>
      <c r="D54" s="198" t="s">
        <v>49</v>
      </c>
      <c r="E54" s="198"/>
      <c r="F54" s="197"/>
      <c r="G54" s="199">
        <v>15</v>
      </c>
      <c r="H54" s="199">
        <v>150</v>
      </c>
      <c r="I54" s="199">
        <v>15</v>
      </c>
      <c r="J54" s="199">
        <v>15</v>
      </c>
      <c r="K54" s="199">
        <v>75</v>
      </c>
      <c r="L54" s="199">
        <v>15</v>
      </c>
      <c r="M54" s="315">
        <v>4.7368421052631575</v>
      </c>
      <c r="N54" s="315">
        <v>90</v>
      </c>
      <c r="O54" s="315">
        <v>4.7368421052631575</v>
      </c>
      <c r="P54" s="316">
        <f t="shared" si="3"/>
        <v>272.57368421052632</v>
      </c>
      <c r="Q54" s="316">
        <f t="shared" si="4"/>
        <v>1161.45</v>
      </c>
      <c r="R54" s="316">
        <f t="shared" si="5"/>
        <v>35.747368421052627</v>
      </c>
      <c r="S54" s="317">
        <f t="shared" si="6"/>
        <v>1469.7710526315791</v>
      </c>
      <c r="T54" s="318">
        <f t="shared" si="7"/>
        <v>700.05000000000007</v>
      </c>
      <c r="U54" s="319">
        <f t="shared" si="8"/>
        <v>417.3</v>
      </c>
      <c r="V54" s="319">
        <f t="shared" si="0"/>
        <v>352.42105263157896</v>
      </c>
      <c r="X54" s="320">
        <f t="shared" si="9"/>
        <v>560.04000000000008</v>
      </c>
      <c r="Y54" s="320">
        <f t="shared" si="9"/>
        <v>333.84000000000003</v>
      </c>
      <c r="Z54" s="320">
        <f t="shared" si="9"/>
        <v>281.93684210526317</v>
      </c>
      <c r="AB54" s="123">
        <v>395.84999999999997</v>
      </c>
      <c r="AC54" s="320">
        <f>AB54-T54</f>
        <v>-304.2000000000001</v>
      </c>
      <c r="AI54" s="123">
        <v>395.84999999999997</v>
      </c>
      <c r="AJ54" s="320">
        <f t="shared" si="10"/>
        <v>304.2000000000001</v>
      </c>
    </row>
    <row r="55" spans="1:36" hidden="1" x14ac:dyDescent="0.35">
      <c r="A55" s="197">
        <v>3302054</v>
      </c>
      <c r="B55" s="197">
        <v>2054</v>
      </c>
      <c r="C55" s="197" t="s">
        <v>67</v>
      </c>
      <c r="D55" s="198" t="s">
        <v>27</v>
      </c>
      <c r="E55" s="198"/>
      <c r="F55" s="197"/>
      <c r="G55" s="199">
        <v>105</v>
      </c>
      <c r="H55" s="199">
        <v>30</v>
      </c>
      <c r="I55" s="199">
        <v>45</v>
      </c>
      <c r="J55" s="199">
        <v>120</v>
      </c>
      <c r="K55" s="199">
        <v>45</v>
      </c>
      <c r="L55" s="199">
        <v>45</v>
      </c>
      <c r="M55" s="315">
        <v>66.315789473684205</v>
      </c>
      <c r="N55" s="315">
        <v>42.631578947368425</v>
      </c>
      <c r="O55" s="315">
        <v>99.473684210526301</v>
      </c>
      <c r="P55" s="316">
        <f t="shared" si="3"/>
        <v>2269.6815789473685</v>
      </c>
      <c r="Q55" s="316">
        <f t="shared" si="4"/>
        <v>431.10789473684213</v>
      </c>
      <c r="R55" s="316">
        <f t="shared" si="5"/>
        <v>189.09473684210525</v>
      </c>
      <c r="S55" s="317">
        <f t="shared" si="6"/>
        <v>2889.8842105263157</v>
      </c>
      <c r="T55" s="318">
        <f t="shared" si="7"/>
        <v>992.55</v>
      </c>
      <c r="U55" s="319">
        <f t="shared" si="8"/>
        <v>1168.05</v>
      </c>
      <c r="V55" s="319">
        <f t="shared" si="0"/>
        <v>729.28421052631563</v>
      </c>
      <c r="X55" s="320">
        <f t="shared" si="9"/>
        <v>794.04</v>
      </c>
      <c r="Y55" s="320">
        <f t="shared" si="9"/>
        <v>934.44</v>
      </c>
      <c r="Z55" s="320">
        <f t="shared" si="9"/>
        <v>583.42736842105251</v>
      </c>
      <c r="AB55" s="123" t="s">
        <v>66</v>
      </c>
      <c r="AI55" s="123">
        <v>547.94999999999993</v>
      </c>
      <c r="AJ55" s="320">
        <f t="shared" si="10"/>
        <v>444.6</v>
      </c>
    </row>
    <row r="56" spans="1:36" hidden="1" x14ac:dyDescent="0.35">
      <c r="A56" s="197">
        <v>3302055</v>
      </c>
      <c r="B56" s="197">
        <v>2055</v>
      </c>
      <c r="C56" s="197" t="s">
        <v>69</v>
      </c>
      <c r="D56" s="198" t="s">
        <v>27</v>
      </c>
      <c r="E56" s="198"/>
      <c r="F56" s="197"/>
      <c r="G56" s="199">
        <v>15</v>
      </c>
      <c r="H56" s="199">
        <v>45</v>
      </c>
      <c r="I56" s="199">
        <v>120</v>
      </c>
      <c r="J56" s="199">
        <v>30</v>
      </c>
      <c r="K56" s="199">
        <v>45</v>
      </c>
      <c r="L56" s="199">
        <v>120</v>
      </c>
      <c r="M56" s="315">
        <v>9.473684210526315</v>
      </c>
      <c r="N56" s="315">
        <v>52.10526315789474</v>
      </c>
      <c r="O56" s="315">
        <v>73.89473684210526</v>
      </c>
      <c r="P56" s="316">
        <f t="shared" si="3"/>
        <v>426.19736842105266</v>
      </c>
      <c r="Q56" s="316">
        <f t="shared" si="4"/>
        <v>520.62631578947367</v>
      </c>
      <c r="R56" s="316">
        <f t="shared" si="5"/>
        <v>320.53894736842108</v>
      </c>
      <c r="S56" s="317">
        <f t="shared" si="6"/>
        <v>1267.3626315789475</v>
      </c>
      <c r="T56" s="318">
        <f t="shared" si="7"/>
        <v>413.4</v>
      </c>
      <c r="U56" s="319">
        <f t="shared" si="8"/>
        <v>532.34999999999991</v>
      </c>
      <c r="V56" s="319">
        <f t="shared" si="0"/>
        <v>321.61263157894734</v>
      </c>
      <c r="X56" s="320">
        <f t="shared" si="9"/>
        <v>330.72</v>
      </c>
      <c r="Y56" s="320">
        <f t="shared" si="9"/>
        <v>425.87999999999994</v>
      </c>
      <c r="Z56" s="320">
        <f t="shared" si="9"/>
        <v>257.2901052631579</v>
      </c>
      <c r="AB56" s="123" t="s">
        <v>68</v>
      </c>
      <c r="AI56" s="123">
        <v>285.48</v>
      </c>
      <c r="AJ56" s="320">
        <f t="shared" si="10"/>
        <v>127.91999999999996</v>
      </c>
    </row>
    <row r="57" spans="1:36" hidden="1" x14ac:dyDescent="0.35">
      <c r="A57" s="197">
        <v>3302056</v>
      </c>
      <c r="B57" s="197">
        <v>2056</v>
      </c>
      <c r="C57" s="197" t="s">
        <v>262</v>
      </c>
      <c r="D57" s="198" t="s">
        <v>49</v>
      </c>
      <c r="E57" s="198"/>
      <c r="F57" s="197"/>
      <c r="G57" s="199">
        <v>180</v>
      </c>
      <c r="H57" s="199">
        <v>150</v>
      </c>
      <c r="I57" s="199">
        <v>150</v>
      </c>
      <c r="J57" s="199">
        <v>150</v>
      </c>
      <c r="K57" s="199">
        <v>165</v>
      </c>
      <c r="L57" s="199">
        <v>165</v>
      </c>
      <c r="M57" s="315">
        <v>113.68421052631578</v>
      </c>
      <c r="N57" s="315">
        <v>180</v>
      </c>
      <c r="O57" s="315">
        <v>113.68421052631578</v>
      </c>
      <c r="P57" s="316">
        <f t="shared" si="3"/>
        <v>3449.068421052631</v>
      </c>
      <c r="Q57" s="316">
        <f t="shared" si="4"/>
        <v>1813.9499999999998</v>
      </c>
      <c r="R57" s="316">
        <f t="shared" si="5"/>
        <v>436.73684210526318</v>
      </c>
      <c r="S57" s="317">
        <f t="shared" si="6"/>
        <v>5699.7552631578947</v>
      </c>
      <c r="T57" s="318">
        <f t="shared" si="7"/>
        <v>2148.8999999999996</v>
      </c>
      <c r="U57" s="319">
        <f t="shared" si="8"/>
        <v>1983.15</v>
      </c>
      <c r="V57" s="319">
        <f t="shared" si="0"/>
        <v>1567.7052631578947</v>
      </c>
      <c r="X57" s="320">
        <f t="shared" si="9"/>
        <v>1719.12</v>
      </c>
      <c r="Y57" s="320">
        <f t="shared" si="9"/>
        <v>1586.5200000000002</v>
      </c>
      <c r="Z57" s="320">
        <f t="shared" si="9"/>
        <v>1254.1642105263159</v>
      </c>
      <c r="AB57" s="123">
        <v>1717.9499999999998</v>
      </c>
      <c r="AC57" s="320">
        <f t="shared" ref="AC57:AC61" si="13">AB57-T57</f>
        <v>-430.94999999999982</v>
      </c>
      <c r="AI57" s="123">
        <v>1717.9499999999998</v>
      </c>
      <c r="AJ57" s="320">
        <f t="shared" si="10"/>
        <v>430.94999999999982</v>
      </c>
    </row>
    <row r="58" spans="1:36" hidden="1" x14ac:dyDescent="0.35">
      <c r="A58" s="197">
        <v>3302057</v>
      </c>
      <c r="B58" s="197">
        <v>2057</v>
      </c>
      <c r="C58" s="197" t="s">
        <v>263</v>
      </c>
      <c r="D58" s="198" t="s">
        <v>49</v>
      </c>
      <c r="E58" s="198"/>
      <c r="F58" s="197"/>
      <c r="G58" s="199">
        <v>150</v>
      </c>
      <c r="H58" s="199">
        <v>180</v>
      </c>
      <c r="I58" s="199">
        <v>195</v>
      </c>
      <c r="J58" s="199">
        <v>150</v>
      </c>
      <c r="K58" s="199">
        <v>165</v>
      </c>
      <c r="L58" s="199">
        <v>195</v>
      </c>
      <c r="M58" s="315">
        <v>104.21052631578948</v>
      </c>
      <c r="N58" s="315">
        <v>198.9473684210526</v>
      </c>
      <c r="O58" s="315">
        <v>165.78947368421052</v>
      </c>
      <c r="P58" s="316">
        <f t="shared" si="3"/>
        <v>3141.8210526315788</v>
      </c>
      <c r="Q58" s="316">
        <f t="shared" si="4"/>
        <v>1992.9868421052629</v>
      </c>
      <c r="R58" s="316">
        <f t="shared" si="5"/>
        <v>564.7578947368421</v>
      </c>
      <c r="S58" s="317">
        <f t="shared" si="6"/>
        <v>5699.5657894736833</v>
      </c>
      <c r="T58" s="318">
        <f t="shared" si="7"/>
        <v>2070.9</v>
      </c>
      <c r="U58" s="319">
        <f t="shared" si="8"/>
        <v>2014.35</v>
      </c>
      <c r="V58" s="319">
        <f t="shared" si="0"/>
        <v>1614.3157894736842</v>
      </c>
      <c r="X58" s="320">
        <f t="shared" si="9"/>
        <v>1656.7200000000003</v>
      </c>
      <c r="Y58" s="320">
        <f t="shared" si="9"/>
        <v>1611.48</v>
      </c>
      <c r="Z58" s="320">
        <f t="shared" si="9"/>
        <v>1291.4526315789474</v>
      </c>
      <c r="AB58" s="123">
        <v>1805.7</v>
      </c>
      <c r="AC58" s="320">
        <f t="shared" si="13"/>
        <v>-265.20000000000005</v>
      </c>
      <c r="AI58" s="123">
        <v>1805.7</v>
      </c>
      <c r="AJ58" s="320">
        <f t="shared" si="10"/>
        <v>265.20000000000005</v>
      </c>
    </row>
    <row r="59" spans="1:36" hidden="1" x14ac:dyDescent="0.35">
      <c r="A59" s="197">
        <v>3302058</v>
      </c>
      <c r="B59" s="197">
        <v>2058</v>
      </c>
      <c r="C59" s="197" t="s">
        <v>264</v>
      </c>
      <c r="D59" s="198" t="s">
        <v>49</v>
      </c>
      <c r="E59" s="198"/>
      <c r="F59" s="197"/>
      <c r="G59" s="199">
        <v>75</v>
      </c>
      <c r="H59" s="199">
        <v>270</v>
      </c>
      <c r="I59" s="199">
        <v>120</v>
      </c>
      <c r="J59" s="199">
        <v>75</v>
      </c>
      <c r="K59" s="199">
        <v>270</v>
      </c>
      <c r="L59" s="199">
        <v>120</v>
      </c>
      <c r="M59" s="315">
        <v>71.05263157894737</v>
      </c>
      <c r="N59" s="315">
        <v>203.68421052631578</v>
      </c>
      <c r="O59" s="315">
        <v>108.94736842105263</v>
      </c>
      <c r="P59" s="316">
        <f t="shared" si="3"/>
        <v>1709.6052631578948</v>
      </c>
      <c r="Q59" s="316">
        <f t="shared" si="4"/>
        <v>2744.621052631579</v>
      </c>
      <c r="R59" s="316">
        <f t="shared" si="5"/>
        <v>354.1894736842105</v>
      </c>
      <c r="S59" s="317">
        <f t="shared" si="6"/>
        <v>4808.4157894736845</v>
      </c>
      <c r="T59" s="318">
        <f t="shared" si="7"/>
        <v>1737.45</v>
      </c>
      <c r="U59" s="319">
        <f t="shared" si="8"/>
        <v>1737.45</v>
      </c>
      <c r="V59" s="319">
        <f t="shared" si="0"/>
        <v>1333.5157894736842</v>
      </c>
      <c r="X59" s="320">
        <f t="shared" si="9"/>
        <v>1389.96</v>
      </c>
      <c r="Y59" s="320">
        <f t="shared" si="9"/>
        <v>1389.96</v>
      </c>
      <c r="Z59" s="320">
        <f t="shared" si="9"/>
        <v>1066.8126315789475</v>
      </c>
      <c r="AB59" s="123">
        <v>1439.1000000000001</v>
      </c>
      <c r="AC59" s="320">
        <f t="shared" si="13"/>
        <v>-298.34999999999991</v>
      </c>
      <c r="AI59" s="123">
        <v>1439.1000000000001</v>
      </c>
      <c r="AJ59" s="320">
        <f t="shared" si="10"/>
        <v>298.34999999999991</v>
      </c>
    </row>
    <row r="60" spans="1:36" hidden="1" x14ac:dyDescent="0.35">
      <c r="A60" s="197">
        <v>3302059</v>
      </c>
      <c r="B60" s="197">
        <v>2059</v>
      </c>
      <c r="C60" s="197" t="s">
        <v>265</v>
      </c>
      <c r="D60" s="198" t="s">
        <v>49</v>
      </c>
      <c r="E60" s="198"/>
      <c r="F60" s="197"/>
      <c r="G60" s="199">
        <v>15</v>
      </c>
      <c r="H60" s="199">
        <v>135</v>
      </c>
      <c r="I60" s="199">
        <v>0</v>
      </c>
      <c r="J60" s="199">
        <v>15</v>
      </c>
      <c r="K60" s="199">
        <v>135</v>
      </c>
      <c r="L60" s="199">
        <v>0</v>
      </c>
      <c r="M60" s="315">
        <v>4.7368421052631575</v>
      </c>
      <c r="N60" s="315">
        <v>151.57894736842104</v>
      </c>
      <c r="O60" s="315">
        <v>0</v>
      </c>
      <c r="P60" s="316">
        <f t="shared" si="3"/>
        <v>272.57368421052632</v>
      </c>
      <c r="Q60" s="316">
        <f t="shared" si="4"/>
        <v>1545.3947368421052</v>
      </c>
      <c r="R60" s="316">
        <f t="shared" si="5"/>
        <v>0</v>
      </c>
      <c r="S60" s="317">
        <f t="shared" si="6"/>
        <v>1817.9684210526316</v>
      </c>
      <c r="T60" s="318">
        <f t="shared" si="7"/>
        <v>627.9</v>
      </c>
      <c r="U60" s="319">
        <f t="shared" si="8"/>
        <v>627.9</v>
      </c>
      <c r="V60" s="319">
        <f t="shared" si="0"/>
        <v>562.16842105263152</v>
      </c>
      <c r="X60" s="320">
        <f t="shared" si="9"/>
        <v>502.32</v>
      </c>
      <c r="Y60" s="320">
        <f t="shared" si="9"/>
        <v>502.32</v>
      </c>
      <c r="Z60" s="320">
        <f t="shared" si="9"/>
        <v>449.73473684210524</v>
      </c>
      <c r="AB60" s="123">
        <v>622.04999999999995</v>
      </c>
      <c r="AC60" s="320">
        <f t="shared" si="13"/>
        <v>-5.8500000000000227</v>
      </c>
      <c r="AI60" s="123">
        <v>622.04999999999995</v>
      </c>
      <c r="AJ60" s="320">
        <f t="shared" si="10"/>
        <v>5.8500000000000227</v>
      </c>
    </row>
    <row r="61" spans="1:36" hidden="1" x14ac:dyDescent="0.35">
      <c r="A61" s="197">
        <v>3302060</v>
      </c>
      <c r="B61" s="197">
        <v>2060</v>
      </c>
      <c r="C61" s="197" t="s">
        <v>266</v>
      </c>
      <c r="D61" s="198" t="s">
        <v>49</v>
      </c>
      <c r="E61" s="198"/>
      <c r="F61" s="197"/>
      <c r="G61" s="199">
        <v>240</v>
      </c>
      <c r="H61" s="199">
        <v>15</v>
      </c>
      <c r="I61" s="199">
        <v>0</v>
      </c>
      <c r="J61" s="199">
        <v>255</v>
      </c>
      <c r="K61" s="199">
        <v>15</v>
      </c>
      <c r="L61" s="199">
        <v>0</v>
      </c>
      <c r="M61" s="315">
        <v>312.63157894736844</v>
      </c>
      <c r="N61" s="315">
        <v>52.10526315789474</v>
      </c>
      <c r="O61" s="315">
        <v>0</v>
      </c>
      <c r="P61" s="316">
        <f t="shared" si="3"/>
        <v>6213.8131578947368</v>
      </c>
      <c r="Q61" s="316">
        <f t="shared" si="4"/>
        <v>294.42631578947368</v>
      </c>
      <c r="R61" s="316">
        <f t="shared" si="5"/>
        <v>0</v>
      </c>
      <c r="S61" s="317">
        <f t="shared" si="6"/>
        <v>6508.2394736842107</v>
      </c>
      <c r="T61" s="318">
        <f t="shared" si="7"/>
        <v>1959.75</v>
      </c>
      <c r="U61" s="319">
        <f t="shared" si="8"/>
        <v>2078.6999999999998</v>
      </c>
      <c r="V61" s="319">
        <f t="shared" si="0"/>
        <v>2469.7894736842104</v>
      </c>
      <c r="X61" s="320">
        <f t="shared" si="9"/>
        <v>1567.8000000000002</v>
      </c>
      <c r="Y61" s="320">
        <f t="shared" si="9"/>
        <v>1662.96</v>
      </c>
      <c r="Z61" s="320">
        <f t="shared" si="9"/>
        <v>1975.8315789473684</v>
      </c>
      <c r="AB61" s="123">
        <v>3137.5499999999997</v>
      </c>
      <c r="AC61" s="320">
        <f t="shared" si="13"/>
        <v>1177.7999999999997</v>
      </c>
      <c r="AI61" s="123">
        <v>3137.5499999999997</v>
      </c>
      <c r="AJ61" s="320">
        <f t="shared" si="10"/>
        <v>-1177.7999999999997</v>
      </c>
    </row>
    <row r="62" spans="1:36" hidden="1" x14ac:dyDescent="0.35">
      <c r="A62" s="197">
        <v>3302062</v>
      </c>
      <c r="B62" s="197">
        <v>2062</v>
      </c>
      <c r="C62" s="197" t="s">
        <v>31</v>
      </c>
      <c r="D62" s="198" t="s">
        <v>27</v>
      </c>
      <c r="E62" s="198"/>
      <c r="F62" s="197"/>
      <c r="G62" s="199">
        <v>135</v>
      </c>
      <c r="H62" s="199">
        <v>135</v>
      </c>
      <c r="I62" s="199">
        <v>105</v>
      </c>
      <c r="J62" s="199">
        <v>75</v>
      </c>
      <c r="K62" s="199">
        <v>105</v>
      </c>
      <c r="L62" s="199">
        <v>75</v>
      </c>
      <c r="M62" s="315">
        <v>108.94736842105263</v>
      </c>
      <c r="N62" s="315">
        <v>108.94736842105263</v>
      </c>
      <c r="O62" s="315">
        <v>142.10526315789474</v>
      </c>
      <c r="P62" s="316">
        <f t="shared" si="3"/>
        <v>2462.7947368421055</v>
      </c>
      <c r="Q62" s="316">
        <f t="shared" si="4"/>
        <v>1283.9368421052632</v>
      </c>
      <c r="R62" s="316">
        <f t="shared" si="5"/>
        <v>323.62105263157895</v>
      </c>
      <c r="S62" s="317">
        <f t="shared" si="6"/>
        <v>4070.3526315789477</v>
      </c>
      <c r="T62" s="318">
        <f t="shared" si="7"/>
        <v>1688.7</v>
      </c>
      <c r="U62" s="319">
        <f t="shared" si="8"/>
        <v>1068.5999999999999</v>
      </c>
      <c r="V62" s="319">
        <f t="shared" si="0"/>
        <v>1313.0526315789473</v>
      </c>
      <c r="X62" s="320">
        <f t="shared" si="9"/>
        <v>1350.96</v>
      </c>
      <c r="Y62" s="320">
        <f t="shared" si="9"/>
        <v>854.88</v>
      </c>
      <c r="Z62" s="320">
        <f t="shared" si="9"/>
        <v>1050.4421052631578</v>
      </c>
      <c r="AB62" s="123" t="s">
        <v>30</v>
      </c>
      <c r="AI62" s="123">
        <v>1922.6999999999998</v>
      </c>
      <c r="AJ62" s="320">
        <f t="shared" si="10"/>
        <v>-233.99999999999977</v>
      </c>
    </row>
    <row r="63" spans="1:36" hidden="1" x14ac:dyDescent="0.35">
      <c r="A63" s="197">
        <v>3302063</v>
      </c>
      <c r="B63" s="197">
        <v>2063</v>
      </c>
      <c r="C63" s="197" t="s">
        <v>127</v>
      </c>
      <c r="D63" s="198" t="s">
        <v>27</v>
      </c>
      <c r="E63" s="198"/>
      <c r="F63" s="197"/>
      <c r="G63" s="199">
        <v>195</v>
      </c>
      <c r="H63" s="199">
        <v>0</v>
      </c>
      <c r="I63" s="199">
        <v>210</v>
      </c>
      <c r="J63" s="199">
        <v>225</v>
      </c>
      <c r="K63" s="199">
        <v>0</v>
      </c>
      <c r="L63" s="199">
        <v>225</v>
      </c>
      <c r="M63" s="315">
        <v>227.36842105263156</v>
      </c>
      <c r="N63" s="315">
        <v>14.210526315789473</v>
      </c>
      <c r="O63" s="315">
        <v>184.73684210526318</v>
      </c>
      <c r="P63" s="316">
        <f t="shared" si="3"/>
        <v>4994.9368421052632</v>
      </c>
      <c r="Q63" s="316">
        <f t="shared" si="4"/>
        <v>49.452631578947361</v>
      </c>
      <c r="R63" s="316">
        <f t="shared" si="5"/>
        <v>629.74736842105267</v>
      </c>
      <c r="S63" s="317">
        <f t="shared" si="6"/>
        <v>5674.136842105263</v>
      </c>
      <c r="T63" s="318">
        <f t="shared" si="7"/>
        <v>1764.7500000000002</v>
      </c>
      <c r="U63" s="319">
        <f t="shared" si="8"/>
        <v>2018.25</v>
      </c>
      <c r="V63" s="319">
        <f t="shared" si="0"/>
        <v>1891.1368421052628</v>
      </c>
      <c r="X63" s="320">
        <f t="shared" si="9"/>
        <v>1411.8000000000002</v>
      </c>
      <c r="Y63" s="320">
        <f t="shared" si="9"/>
        <v>1614.6000000000001</v>
      </c>
      <c r="Z63" s="320">
        <f t="shared" si="9"/>
        <v>1512.9094736842103</v>
      </c>
      <c r="AB63" s="123" t="s">
        <v>126</v>
      </c>
      <c r="AI63" s="123">
        <v>2322.4499999999998</v>
      </c>
      <c r="AJ63" s="320">
        <f t="shared" si="10"/>
        <v>-557.69999999999959</v>
      </c>
    </row>
    <row r="64" spans="1:36" hidden="1" x14ac:dyDescent="0.35">
      <c r="A64" s="197">
        <v>3302064</v>
      </c>
      <c r="B64" s="197">
        <v>2064</v>
      </c>
      <c r="C64" s="197" t="s">
        <v>267</v>
      </c>
      <c r="D64" s="198" t="s">
        <v>49</v>
      </c>
      <c r="E64" s="198"/>
      <c r="F64" s="197"/>
      <c r="G64" s="199">
        <v>15</v>
      </c>
      <c r="H64" s="199">
        <v>255</v>
      </c>
      <c r="I64" s="199">
        <v>15</v>
      </c>
      <c r="J64" s="199">
        <v>15</v>
      </c>
      <c r="K64" s="199">
        <v>255</v>
      </c>
      <c r="L64" s="199">
        <v>15</v>
      </c>
      <c r="M64" s="315">
        <v>4.7368421052631575</v>
      </c>
      <c r="N64" s="315">
        <v>274.73684210526318</v>
      </c>
      <c r="O64" s="315">
        <v>4.7368421052631575</v>
      </c>
      <c r="P64" s="316">
        <f t="shared" si="3"/>
        <v>272.57368421052632</v>
      </c>
      <c r="Q64" s="316">
        <f t="shared" si="4"/>
        <v>2878.7842105263157</v>
      </c>
      <c r="R64" s="316">
        <f t="shared" si="5"/>
        <v>35.747368421052627</v>
      </c>
      <c r="S64" s="317">
        <f t="shared" si="6"/>
        <v>3187.1052631578946</v>
      </c>
      <c r="T64" s="318">
        <f t="shared" si="7"/>
        <v>1095.8999999999999</v>
      </c>
      <c r="U64" s="319">
        <f t="shared" si="8"/>
        <v>1095.8999999999999</v>
      </c>
      <c r="V64" s="319">
        <f t="shared" si="0"/>
        <v>995.30526315789473</v>
      </c>
      <c r="X64" s="320">
        <f t="shared" si="9"/>
        <v>876.71999999999991</v>
      </c>
      <c r="Y64" s="320">
        <f t="shared" si="9"/>
        <v>876.71999999999991</v>
      </c>
      <c r="Z64" s="320">
        <f t="shared" si="9"/>
        <v>796.24421052631578</v>
      </c>
      <c r="AB64" s="123">
        <v>1131</v>
      </c>
      <c r="AC64" s="320">
        <f t="shared" ref="AC64:AC73" si="14">AB64-T64</f>
        <v>35.100000000000136</v>
      </c>
      <c r="AI64" s="123">
        <v>1131</v>
      </c>
      <c r="AJ64" s="320">
        <f t="shared" si="10"/>
        <v>-35.100000000000136</v>
      </c>
    </row>
    <row r="65" spans="1:36" hidden="1" x14ac:dyDescent="0.35">
      <c r="A65" s="197">
        <v>3302065</v>
      </c>
      <c r="B65" s="197">
        <v>2065</v>
      </c>
      <c r="C65" s="197" t="s">
        <v>268</v>
      </c>
      <c r="D65" s="198" t="s">
        <v>49</v>
      </c>
      <c r="E65" s="198"/>
      <c r="F65" s="197"/>
      <c r="G65" s="199">
        <v>0</v>
      </c>
      <c r="H65" s="199">
        <v>15</v>
      </c>
      <c r="I65" s="199">
        <v>45</v>
      </c>
      <c r="J65" s="199">
        <v>0</v>
      </c>
      <c r="K65" s="199">
        <v>15</v>
      </c>
      <c r="L65" s="199">
        <v>30</v>
      </c>
      <c r="M65" s="315">
        <v>0</v>
      </c>
      <c r="N65" s="315">
        <v>4.7368421052631575</v>
      </c>
      <c r="O65" s="315">
        <v>28.421052631578945</v>
      </c>
      <c r="P65" s="316">
        <f t="shared" si="3"/>
        <v>0</v>
      </c>
      <c r="Q65" s="316">
        <f t="shared" si="4"/>
        <v>129.58421052631579</v>
      </c>
      <c r="R65" s="316">
        <f t="shared" si="5"/>
        <v>105.28421052631579</v>
      </c>
      <c r="S65" s="317">
        <f t="shared" si="6"/>
        <v>234.86842105263156</v>
      </c>
      <c r="T65" s="318">
        <f t="shared" si="7"/>
        <v>103.35</v>
      </c>
      <c r="U65" s="319">
        <f t="shared" si="8"/>
        <v>87.75</v>
      </c>
      <c r="V65" s="319">
        <f t="shared" si="0"/>
        <v>43.768421052631581</v>
      </c>
      <c r="X65" s="320">
        <f t="shared" si="9"/>
        <v>82.68</v>
      </c>
      <c r="Y65" s="320">
        <f t="shared" si="9"/>
        <v>70.2</v>
      </c>
      <c r="Z65" s="320">
        <f t="shared" si="9"/>
        <v>35.014736842105265</v>
      </c>
      <c r="AB65" s="123">
        <v>31.2</v>
      </c>
      <c r="AC65" s="320">
        <f t="shared" si="14"/>
        <v>-72.149999999999991</v>
      </c>
      <c r="AI65" s="123">
        <v>31.2</v>
      </c>
      <c r="AJ65" s="320">
        <f t="shared" si="10"/>
        <v>72.149999999999991</v>
      </c>
    </row>
    <row r="66" spans="1:36" hidden="1" x14ac:dyDescent="0.35">
      <c r="A66" s="197">
        <v>3302068</v>
      </c>
      <c r="B66" s="197">
        <v>2068</v>
      </c>
      <c r="C66" s="197" t="s">
        <v>270</v>
      </c>
      <c r="D66" s="198" t="s">
        <v>49</v>
      </c>
      <c r="E66" s="198"/>
      <c r="F66" s="197"/>
      <c r="G66" s="199">
        <v>105</v>
      </c>
      <c r="H66" s="199">
        <v>240</v>
      </c>
      <c r="I66" s="199">
        <v>30</v>
      </c>
      <c r="J66" s="199">
        <v>120</v>
      </c>
      <c r="K66" s="199">
        <v>165</v>
      </c>
      <c r="L66" s="199">
        <v>30</v>
      </c>
      <c r="M66" s="315">
        <v>170.5263157894737</v>
      </c>
      <c r="N66" s="315">
        <v>175.26315789473682</v>
      </c>
      <c r="O66" s="315">
        <v>18.94736842105263</v>
      </c>
      <c r="P66" s="316">
        <f t="shared" si="3"/>
        <v>3032.5026315789473</v>
      </c>
      <c r="Q66" s="316">
        <f t="shared" si="4"/>
        <v>2136.765789473684</v>
      </c>
      <c r="R66" s="316">
        <f t="shared" si="5"/>
        <v>80.589473684210532</v>
      </c>
      <c r="S66" s="317">
        <f t="shared" si="6"/>
        <v>5249.8578947368424</v>
      </c>
      <c r="T66" s="318">
        <f t="shared" si="7"/>
        <v>1768.6499999999999</v>
      </c>
      <c r="U66" s="319">
        <f t="shared" si="8"/>
        <v>1604.8500000000001</v>
      </c>
      <c r="V66" s="319">
        <f t="shared" si="0"/>
        <v>1876.3578947368419</v>
      </c>
      <c r="X66" s="320">
        <f t="shared" si="9"/>
        <v>1414.92</v>
      </c>
      <c r="Y66" s="320">
        <f t="shared" si="9"/>
        <v>1283.8800000000001</v>
      </c>
      <c r="Z66" s="320">
        <f t="shared" si="9"/>
        <v>1501.0863157894737</v>
      </c>
      <c r="AB66" s="123">
        <v>2472.6</v>
      </c>
      <c r="AC66" s="320">
        <f t="shared" si="14"/>
        <v>703.95</v>
      </c>
      <c r="AI66" s="123">
        <v>2472.6</v>
      </c>
      <c r="AJ66" s="320">
        <f t="shared" si="10"/>
        <v>-703.95</v>
      </c>
    </row>
    <row r="67" spans="1:36" hidden="1" x14ac:dyDescent="0.35">
      <c r="A67" s="197">
        <v>3302070</v>
      </c>
      <c r="B67" s="197">
        <v>2070</v>
      </c>
      <c r="C67" s="197" t="s">
        <v>271</v>
      </c>
      <c r="D67" s="198" t="s">
        <v>49</v>
      </c>
      <c r="E67" s="198"/>
      <c r="F67" s="197"/>
      <c r="G67" s="199">
        <v>120</v>
      </c>
      <c r="H67" s="199">
        <v>105</v>
      </c>
      <c r="I67" s="199">
        <v>105</v>
      </c>
      <c r="J67" s="199">
        <v>75</v>
      </c>
      <c r="K67" s="199">
        <v>75</v>
      </c>
      <c r="L67" s="199">
        <v>45</v>
      </c>
      <c r="M67" s="315">
        <v>99.473684210526301</v>
      </c>
      <c r="N67" s="315">
        <v>52.10526315789474</v>
      </c>
      <c r="O67" s="315">
        <v>80.526315789473685</v>
      </c>
      <c r="P67" s="316">
        <f t="shared" si="3"/>
        <v>2274.4973684210527</v>
      </c>
      <c r="Q67" s="316">
        <f t="shared" si="4"/>
        <v>859.92631578947362</v>
      </c>
      <c r="R67" s="316">
        <f t="shared" si="5"/>
        <v>233.30526315789473</v>
      </c>
      <c r="S67" s="317">
        <f t="shared" si="6"/>
        <v>3367.7289473684209</v>
      </c>
      <c r="T67" s="318">
        <f t="shared" si="7"/>
        <v>1456.65</v>
      </c>
      <c r="U67" s="319">
        <f t="shared" si="8"/>
        <v>924.3</v>
      </c>
      <c r="V67" s="319">
        <f t="shared" si="0"/>
        <v>986.77894736842097</v>
      </c>
      <c r="X67" s="320">
        <f t="shared" si="9"/>
        <v>1165.3200000000002</v>
      </c>
      <c r="Y67" s="320">
        <f t="shared" si="9"/>
        <v>739.44</v>
      </c>
      <c r="Z67" s="320">
        <f t="shared" si="9"/>
        <v>789.42315789473685</v>
      </c>
      <c r="AB67" s="123">
        <v>1421.55</v>
      </c>
      <c r="AC67" s="320">
        <f t="shared" si="14"/>
        <v>-35.100000000000136</v>
      </c>
      <c r="AI67" s="123">
        <v>1421.55</v>
      </c>
      <c r="AJ67" s="320">
        <f t="shared" si="10"/>
        <v>35.100000000000136</v>
      </c>
    </row>
    <row r="68" spans="1:36" hidden="1" x14ac:dyDescent="0.35">
      <c r="A68" s="197">
        <v>3302072</v>
      </c>
      <c r="B68" s="197">
        <v>2072</v>
      </c>
      <c r="C68" s="197" t="s">
        <v>272</v>
      </c>
      <c r="D68" s="198" t="s">
        <v>49</v>
      </c>
      <c r="E68" s="198"/>
      <c r="F68" s="197"/>
      <c r="G68" s="199">
        <v>180</v>
      </c>
      <c r="H68" s="199">
        <v>165</v>
      </c>
      <c r="I68" s="199">
        <v>210</v>
      </c>
      <c r="J68" s="199">
        <v>180</v>
      </c>
      <c r="K68" s="199">
        <v>180</v>
      </c>
      <c r="L68" s="199">
        <v>210</v>
      </c>
      <c r="M68" s="315">
        <v>227.36842105263156</v>
      </c>
      <c r="N68" s="315">
        <v>151.57894736842104</v>
      </c>
      <c r="O68" s="315">
        <v>175.26315789473682</v>
      </c>
      <c r="P68" s="316">
        <f t="shared" si="3"/>
        <v>4519.136842105263</v>
      </c>
      <c r="Q68" s="316">
        <f t="shared" si="4"/>
        <v>1828.144736842105</v>
      </c>
      <c r="R68" s="316">
        <f t="shared" si="5"/>
        <v>605.0526315789474</v>
      </c>
      <c r="S68" s="317">
        <f t="shared" si="6"/>
        <v>6952.3342105263155</v>
      </c>
      <c r="T68" s="318">
        <f t="shared" si="7"/>
        <v>2267.85</v>
      </c>
      <c r="U68" s="319">
        <f t="shared" si="8"/>
        <v>2324.4</v>
      </c>
      <c r="V68" s="319">
        <f t="shared" si="0"/>
        <v>2360.0842105263155</v>
      </c>
      <c r="X68" s="320">
        <f t="shared" si="9"/>
        <v>1814.28</v>
      </c>
      <c r="Y68" s="320">
        <f t="shared" si="9"/>
        <v>1859.5200000000002</v>
      </c>
      <c r="Z68" s="320">
        <f t="shared" si="9"/>
        <v>1888.0673684210524</v>
      </c>
      <c r="AB68" s="123">
        <v>2878.2</v>
      </c>
      <c r="AC68" s="320">
        <f t="shared" si="14"/>
        <v>610.34999999999991</v>
      </c>
      <c r="AI68" s="123">
        <v>2878.2</v>
      </c>
      <c r="AJ68" s="320">
        <f t="shared" si="10"/>
        <v>-610.34999999999991</v>
      </c>
    </row>
    <row r="69" spans="1:36" hidden="1" x14ac:dyDescent="0.35">
      <c r="A69" s="197">
        <v>3302073</v>
      </c>
      <c r="B69" s="197">
        <v>2073</v>
      </c>
      <c r="C69" s="197" t="s">
        <v>273</v>
      </c>
      <c r="D69" s="198" t="s">
        <v>49</v>
      </c>
      <c r="E69" s="198"/>
      <c r="F69" s="197"/>
      <c r="G69" s="199">
        <v>405</v>
      </c>
      <c r="H69" s="199">
        <v>165</v>
      </c>
      <c r="I69" s="199">
        <v>15</v>
      </c>
      <c r="J69" s="199">
        <v>240</v>
      </c>
      <c r="K69" s="199">
        <v>105</v>
      </c>
      <c r="L69" s="199">
        <v>15</v>
      </c>
      <c r="M69" s="315">
        <v>369.47368421052636</v>
      </c>
      <c r="N69" s="315">
        <v>99.473684210526301</v>
      </c>
      <c r="O69" s="315">
        <v>9.473684210526315</v>
      </c>
      <c r="P69" s="316">
        <f t="shared" si="3"/>
        <v>7819.3973684210523</v>
      </c>
      <c r="Q69" s="316">
        <f t="shared" si="4"/>
        <v>1364.0684210526315</v>
      </c>
      <c r="R69" s="316">
        <f t="shared" si="5"/>
        <v>40.294736842105266</v>
      </c>
      <c r="S69" s="317">
        <f t="shared" si="6"/>
        <v>9223.7605263157893</v>
      </c>
      <c r="T69" s="318">
        <f t="shared" si="7"/>
        <v>3849.2999999999997</v>
      </c>
      <c r="U69" s="319">
        <f t="shared" si="8"/>
        <v>2314.65</v>
      </c>
      <c r="V69" s="319">
        <f t="shared" si="0"/>
        <v>3059.8105263157895</v>
      </c>
      <c r="X69" s="320">
        <f t="shared" si="9"/>
        <v>3079.44</v>
      </c>
      <c r="Y69" s="320">
        <f t="shared" si="9"/>
        <v>1851.7200000000003</v>
      </c>
      <c r="Z69" s="320">
        <f t="shared" si="9"/>
        <v>2447.8484210526317</v>
      </c>
      <c r="AB69" s="123">
        <v>4393.3500000000004</v>
      </c>
      <c r="AC69" s="320">
        <f t="shared" si="14"/>
        <v>544.05000000000064</v>
      </c>
      <c r="AI69" s="123">
        <v>4393.3500000000004</v>
      </c>
      <c r="AJ69" s="320">
        <f t="shared" si="10"/>
        <v>-544.05000000000064</v>
      </c>
    </row>
    <row r="70" spans="1:36" hidden="1" x14ac:dyDescent="0.35">
      <c r="A70" s="197">
        <v>3302075</v>
      </c>
      <c r="B70" s="197">
        <v>2075</v>
      </c>
      <c r="C70" s="197" t="s">
        <v>274</v>
      </c>
      <c r="D70" s="198" t="s">
        <v>49</v>
      </c>
      <c r="E70" s="198"/>
      <c r="F70" s="197"/>
      <c r="G70" s="199">
        <v>0</v>
      </c>
      <c r="H70" s="199">
        <v>150</v>
      </c>
      <c r="I70" s="199">
        <v>75</v>
      </c>
      <c r="J70" s="199">
        <v>0</v>
      </c>
      <c r="K70" s="199">
        <v>165</v>
      </c>
      <c r="L70" s="199">
        <v>45</v>
      </c>
      <c r="M70" s="315">
        <v>9.473684210526315</v>
      </c>
      <c r="N70" s="315">
        <v>203.68421052631578</v>
      </c>
      <c r="O70" s="315">
        <v>165.78947368421052</v>
      </c>
      <c r="P70" s="316">
        <f t="shared" si="3"/>
        <v>69.347368421052636</v>
      </c>
      <c r="Q70" s="316">
        <f t="shared" si="4"/>
        <v>1896.3710526315788</v>
      </c>
      <c r="R70" s="316">
        <f t="shared" si="5"/>
        <v>283.95789473684215</v>
      </c>
      <c r="S70" s="317">
        <f t="shared" si="6"/>
        <v>2249.6763157894734</v>
      </c>
      <c r="T70" s="318">
        <f t="shared" si="7"/>
        <v>643.5</v>
      </c>
      <c r="U70" s="319">
        <f t="shared" si="8"/>
        <v>668.84999999999991</v>
      </c>
      <c r="V70" s="319">
        <f t="shared" si="0"/>
        <v>937.32631578947348</v>
      </c>
      <c r="X70" s="320">
        <f t="shared" si="9"/>
        <v>514.80000000000007</v>
      </c>
      <c r="Y70" s="320">
        <f t="shared" si="9"/>
        <v>535.07999999999993</v>
      </c>
      <c r="Z70" s="320">
        <f t="shared" si="9"/>
        <v>749.86105263157879</v>
      </c>
      <c r="AB70" s="123">
        <v>1386.4499999999998</v>
      </c>
      <c r="AC70" s="320">
        <f t="shared" si="14"/>
        <v>742.94999999999982</v>
      </c>
      <c r="AI70" s="123">
        <v>1386.4499999999998</v>
      </c>
      <c r="AJ70" s="320">
        <f t="shared" si="10"/>
        <v>-742.94999999999982</v>
      </c>
    </row>
    <row r="71" spans="1:36" hidden="1" x14ac:dyDescent="0.35">
      <c r="A71" s="197">
        <v>3302078</v>
      </c>
      <c r="B71" s="197">
        <v>2078</v>
      </c>
      <c r="C71" s="197" t="s">
        <v>275</v>
      </c>
      <c r="D71" s="198" t="s">
        <v>49</v>
      </c>
      <c r="E71" s="198"/>
      <c r="F71" s="197"/>
      <c r="G71" s="199">
        <v>28</v>
      </c>
      <c r="H71" s="199">
        <v>0</v>
      </c>
      <c r="I71" s="199">
        <v>195</v>
      </c>
      <c r="J71" s="199">
        <v>15</v>
      </c>
      <c r="K71" s="199">
        <v>0</v>
      </c>
      <c r="L71" s="199">
        <v>150</v>
      </c>
      <c r="M71" s="315">
        <v>14.210526315789473</v>
      </c>
      <c r="N71" s="315">
        <v>18.94736842105263</v>
      </c>
      <c r="O71" s="315">
        <v>178.73684210526318</v>
      </c>
      <c r="P71" s="316">
        <f t="shared" si="3"/>
        <v>445.01105263157888</v>
      </c>
      <c r="Q71" s="316">
        <f t="shared" si="4"/>
        <v>65.936842105263153</v>
      </c>
      <c r="R71" s="316">
        <f t="shared" si="5"/>
        <v>530.38736842105254</v>
      </c>
      <c r="S71" s="317">
        <f t="shared" si="6"/>
        <v>1041.3352631578946</v>
      </c>
      <c r="T71" s="318">
        <f t="shared" si="7"/>
        <v>424.83999999999992</v>
      </c>
      <c r="U71" s="319">
        <f t="shared" si="8"/>
        <v>274.95</v>
      </c>
      <c r="V71" s="319">
        <f t="shared" si="0"/>
        <v>341.54526315789474</v>
      </c>
      <c r="X71" s="320">
        <f t="shared" si="9"/>
        <v>339.87199999999996</v>
      </c>
      <c r="Y71" s="320">
        <f t="shared" si="9"/>
        <v>219.96</v>
      </c>
      <c r="Z71" s="320">
        <f t="shared" si="9"/>
        <v>273.2362105263158</v>
      </c>
      <c r="AB71" s="123">
        <v>448.37</v>
      </c>
      <c r="AC71" s="320">
        <f t="shared" si="14"/>
        <v>23.530000000000086</v>
      </c>
      <c r="AI71" s="123">
        <v>448.37</v>
      </c>
      <c r="AJ71" s="320">
        <f t="shared" si="10"/>
        <v>-23.530000000000086</v>
      </c>
    </row>
    <row r="72" spans="1:36" hidden="1" x14ac:dyDescent="0.35">
      <c r="A72" s="197">
        <v>3302082</v>
      </c>
      <c r="B72" s="197">
        <v>2082</v>
      </c>
      <c r="C72" s="197" t="s">
        <v>276</v>
      </c>
      <c r="D72" s="198" t="s">
        <v>49</v>
      </c>
      <c r="E72" s="198"/>
      <c r="F72" s="197"/>
      <c r="G72" s="199">
        <v>105</v>
      </c>
      <c r="H72" s="199">
        <v>120</v>
      </c>
      <c r="I72" s="199">
        <v>75</v>
      </c>
      <c r="J72" s="199">
        <v>120</v>
      </c>
      <c r="K72" s="199">
        <v>75</v>
      </c>
      <c r="L72" s="199">
        <v>90</v>
      </c>
      <c r="M72" s="315">
        <v>146.84210526315789</v>
      </c>
      <c r="N72" s="315">
        <v>99.473684210526301</v>
      </c>
      <c r="O72" s="315">
        <v>85.26315789473685</v>
      </c>
      <c r="P72" s="316">
        <f t="shared" si="3"/>
        <v>2859.1342105263157</v>
      </c>
      <c r="Q72" s="316">
        <f t="shared" si="4"/>
        <v>1081.3184210526315</v>
      </c>
      <c r="R72" s="316">
        <f t="shared" si="5"/>
        <v>253.4526315789474</v>
      </c>
      <c r="S72" s="317">
        <f t="shared" si="6"/>
        <v>4193.9052631578943</v>
      </c>
      <c r="T72" s="318">
        <f t="shared" si="7"/>
        <v>1363.05</v>
      </c>
      <c r="U72" s="319">
        <f t="shared" si="8"/>
        <v>1327.9499999999998</v>
      </c>
      <c r="V72" s="319">
        <f t="shared" si="0"/>
        <v>1502.9052631578945</v>
      </c>
      <c r="X72" s="320">
        <f t="shared" si="9"/>
        <v>1090.44</v>
      </c>
      <c r="Y72" s="320">
        <f t="shared" si="9"/>
        <v>1062.3599999999999</v>
      </c>
      <c r="Z72" s="320">
        <f t="shared" si="9"/>
        <v>1202.3242105263157</v>
      </c>
      <c r="AB72" s="123">
        <v>1973.3999999999996</v>
      </c>
      <c r="AC72" s="320">
        <f t="shared" si="14"/>
        <v>610.34999999999968</v>
      </c>
      <c r="AI72" s="123">
        <v>1973.3999999999996</v>
      </c>
      <c r="AJ72" s="320">
        <f t="shared" si="10"/>
        <v>-610.34999999999968</v>
      </c>
    </row>
    <row r="73" spans="1:36" hidden="1" x14ac:dyDescent="0.35">
      <c r="A73" s="197">
        <v>3302086</v>
      </c>
      <c r="B73" s="197">
        <v>2086</v>
      </c>
      <c r="C73" s="197" t="s">
        <v>277</v>
      </c>
      <c r="D73" s="198" t="s">
        <v>49</v>
      </c>
      <c r="E73" s="198"/>
      <c r="F73" s="197"/>
      <c r="G73" s="199">
        <v>15</v>
      </c>
      <c r="H73" s="199">
        <v>105</v>
      </c>
      <c r="I73" s="199">
        <v>255</v>
      </c>
      <c r="J73" s="199">
        <v>0</v>
      </c>
      <c r="K73" s="199">
        <v>90</v>
      </c>
      <c r="L73" s="199">
        <v>255</v>
      </c>
      <c r="M73" s="315">
        <v>0</v>
      </c>
      <c r="N73" s="315">
        <v>94.73684210526315</v>
      </c>
      <c r="O73" s="315">
        <v>364.73684210526318</v>
      </c>
      <c r="P73" s="316">
        <f t="shared" si="3"/>
        <v>118.95</v>
      </c>
      <c r="Q73" s="316">
        <f t="shared" si="4"/>
        <v>1064.8342105263155</v>
      </c>
      <c r="R73" s="316">
        <f t="shared" si="5"/>
        <v>880.54736842105274</v>
      </c>
      <c r="S73" s="317">
        <f t="shared" si="6"/>
        <v>2064.3315789473681</v>
      </c>
      <c r="T73" s="318">
        <f t="shared" si="7"/>
        <v>780</v>
      </c>
      <c r="U73" s="319">
        <f t="shared" si="8"/>
        <v>604.5</v>
      </c>
      <c r="V73" s="319">
        <f t="shared" si="0"/>
        <v>679.83157894736837</v>
      </c>
      <c r="X73" s="320">
        <f t="shared" si="9"/>
        <v>624</v>
      </c>
      <c r="Y73" s="320">
        <f t="shared" si="9"/>
        <v>483.6</v>
      </c>
      <c r="Z73" s="320">
        <f t="shared" si="9"/>
        <v>543.86526315789467</v>
      </c>
      <c r="AB73" s="123">
        <v>879.45</v>
      </c>
      <c r="AC73" s="320">
        <f t="shared" si="14"/>
        <v>99.450000000000045</v>
      </c>
      <c r="AI73" s="123">
        <v>879.45</v>
      </c>
      <c r="AJ73" s="320">
        <f t="shared" si="10"/>
        <v>-99.450000000000045</v>
      </c>
    </row>
    <row r="74" spans="1:36" hidden="1" x14ac:dyDescent="0.35">
      <c r="A74" s="197">
        <v>3302093</v>
      </c>
      <c r="B74" s="197">
        <v>2093</v>
      </c>
      <c r="C74" s="197" t="s">
        <v>278</v>
      </c>
      <c r="D74" s="198" t="s">
        <v>27</v>
      </c>
      <c r="E74" s="198"/>
      <c r="F74" s="197"/>
      <c r="G74" s="199">
        <v>15</v>
      </c>
      <c r="H74" s="199">
        <v>15</v>
      </c>
      <c r="I74" s="199">
        <v>45</v>
      </c>
      <c r="J74" s="199">
        <v>15</v>
      </c>
      <c r="K74" s="199">
        <v>15</v>
      </c>
      <c r="L74" s="199">
        <v>45</v>
      </c>
      <c r="M74" s="315">
        <v>4.7368421052631575</v>
      </c>
      <c r="N74" s="315">
        <v>14.210526315789473</v>
      </c>
      <c r="O74" s="315">
        <v>42.631578947368425</v>
      </c>
      <c r="P74" s="316">
        <f t="shared" si="3"/>
        <v>272.57368421052632</v>
      </c>
      <c r="Q74" s="316">
        <f t="shared" si="4"/>
        <v>162.55263157894734</v>
      </c>
      <c r="R74" s="316">
        <f t="shared" si="5"/>
        <v>134.5263157894737</v>
      </c>
      <c r="S74" s="317">
        <f t="shared" si="6"/>
        <v>569.65263157894742</v>
      </c>
      <c r="T74" s="318">
        <f t="shared" si="7"/>
        <v>222.3</v>
      </c>
      <c r="U74" s="319">
        <f t="shared" si="8"/>
        <v>222.3</v>
      </c>
      <c r="V74" s="319">
        <f t="shared" si="0"/>
        <v>125.05263157894737</v>
      </c>
      <c r="X74" s="320">
        <f t="shared" si="9"/>
        <v>177.84000000000003</v>
      </c>
      <c r="Y74" s="320">
        <f t="shared" si="9"/>
        <v>177.84000000000003</v>
      </c>
      <c r="Z74" s="320">
        <f t="shared" si="9"/>
        <v>100.04210526315791</v>
      </c>
      <c r="AB74" s="123" t="s">
        <v>84</v>
      </c>
      <c r="AI74" s="123">
        <v>118.94999999999999</v>
      </c>
      <c r="AJ74" s="320">
        <f t="shared" si="10"/>
        <v>103.35000000000002</v>
      </c>
    </row>
    <row r="75" spans="1:36" hidden="1" x14ac:dyDescent="0.35">
      <c r="A75" s="197">
        <v>3302096</v>
      </c>
      <c r="B75" s="197">
        <v>2096</v>
      </c>
      <c r="C75" s="197" t="s">
        <v>279</v>
      </c>
      <c r="D75" s="198" t="s">
        <v>49</v>
      </c>
      <c r="E75" s="198"/>
      <c r="F75" s="197"/>
      <c r="G75" s="199">
        <v>210</v>
      </c>
      <c r="H75" s="199">
        <v>135</v>
      </c>
      <c r="I75" s="199">
        <v>0</v>
      </c>
      <c r="J75" s="199">
        <v>180</v>
      </c>
      <c r="K75" s="199">
        <v>150</v>
      </c>
      <c r="L75" s="199">
        <v>0</v>
      </c>
      <c r="M75" s="315">
        <v>151.57894736842104</v>
      </c>
      <c r="N75" s="315">
        <v>146.84210526315789</v>
      </c>
      <c r="O75" s="315">
        <v>9.473684210526315</v>
      </c>
      <c r="P75" s="316">
        <f t="shared" si="3"/>
        <v>4202.257894736842</v>
      </c>
      <c r="Q75" s="316">
        <f t="shared" si="4"/>
        <v>1585.4605263157896</v>
      </c>
      <c r="R75" s="316">
        <f t="shared" si="5"/>
        <v>9.094736842105263</v>
      </c>
      <c r="S75" s="317">
        <f t="shared" si="6"/>
        <v>5796.8131578947368</v>
      </c>
      <c r="T75" s="318">
        <f t="shared" ref="T75:T110" si="15">(G75*$C$2*$F$2)+(H75*$C$3*$F$2)+(I75*$C$4*$F$2)</f>
        <v>2174.25</v>
      </c>
      <c r="U75" s="319">
        <f t="shared" ref="U75:U138" si="16">(J75*$C$2*$F$3)+(K75*$C$3*$F$3)+(L75*$C$4*$F$3)</f>
        <v>1992.8999999999999</v>
      </c>
      <c r="V75" s="319">
        <f t="shared" ref="V75:V138" si="17">(M75*$C$2*$F$4)+(N75*$C$3*$F$4)+(O75*$C$4*$F$4)</f>
        <v>1629.6631578947367</v>
      </c>
      <c r="X75" s="320">
        <f t="shared" si="9"/>
        <v>1739.4</v>
      </c>
      <c r="Y75" s="320">
        <f t="shared" si="9"/>
        <v>1594.32</v>
      </c>
      <c r="Z75" s="320">
        <f t="shared" si="9"/>
        <v>1303.7305263157896</v>
      </c>
      <c r="AB75" s="123">
        <v>1827.1499999999999</v>
      </c>
      <c r="AC75" s="320">
        <f t="shared" ref="AC75:AC77" si="18">AB75-T75</f>
        <v>-347.10000000000014</v>
      </c>
      <c r="AI75" s="123">
        <v>1827.1499999999999</v>
      </c>
      <c r="AJ75" s="320">
        <f t="shared" si="10"/>
        <v>347.10000000000014</v>
      </c>
    </row>
    <row r="76" spans="1:36" hidden="1" x14ac:dyDescent="0.35">
      <c r="A76" s="197">
        <v>3302097</v>
      </c>
      <c r="B76" s="197">
        <v>2097</v>
      </c>
      <c r="C76" s="197" t="s">
        <v>280</v>
      </c>
      <c r="D76" s="198" t="s">
        <v>49</v>
      </c>
      <c r="E76" s="198"/>
      <c r="F76" s="197"/>
      <c r="G76" s="199">
        <v>45</v>
      </c>
      <c r="H76" s="199">
        <v>150</v>
      </c>
      <c r="I76" s="199">
        <v>90</v>
      </c>
      <c r="J76" s="199">
        <v>45</v>
      </c>
      <c r="K76" s="199">
        <v>150</v>
      </c>
      <c r="L76" s="199">
        <v>90</v>
      </c>
      <c r="M76" s="315">
        <v>33.157894736842103</v>
      </c>
      <c r="N76" s="315">
        <v>137.36842105263159</v>
      </c>
      <c r="O76" s="315">
        <v>90</v>
      </c>
      <c r="P76" s="316">
        <f t="shared" ref="P76:P139" si="19">(G76*$C$2*$F$2)+(J76*$C$2*$F$3)+(M76*$C$2*$F$4)</f>
        <v>956.41578947368407</v>
      </c>
      <c r="Q76" s="316">
        <f t="shared" ref="Q76:Q139" si="20">(H76*$C$3*$F$2)+(K76*$C$3*$F$3)+(N76*$C$3*$F$4)</f>
        <v>1609.042105263158</v>
      </c>
      <c r="R76" s="316">
        <f t="shared" ref="R76:R139" si="21">(I76*$C$4*$F$2)+(L76*$C$4*$F$3)+(O76*$C$4*$F$4)</f>
        <v>273.60000000000002</v>
      </c>
      <c r="S76" s="317">
        <f t="shared" ref="S76:S139" si="22">R76+Q76+P76</f>
        <v>2839.0578947368422</v>
      </c>
      <c r="T76" s="318">
        <f t="shared" si="15"/>
        <v>1015.9499999999999</v>
      </c>
      <c r="U76" s="319">
        <f t="shared" si="16"/>
        <v>1015.9499999999999</v>
      </c>
      <c r="V76" s="319">
        <f t="shared" si="17"/>
        <v>807.15789473684208</v>
      </c>
      <c r="X76" s="320">
        <f t="shared" ref="X76:Z139" si="23">T76*0.8</f>
        <v>812.76</v>
      </c>
      <c r="Y76" s="320">
        <f t="shared" si="23"/>
        <v>812.76</v>
      </c>
      <c r="Z76" s="320">
        <f t="shared" si="23"/>
        <v>645.72631578947369</v>
      </c>
      <c r="AB76" s="123">
        <v>856.05000000000007</v>
      </c>
      <c r="AC76" s="320">
        <f t="shared" si="18"/>
        <v>-159.89999999999986</v>
      </c>
      <c r="AI76" s="123">
        <v>856.05000000000007</v>
      </c>
      <c r="AJ76" s="320">
        <f t="shared" ref="AJ76:AJ139" si="24">T76-AI76</f>
        <v>159.89999999999986</v>
      </c>
    </row>
    <row r="77" spans="1:36" hidden="1" x14ac:dyDescent="0.35">
      <c r="A77" s="197">
        <v>3302098</v>
      </c>
      <c r="B77" s="197">
        <v>2098</v>
      </c>
      <c r="C77" s="197" t="s">
        <v>281</v>
      </c>
      <c r="D77" s="198" t="s">
        <v>49</v>
      </c>
      <c r="E77" s="198"/>
      <c r="F77" s="197"/>
      <c r="G77" s="199">
        <v>135</v>
      </c>
      <c r="H77" s="199">
        <v>30</v>
      </c>
      <c r="I77" s="199">
        <v>195</v>
      </c>
      <c r="J77" s="199">
        <v>90</v>
      </c>
      <c r="K77" s="199">
        <v>30</v>
      </c>
      <c r="L77" s="199">
        <v>150</v>
      </c>
      <c r="M77" s="315">
        <v>108.94736842105263</v>
      </c>
      <c r="N77" s="315">
        <v>33.157894736842103</v>
      </c>
      <c r="O77" s="315">
        <v>156.31578947368422</v>
      </c>
      <c r="P77" s="316">
        <f t="shared" si="19"/>
        <v>2581.7447368421053</v>
      </c>
      <c r="Q77" s="316">
        <f t="shared" si="20"/>
        <v>341.58947368421047</v>
      </c>
      <c r="R77" s="316">
        <f t="shared" si="21"/>
        <v>508.86315789473679</v>
      </c>
      <c r="S77" s="317">
        <f t="shared" si="22"/>
        <v>3432.1973684210525</v>
      </c>
      <c r="T77" s="318">
        <f t="shared" si="15"/>
        <v>1386.4499999999998</v>
      </c>
      <c r="U77" s="319">
        <f t="shared" si="16"/>
        <v>982.8</v>
      </c>
      <c r="V77" s="319">
        <f t="shared" si="17"/>
        <v>1062.9473684210527</v>
      </c>
      <c r="X77" s="320">
        <f t="shared" si="23"/>
        <v>1109.1599999999999</v>
      </c>
      <c r="Y77" s="320">
        <f t="shared" si="23"/>
        <v>786.24</v>
      </c>
      <c r="Z77" s="320">
        <f t="shared" si="23"/>
        <v>850.35789473684224</v>
      </c>
      <c r="AB77" s="123">
        <v>1308.45</v>
      </c>
      <c r="AC77" s="320">
        <f t="shared" si="18"/>
        <v>-77.999999999999773</v>
      </c>
      <c r="AI77" s="123">
        <v>1308.45</v>
      </c>
      <c r="AJ77" s="320">
        <f t="shared" si="24"/>
        <v>77.999999999999773</v>
      </c>
    </row>
    <row r="78" spans="1:36" hidden="1" x14ac:dyDescent="0.35">
      <c r="A78" s="197">
        <v>3302099</v>
      </c>
      <c r="B78" s="197">
        <v>2099</v>
      </c>
      <c r="C78" s="197" t="s">
        <v>87</v>
      </c>
      <c r="D78" s="198" t="s">
        <v>27</v>
      </c>
      <c r="E78" s="198"/>
      <c r="F78" s="197"/>
      <c r="G78" s="199">
        <v>180</v>
      </c>
      <c r="H78" s="199">
        <v>60</v>
      </c>
      <c r="I78" s="199">
        <v>105</v>
      </c>
      <c r="J78" s="199">
        <v>180</v>
      </c>
      <c r="K78" s="199">
        <v>45</v>
      </c>
      <c r="L78" s="199">
        <v>90</v>
      </c>
      <c r="M78" s="315">
        <v>113.68421052631578</v>
      </c>
      <c r="N78" s="315">
        <v>47.368421052631575</v>
      </c>
      <c r="O78" s="315">
        <v>104.21052631578948</v>
      </c>
      <c r="P78" s="316">
        <f t="shared" si="19"/>
        <v>3686.9684210526311</v>
      </c>
      <c r="Q78" s="316">
        <f t="shared" si="20"/>
        <v>560.69210526315783</v>
      </c>
      <c r="R78" s="316">
        <f t="shared" si="21"/>
        <v>302.84210526315792</v>
      </c>
      <c r="S78" s="317">
        <f t="shared" si="22"/>
        <v>4550.5026315789473</v>
      </c>
      <c r="T78" s="318">
        <f t="shared" si="15"/>
        <v>1762.8</v>
      </c>
      <c r="U78" s="319">
        <f t="shared" si="16"/>
        <v>1690.6499999999996</v>
      </c>
      <c r="V78" s="319">
        <f t="shared" si="17"/>
        <v>1097.0526315789473</v>
      </c>
      <c r="X78" s="320">
        <f t="shared" si="23"/>
        <v>1410.24</v>
      </c>
      <c r="Y78" s="320">
        <f t="shared" si="23"/>
        <v>1352.5199999999998</v>
      </c>
      <c r="Z78" s="320">
        <f t="shared" si="23"/>
        <v>877.64210526315787</v>
      </c>
      <c r="AB78" s="123" t="s">
        <v>86</v>
      </c>
      <c r="AI78" s="123">
        <v>1008.1499999999999</v>
      </c>
      <c r="AJ78" s="320">
        <f t="shared" si="24"/>
        <v>754.65000000000009</v>
      </c>
    </row>
    <row r="79" spans="1:36" hidden="1" x14ac:dyDescent="0.35">
      <c r="A79" s="197">
        <v>3302100</v>
      </c>
      <c r="B79" s="197">
        <v>2100</v>
      </c>
      <c r="C79" s="197" t="s">
        <v>282</v>
      </c>
      <c r="D79" s="198" t="s">
        <v>49</v>
      </c>
      <c r="E79" s="198"/>
      <c r="F79" s="197"/>
      <c r="G79" s="199">
        <v>210</v>
      </c>
      <c r="H79" s="199">
        <v>165</v>
      </c>
      <c r="I79" s="199">
        <v>0</v>
      </c>
      <c r="J79" s="199">
        <v>165</v>
      </c>
      <c r="K79" s="199">
        <v>135</v>
      </c>
      <c r="L79" s="199">
        <v>0</v>
      </c>
      <c r="M79" s="315">
        <v>180</v>
      </c>
      <c r="N79" s="315">
        <v>118.42105263157895</v>
      </c>
      <c r="O79" s="315">
        <v>0</v>
      </c>
      <c r="P79" s="316">
        <f t="shared" si="19"/>
        <v>4291.3500000000004</v>
      </c>
      <c r="Q79" s="316">
        <f t="shared" si="20"/>
        <v>1543.1052631578946</v>
      </c>
      <c r="R79" s="316">
        <f t="shared" si="21"/>
        <v>0</v>
      </c>
      <c r="S79" s="317">
        <f t="shared" si="22"/>
        <v>5834.4552631578954</v>
      </c>
      <c r="T79" s="318">
        <f t="shared" si="15"/>
        <v>2287.35</v>
      </c>
      <c r="U79" s="319">
        <f t="shared" si="16"/>
        <v>1817.3999999999999</v>
      </c>
      <c r="V79" s="319">
        <f t="shared" si="17"/>
        <v>1729.7052631578945</v>
      </c>
      <c r="X79" s="320">
        <f t="shared" si="23"/>
        <v>1829.88</v>
      </c>
      <c r="Y79" s="320">
        <f t="shared" si="23"/>
        <v>1453.92</v>
      </c>
      <c r="Z79" s="320">
        <f t="shared" si="23"/>
        <v>1383.7642105263158</v>
      </c>
      <c r="AB79" s="123">
        <v>2174.25</v>
      </c>
      <c r="AC79" s="320">
        <f t="shared" ref="AC79:AC81" si="25">AB79-T79</f>
        <v>-113.09999999999991</v>
      </c>
      <c r="AI79" s="123">
        <v>2174.25</v>
      </c>
      <c r="AJ79" s="320">
        <f t="shared" si="24"/>
        <v>113.09999999999991</v>
      </c>
    </row>
    <row r="80" spans="1:36" hidden="1" x14ac:dyDescent="0.35">
      <c r="A80" s="197">
        <v>3302102</v>
      </c>
      <c r="B80" s="197">
        <v>2102</v>
      </c>
      <c r="C80" s="197" t="s">
        <v>283</v>
      </c>
      <c r="D80" s="198" t="s">
        <v>49</v>
      </c>
      <c r="E80" s="198"/>
      <c r="F80" s="197"/>
      <c r="G80" s="199">
        <v>405</v>
      </c>
      <c r="H80" s="199">
        <v>165</v>
      </c>
      <c r="I80" s="199">
        <v>60</v>
      </c>
      <c r="J80" s="199">
        <v>345</v>
      </c>
      <c r="K80" s="199">
        <v>150</v>
      </c>
      <c r="L80" s="199">
        <v>0</v>
      </c>
      <c r="M80" s="315">
        <v>213.15789473684211</v>
      </c>
      <c r="N80" s="315">
        <v>189.4736842105263</v>
      </c>
      <c r="O80" s="315">
        <v>18.94736842105263</v>
      </c>
      <c r="P80" s="316">
        <f t="shared" si="19"/>
        <v>7507.8157894736842</v>
      </c>
      <c r="Q80" s="316">
        <f t="shared" si="20"/>
        <v>1846.9184210526314</v>
      </c>
      <c r="R80" s="316">
        <f t="shared" si="21"/>
        <v>80.589473684210532</v>
      </c>
      <c r="S80" s="317">
        <f t="shared" si="22"/>
        <v>9435.3236842105252</v>
      </c>
      <c r="T80" s="318">
        <f t="shared" si="15"/>
        <v>3896.1</v>
      </c>
      <c r="U80" s="319">
        <f t="shared" si="16"/>
        <v>3301.35</v>
      </c>
      <c r="V80" s="319">
        <f t="shared" si="17"/>
        <v>2237.8736842105263</v>
      </c>
      <c r="X80" s="320">
        <f t="shared" si="23"/>
        <v>3116.88</v>
      </c>
      <c r="Y80" s="320">
        <f t="shared" si="23"/>
        <v>2641.08</v>
      </c>
      <c r="Z80" s="320">
        <f t="shared" si="23"/>
        <v>1790.2989473684211</v>
      </c>
      <c r="AB80" s="123">
        <v>2131.3499999999995</v>
      </c>
      <c r="AC80" s="320">
        <f t="shared" si="25"/>
        <v>-1764.7500000000005</v>
      </c>
      <c r="AI80" s="123">
        <v>2131.3499999999995</v>
      </c>
      <c r="AJ80" s="320">
        <f t="shared" si="24"/>
        <v>1764.7500000000005</v>
      </c>
    </row>
    <row r="81" spans="1:36" hidden="1" x14ac:dyDescent="0.35">
      <c r="A81" s="197">
        <v>3302103</v>
      </c>
      <c r="B81" s="197">
        <v>2103</v>
      </c>
      <c r="C81" s="197" t="s">
        <v>284</v>
      </c>
      <c r="D81" s="198" t="s">
        <v>49</v>
      </c>
      <c r="E81" s="198"/>
      <c r="F81" s="197"/>
      <c r="G81" s="199">
        <v>90</v>
      </c>
      <c r="H81" s="199">
        <v>165</v>
      </c>
      <c r="I81" s="199">
        <v>240</v>
      </c>
      <c r="J81" s="199">
        <v>45</v>
      </c>
      <c r="K81" s="199">
        <v>150</v>
      </c>
      <c r="L81" s="199">
        <v>225</v>
      </c>
      <c r="M81" s="315">
        <v>33.157894736842103</v>
      </c>
      <c r="N81" s="315">
        <v>132.63157894736841</v>
      </c>
      <c r="O81" s="315">
        <v>165.78947368421052</v>
      </c>
      <c r="P81" s="316">
        <f t="shared" si="19"/>
        <v>1313.2657894736842</v>
      </c>
      <c r="Q81" s="316">
        <f t="shared" si="20"/>
        <v>1649.1078947368419</v>
      </c>
      <c r="R81" s="316">
        <f t="shared" si="21"/>
        <v>642.7578947368421</v>
      </c>
      <c r="S81" s="317">
        <f t="shared" si="22"/>
        <v>3605.1315789473683</v>
      </c>
      <c r="T81" s="318">
        <f t="shared" si="15"/>
        <v>1585.35</v>
      </c>
      <c r="U81" s="319">
        <f t="shared" si="16"/>
        <v>1156.3499999999999</v>
      </c>
      <c r="V81" s="319">
        <f t="shared" si="17"/>
        <v>863.43157894736828</v>
      </c>
      <c r="X81" s="320">
        <f t="shared" si="23"/>
        <v>1268.28</v>
      </c>
      <c r="Y81" s="320">
        <f t="shared" si="23"/>
        <v>925.07999999999993</v>
      </c>
      <c r="Z81" s="320">
        <f t="shared" si="23"/>
        <v>690.74526315789467</v>
      </c>
      <c r="AB81" s="123">
        <v>902.85</v>
      </c>
      <c r="AC81" s="320">
        <f t="shared" si="25"/>
        <v>-682.49999999999989</v>
      </c>
      <c r="AI81" s="123">
        <v>902.85</v>
      </c>
      <c r="AJ81" s="320">
        <f t="shared" si="24"/>
        <v>682.49999999999989</v>
      </c>
    </row>
    <row r="82" spans="1:36" hidden="1" x14ac:dyDescent="0.35">
      <c r="A82" s="197">
        <v>3302108</v>
      </c>
      <c r="B82" s="197">
        <v>2108</v>
      </c>
      <c r="C82" s="197" t="s">
        <v>161</v>
      </c>
      <c r="D82" s="198" t="s">
        <v>27</v>
      </c>
      <c r="E82" s="198"/>
      <c r="F82" s="197"/>
      <c r="G82" s="199">
        <v>0</v>
      </c>
      <c r="H82" s="199">
        <v>435</v>
      </c>
      <c r="I82" s="199">
        <v>165</v>
      </c>
      <c r="J82" s="199">
        <v>0</v>
      </c>
      <c r="K82" s="199">
        <v>435</v>
      </c>
      <c r="L82" s="199">
        <v>135</v>
      </c>
      <c r="M82" s="315">
        <v>9.473684210526315</v>
      </c>
      <c r="N82" s="315">
        <v>454.73684210526312</v>
      </c>
      <c r="O82" s="315">
        <v>151.57894736842104</v>
      </c>
      <c r="P82" s="316">
        <f t="shared" si="19"/>
        <v>69.347368421052636</v>
      </c>
      <c r="Q82" s="316">
        <f t="shared" si="20"/>
        <v>4862.3842105263157</v>
      </c>
      <c r="R82" s="316">
        <f t="shared" si="21"/>
        <v>457.51578947368421</v>
      </c>
      <c r="S82" s="317">
        <f t="shared" si="22"/>
        <v>5389.2473684210527</v>
      </c>
      <c r="T82" s="318">
        <f t="shared" si="15"/>
        <v>1811.5499999999997</v>
      </c>
      <c r="U82" s="319">
        <f t="shared" si="16"/>
        <v>1780.35</v>
      </c>
      <c r="V82" s="319">
        <f t="shared" si="17"/>
        <v>1797.3473684210524</v>
      </c>
      <c r="X82" s="320">
        <f t="shared" si="23"/>
        <v>1449.2399999999998</v>
      </c>
      <c r="Y82" s="320">
        <f t="shared" si="23"/>
        <v>1424.28</v>
      </c>
      <c r="Z82" s="320">
        <f t="shared" si="23"/>
        <v>1437.8778947368419</v>
      </c>
      <c r="AB82" s="123" t="s">
        <v>160</v>
      </c>
      <c r="AI82" s="123">
        <v>2172.2999999999997</v>
      </c>
      <c r="AJ82" s="320">
        <f t="shared" si="24"/>
        <v>-360.75</v>
      </c>
    </row>
    <row r="83" spans="1:36" hidden="1" x14ac:dyDescent="0.35">
      <c r="A83" s="197">
        <v>3302109</v>
      </c>
      <c r="B83" s="197">
        <v>2109</v>
      </c>
      <c r="C83" s="197" t="s">
        <v>285</v>
      </c>
      <c r="D83" s="198" t="s">
        <v>49</v>
      </c>
      <c r="E83" s="198"/>
      <c r="F83" s="197"/>
      <c r="G83" s="199">
        <v>120</v>
      </c>
      <c r="H83" s="199">
        <v>0</v>
      </c>
      <c r="I83" s="199">
        <v>60</v>
      </c>
      <c r="J83" s="199">
        <v>75</v>
      </c>
      <c r="K83" s="199">
        <v>0</v>
      </c>
      <c r="L83" s="199">
        <v>60</v>
      </c>
      <c r="M83" s="315">
        <v>94.73684210526315</v>
      </c>
      <c r="N83" s="315">
        <v>9.473684210526315</v>
      </c>
      <c r="O83" s="315">
        <v>61.578947368421055</v>
      </c>
      <c r="P83" s="316">
        <f t="shared" si="19"/>
        <v>2239.8236842105262</v>
      </c>
      <c r="Q83" s="316">
        <f t="shared" si="20"/>
        <v>32.968421052631577</v>
      </c>
      <c r="R83" s="316">
        <f t="shared" si="21"/>
        <v>183.91578947368421</v>
      </c>
      <c r="S83" s="317">
        <f t="shared" si="22"/>
        <v>2456.7078947368418</v>
      </c>
      <c r="T83" s="318">
        <f t="shared" si="15"/>
        <v>1014</v>
      </c>
      <c r="U83" s="319">
        <f t="shared" si="16"/>
        <v>657.15</v>
      </c>
      <c r="V83" s="319">
        <f t="shared" si="17"/>
        <v>785.55789473684206</v>
      </c>
      <c r="X83" s="320">
        <f t="shared" si="23"/>
        <v>811.2</v>
      </c>
      <c r="Y83" s="320">
        <f t="shared" si="23"/>
        <v>525.72</v>
      </c>
      <c r="Z83" s="320">
        <f t="shared" si="23"/>
        <v>628.44631578947372</v>
      </c>
      <c r="AB83" s="123">
        <v>1086.1500000000001</v>
      </c>
      <c r="AC83" s="320">
        <f t="shared" ref="AC83:AC84" si="26">AB83-T83</f>
        <v>72.150000000000091</v>
      </c>
      <c r="AI83" s="123">
        <v>1086.1500000000001</v>
      </c>
      <c r="AJ83" s="320">
        <f t="shared" si="24"/>
        <v>-72.150000000000091</v>
      </c>
    </row>
    <row r="84" spans="1:36" hidden="1" x14ac:dyDescent="0.35">
      <c r="A84" s="197">
        <v>3302110</v>
      </c>
      <c r="B84" s="197">
        <v>2110</v>
      </c>
      <c r="C84" s="197" t="s">
        <v>286</v>
      </c>
      <c r="D84" s="198" t="s">
        <v>49</v>
      </c>
      <c r="E84" s="198"/>
      <c r="F84" s="197"/>
      <c r="G84" s="199">
        <v>90</v>
      </c>
      <c r="H84" s="199">
        <v>45</v>
      </c>
      <c r="I84" s="199">
        <v>660</v>
      </c>
      <c r="J84" s="199">
        <v>60</v>
      </c>
      <c r="K84" s="199">
        <v>15</v>
      </c>
      <c r="L84" s="199">
        <v>405</v>
      </c>
      <c r="M84" s="315">
        <v>47.368421052631575</v>
      </c>
      <c r="N84" s="315">
        <v>14.210526315789473</v>
      </c>
      <c r="O84" s="315">
        <v>440.52631578947364</v>
      </c>
      <c r="P84" s="316">
        <f t="shared" si="19"/>
        <v>1536.2368421052631</v>
      </c>
      <c r="Q84" s="316">
        <f t="shared" si="20"/>
        <v>275.65263157894736</v>
      </c>
      <c r="R84" s="316">
        <f t="shared" si="21"/>
        <v>1530.5052631578947</v>
      </c>
      <c r="S84" s="317">
        <f t="shared" si="22"/>
        <v>3342.394736842105</v>
      </c>
      <c r="T84" s="318">
        <f t="shared" si="15"/>
        <v>1569.75</v>
      </c>
      <c r="U84" s="319">
        <f t="shared" si="16"/>
        <v>953.55</v>
      </c>
      <c r="V84" s="319">
        <f t="shared" si="17"/>
        <v>819.09473684210514</v>
      </c>
      <c r="X84" s="320">
        <f t="shared" si="23"/>
        <v>1255.8000000000002</v>
      </c>
      <c r="Y84" s="320">
        <f t="shared" si="23"/>
        <v>762.84</v>
      </c>
      <c r="Z84" s="320">
        <f t="shared" si="23"/>
        <v>655.2757894736842</v>
      </c>
      <c r="AB84" s="123">
        <v>928.2</v>
      </c>
      <c r="AC84" s="320">
        <f t="shared" si="26"/>
        <v>-641.54999999999995</v>
      </c>
      <c r="AI84" s="123">
        <v>928.2</v>
      </c>
      <c r="AJ84" s="320">
        <f t="shared" si="24"/>
        <v>641.54999999999995</v>
      </c>
    </row>
    <row r="85" spans="1:36" hidden="1" x14ac:dyDescent="0.35">
      <c r="A85" s="197">
        <v>3302115</v>
      </c>
      <c r="B85" s="197">
        <v>2115</v>
      </c>
      <c r="C85" s="197" t="s">
        <v>287</v>
      </c>
      <c r="D85" s="198" t="s">
        <v>27</v>
      </c>
      <c r="E85" s="198"/>
      <c r="F85" s="197"/>
      <c r="G85" s="199">
        <v>60</v>
      </c>
      <c r="H85" s="199">
        <v>210</v>
      </c>
      <c r="I85" s="199">
        <v>0</v>
      </c>
      <c r="J85" s="199">
        <v>45</v>
      </c>
      <c r="K85" s="199">
        <v>165</v>
      </c>
      <c r="L85" s="199">
        <v>0</v>
      </c>
      <c r="M85" s="315">
        <v>85.26315789473685</v>
      </c>
      <c r="N85" s="315">
        <v>161.05263157894737</v>
      </c>
      <c r="O85" s="315">
        <v>9.473684210526315</v>
      </c>
      <c r="P85" s="316">
        <f t="shared" si="19"/>
        <v>1456.7763157894738</v>
      </c>
      <c r="Q85" s="316">
        <f t="shared" si="20"/>
        <v>1974.2131578947369</v>
      </c>
      <c r="R85" s="316">
        <f t="shared" si="21"/>
        <v>9.094736842105263</v>
      </c>
      <c r="S85" s="317">
        <f t="shared" si="22"/>
        <v>3440.0842105263159</v>
      </c>
      <c r="T85" s="318">
        <f t="shared" si="15"/>
        <v>1267.5</v>
      </c>
      <c r="U85" s="319">
        <f t="shared" si="16"/>
        <v>978.89999999999986</v>
      </c>
      <c r="V85" s="319">
        <f t="shared" si="17"/>
        <v>1193.6842105263158</v>
      </c>
      <c r="X85" s="320">
        <f t="shared" si="23"/>
        <v>1014</v>
      </c>
      <c r="Y85" s="320">
        <f t="shared" si="23"/>
        <v>783.11999999999989</v>
      </c>
      <c r="Z85" s="320">
        <f t="shared" si="23"/>
        <v>954.94736842105272</v>
      </c>
      <c r="AB85" s="123" t="s">
        <v>102</v>
      </c>
      <c r="AI85" s="123">
        <v>1630.1999999999998</v>
      </c>
      <c r="AJ85" s="320">
        <f t="shared" si="24"/>
        <v>-362.69999999999982</v>
      </c>
    </row>
    <row r="86" spans="1:36" hidden="1" x14ac:dyDescent="0.35">
      <c r="A86" s="197">
        <v>3302117</v>
      </c>
      <c r="B86" s="197">
        <v>2117</v>
      </c>
      <c r="C86" s="197" t="s">
        <v>288</v>
      </c>
      <c r="D86" s="198" t="s">
        <v>49</v>
      </c>
      <c r="E86" s="198"/>
      <c r="F86" s="197"/>
      <c r="G86" s="199">
        <v>15</v>
      </c>
      <c r="H86" s="199">
        <v>30</v>
      </c>
      <c r="I86" s="199">
        <v>435</v>
      </c>
      <c r="J86" s="199">
        <v>15</v>
      </c>
      <c r="K86" s="199">
        <v>60</v>
      </c>
      <c r="L86" s="199">
        <v>210</v>
      </c>
      <c r="M86" s="315">
        <v>80.526315789473685</v>
      </c>
      <c r="N86" s="315">
        <v>61.578947368421055</v>
      </c>
      <c r="O86" s="315">
        <v>288.9473684210526</v>
      </c>
      <c r="P86" s="316">
        <f t="shared" si="19"/>
        <v>827.35263157894735</v>
      </c>
      <c r="Q86" s="316">
        <f t="shared" si="20"/>
        <v>553.59473684210525</v>
      </c>
      <c r="R86" s="316">
        <f t="shared" si="21"/>
        <v>948.18947368421061</v>
      </c>
      <c r="S86" s="317">
        <f t="shared" si="22"/>
        <v>2329.136842105263</v>
      </c>
      <c r="T86" s="318">
        <f t="shared" si="15"/>
        <v>684.45</v>
      </c>
      <c r="U86" s="319">
        <f t="shared" si="16"/>
        <v>563.54999999999995</v>
      </c>
      <c r="V86" s="319">
        <f t="shared" si="17"/>
        <v>1081.1368421052632</v>
      </c>
      <c r="X86" s="320">
        <f t="shared" si="23"/>
        <v>547.56000000000006</v>
      </c>
      <c r="Y86" s="320">
        <f t="shared" si="23"/>
        <v>450.84</v>
      </c>
      <c r="Z86" s="320">
        <f t="shared" si="23"/>
        <v>864.90947368421064</v>
      </c>
      <c r="AB86" s="123">
        <v>1593.1499999999999</v>
      </c>
      <c r="AC86" s="320">
        <f t="shared" ref="AC86:AC89" si="27">AB86-T86</f>
        <v>908.69999999999982</v>
      </c>
      <c r="AI86" s="123">
        <v>1593.1499999999999</v>
      </c>
      <c r="AJ86" s="320">
        <f t="shared" si="24"/>
        <v>-908.69999999999982</v>
      </c>
    </row>
    <row r="87" spans="1:36" hidden="1" x14ac:dyDescent="0.35">
      <c r="A87" s="197">
        <v>3302119</v>
      </c>
      <c r="B87" s="197">
        <v>2119</v>
      </c>
      <c r="C87" s="197" t="s">
        <v>289</v>
      </c>
      <c r="D87" s="198" t="s">
        <v>49</v>
      </c>
      <c r="E87" s="198"/>
      <c r="F87" s="197"/>
      <c r="G87" s="199">
        <v>45</v>
      </c>
      <c r="H87" s="199">
        <v>15</v>
      </c>
      <c r="I87" s="199">
        <v>60</v>
      </c>
      <c r="J87" s="199">
        <v>30</v>
      </c>
      <c r="K87" s="199">
        <v>15</v>
      </c>
      <c r="L87" s="199">
        <v>75</v>
      </c>
      <c r="M87" s="315">
        <v>37.89473684210526</v>
      </c>
      <c r="N87" s="315">
        <v>4.7368421052631575</v>
      </c>
      <c r="O87" s="315">
        <v>99.473684210526301</v>
      </c>
      <c r="P87" s="316">
        <f t="shared" si="19"/>
        <v>872.13947368421054</v>
      </c>
      <c r="Q87" s="316">
        <f t="shared" si="20"/>
        <v>129.58421052631579</v>
      </c>
      <c r="R87" s="316">
        <f t="shared" si="21"/>
        <v>235.89473684210526</v>
      </c>
      <c r="S87" s="317">
        <f t="shared" si="22"/>
        <v>1237.6184210526317</v>
      </c>
      <c r="T87" s="318">
        <f t="shared" si="15"/>
        <v>475.79999999999995</v>
      </c>
      <c r="U87" s="319">
        <f t="shared" si="16"/>
        <v>372.45</v>
      </c>
      <c r="V87" s="319">
        <f t="shared" si="17"/>
        <v>389.36842105263156</v>
      </c>
      <c r="X87" s="320">
        <f t="shared" si="23"/>
        <v>380.64</v>
      </c>
      <c r="Y87" s="320">
        <f t="shared" si="23"/>
        <v>297.95999999999998</v>
      </c>
      <c r="Z87" s="320">
        <f t="shared" si="23"/>
        <v>311.49473684210528</v>
      </c>
      <c r="AB87" s="123">
        <v>481.65</v>
      </c>
      <c r="AC87" s="320">
        <f t="shared" si="27"/>
        <v>5.8500000000000227</v>
      </c>
      <c r="AI87" s="123">
        <v>481.65</v>
      </c>
      <c r="AJ87" s="320">
        <f t="shared" si="24"/>
        <v>-5.8500000000000227</v>
      </c>
    </row>
    <row r="88" spans="1:36" hidden="1" x14ac:dyDescent="0.35">
      <c r="A88" s="197">
        <v>3302121</v>
      </c>
      <c r="B88" s="197">
        <v>2121</v>
      </c>
      <c r="C88" s="197" t="s">
        <v>290</v>
      </c>
      <c r="D88" s="198" t="s">
        <v>49</v>
      </c>
      <c r="E88" s="198"/>
      <c r="F88" s="197"/>
      <c r="G88" s="199">
        <v>240</v>
      </c>
      <c r="H88" s="199">
        <v>105</v>
      </c>
      <c r="I88" s="199">
        <v>0</v>
      </c>
      <c r="J88" s="199">
        <v>165</v>
      </c>
      <c r="K88" s="199">
        <v>60</v>
      </c>
      <c r="L88" s="199">
        <v>15</v>
      </c>
      <c r="M88" s="315">
        <v>208.42105263157896</v>
      </c>
      <c r="N88" s="315">
        <v>85.26315789473685</v>
      </c>
      <c r="O88" s="315">
        <v>4.7368421052631575</v>
      </c>
      <c r="P88" s="316">
        <f t="shared" si="19"/>
        <v>4737.2921052631573</v>
      </c>
      <c r="Q88" s="316">
        <f t="shared" si="20"/>
        <v>918.76578947368421</v>
      </c>
      <c r="R88" s="316">
        <f t="shared" si="21"/>
        <v>20.147368421052633</v>
      </c>
      <c r="S88" s="317">
        <f t="shared" si="22"/>
        <v>5676.2052631578945</v>
      </c>
      <c r="T88" s="318">
        <f t="shared" si="15"/>
        <v>2299.0500000000002</v>
      </c>
      <c r="U88" s="319">
        <f t="shared" si="16"/>
        <v>1550.2499999999998</v>
      </c>
      <c r="V88" s="319">
        <f t="shared" si="17"/>
        <v>1826.9052631578948</v>
      </c>
      <c r="X88" s="320">
        <f t="shared" si="23"/>
        <v>1839.2400000000002</v>
      </c>
      <c r="Y88" s="320">
        <f t="shared" si="23"/>
        <v>1240.1999999999998</v>
      </c>
      <c r="Z88" s="320">
        <f t="shared" si="23"/>
        <v>1461.524210526316</v>
      </c>
      <c r="AB88" s="123">
        <v>2768.9999999999995</v>
      </c>
      <c r="AC88" s="320">
        <f t="shared" si="27"/>
        <v>469.94999999999936</v>
      </c>
      <c r="AI88" s="123">
        <v>2768.9999999999995</v>
      </c>
      <c r="AJ88" s="320">
        <f t="shared" si="24"/>
        <v>-469.94999999999936</v>
      </c>
    </row>
    <row r="89" spans="1:36" hidden="1" x14ac:dyDescent="0.35">
      <c r="A89" s="197">
        <v>3302122</v>
      </c>
      <c r="B89" s="197">
        <v>2122</v>
      </c>
      <c r="C89" s="197" t="s">
        <v>291</v>
      </c>
      <c r="D89" s="198" t="s">
        <v>49</v>
      </c>
      <c r="E89" s="198"/>
      <c r="F89" s="197"/>
      <c r="G89" s="199">
        <v>0</v>
      </c>
      <c r="H89" s="199">
        <v>135</v>
      </c>
      <c r="I89" s="199">
        <v>570</v>
      </c>
      <c r="J89" s="199">
        <v>0</v>
      </c>
      <c r="K89" s="199">
        <v>120</v>
      </c>
      <c r="L89" s="199">
        <v>315</v>
      </c>
      <c r="M89" s="315">
        <v>9.473684210526315</v>
      </c>
      <c r="N89" s="315">
        <v>151.57894736842104</v>
      </c>
      <c r="O89" s="315">
        <v>468.94736842105266</v>
      </c>
      <c r="P89" s="316">
        <f t="shared" si="19"/>
        <v>69.347368421052636</v>
      </c>
      <c r="Q89" s="316">
        <f t="shared" si="20"/>
        <v>1488.8447368421052</v>
      </c>
      <c r="R89" s="316">
        <f t="shared" si="21"/>
        <v>1370.5894736842106</v>
      </c>
      <c r="S89" s="317">
        <f t="shared" si="22"/>
        <v>2928.7815789473684</v>
      </c>
      <c r="T89" s="318">
        <f t="shared" si="15"/>
        <v>1101.75</v>
      </c>
      <c r="U89" s="319">
        <f t="shared" si="16"/>
        <v>780</v>
      </c>
      <c r="V89" s="319">
        <f t="shared" si="17"/>
        <v>1047.0315789473684</v>
      </c>
      <c r="X89" s="320">
        <f t="shared" si="23"/>
        <v>881.40000000000009</v>
      </c>
      <c r="Y89" s="320">
        <f t="shared" si="23"/>
        <v>624</v>
      </c>
      <c r="Z89" s="320">
        <f t="shared" si="23"/>
        <v>837.62526315789478</v>
      </c>
      <c r="AB89" s="123">
        <v>1437.15</v>
      </c>
      <c r="AC89" s="320">
        <f t="shared" si="27"/>
        <v>335.40000000000009</v>
      </c>
      <c r="AI89" s="123">
        <v>1437.15</v>
      </c>
      <c r="AJ89" s="320">
        <f t="shared" si="24"/>
        <v>-335.40000000000009</v>
      </c>
    </row>
    <row r="90" spans="1:36" hidden="1" x14ac:dyDescent="0.35">
      <c r="A90" s="197">
        <v>3302127</v>
      </c>
      <c r="B90" s="197">
        <v>2127</v>
      </c>
      <c r="C90" s="197" t="s">
        <v>292</v>
      </c>
      <c r="D90" s="198" t="s">
        <v>27</v>
      </c>
      <c r="E90" s="198"/>
      <c r="F90" s="197"/>
      <c r="G90" s="199">
        <v>105</v>
      </c>
      <c r="H90" s="199">
        <v>285</v>
      </c>
      <c r="I90" s="199">
        <v>210</v>
      </c>
      <c r="J90" s="199">
        <v>105</v>
      </c>
      <c r="K90" s="199">
        <v>255</v>
      </c>
      <c r="L90" s="199">
        <v>195</v>
      </c>
      <c r="M90" s="315">
        <v>127.89473684210526</v>
      </c>
      <c r="N90" s="315">
        <v>279.47368421052636</v>
      </c>
      <c r="O90" s="315">
        <v>146.84210526315789</v>
      </c>
      <c r="P90" s="316">
        <f t="shared" si="19"/>
        <v>2601.4894736842107</v>
      </c>
      <c r="Q90" s="316">
        <f t="shared" si="20"/>
        <v>3008.3684210526317</v>
      </c>
      <c r="R90" s="316">
        <f t="shared" si="21"/>
        <v>562.16842105263163</v>
      </c>
      <c r="S90" s="317">
        <f t="shared" si="22"/>
        <v>6172.0263157894742</v>
      </c>
      <c r="T90" s="318">
        <f t="shared" si="15"/>
        <v>2125.5</v>
      </c>
      <c r="U90" s="319">
        <f t="shared" si="16"/>
        <v>1996.8</v>
      </c>
      <c r="V90" s="319">
        <f t="shared" si="17"/>
        <v>2049.726315789474</v>
      </c>
      <c r="X90" s="320">
        <f t="shared" si="23"/>
        <v>1700.4</v>
      </c>
      <c r="Y90" s="320">
        <f t="shared" si="23"/>
        <v>1597.44</v>
      </c>
      <c r="Z90" s="320">
        <f t="shared" si="23"/>
        <v>1639.7810526315793</v>
      </c>
      <c r="AB90" s="123" t="s">
        <v>106</v>
      </c>
      <c r="AI90" s="123">
        <v>2455.0499999999997</v>
      </c>
      <c r="AJ90" s="320">
        <f t="shared" si="24"/>
        <v>-329.54999999999973</v>
      </c>
    </row>
    <row r="91" spans="1:36" hidden="1" x14ac:dyDescent="0.35">
      <c r="A91" s="197">
        <v>3302132</v>
      </c>
      <c r="B91" s="197">
        <v>2132</v>
      </c>
      <c r="C91" s="197" t="s">
        <v>293</v>
      </c>
      <c r="D91" s="198" t="s">
        <v>49</v>
      </c>
      <c r="E91" s="198"/>
      <c r="F91" s="197"/>
      <c r="G91" s="199">
        <v>0</v>
      </c>
      <c r="H91" s="199">
        <v>180</v>
      </c>
      <c r="I91" s="199">
        <v>510</v>
      </c>
      <c r="J91" s="199">
        <v>0</v>
      </c>
      <c r="K91" s="199">
        <v>180</v>
      </c>
      <c r="L91" s="199">
        <v>435</v>
      </c>
      <c r="M91" s="315">
        <v>0</v>
      </c>
      <c r="N91" s="315">
        <v>146.84210526315789</v>
      </c>
      <c r="O91" s="315">
        <v>521.05263157894728</v>
      </c>
      <c r="P91" s="316">
        <f t="shared" si="19"/>
        <v>0</v>
      </c>
      <c r="Q91" s="316">
        <f t="shared" si="20"/>
        <v>1868.2105263157891</v>
      </c>
      <c r="R91" s="316">
        <f t="shared" si="21"/>
        <v>1483.0105263157895</v>
      </c>
      <c r="S91" s="317">
        <f t="shared" si="22"/>
        <v>3351.2210526315785</v>
      </c>
      <c r="T91" s="318">
        <f t="shared" si="15"/>
        <v>1209</v>
      </c>
      <c r="U91" s="319">
        <f t="shared" si="16"/>
        <v>1131</v>
      </c>
      <c r="V91" s="319">
        <f t="shared" si="17"/>
        <v>1011.2210526315788</v>
      </c>
      <c r="X91" s="320">
        <f t="shared" si="23"/>
        <v>967.2</v>
      </c>
      <c r="Y91" s="320">
        <f t="shared" si="23"/>
        <v>904.80000000000007</v>
      </c>
      <c r="Z91" s="320">
        <f t="shared" si="23"/>
        <v>808.97684210526313</v>
      </c>
      <c r="AB91" s="123">
        <v>1189.5</v>
      </c>
      <c r="AC91" s="320">
        <f t="shared" ref="AC91:AC94" si="28">AB91-T91</f>
        <v>-19.5</v>
      </c>
      <c r="AI91" s="123">
        <v>1189.5</v>
      </c>
      <c r="AJ91" s="320">
        <f t="shared" si="24"/>
        <v>19.5</v>
      </c>
    </row>
    <row r="92" spans="1:36" hidden="1" x14ac:dyDescent="0.35">
      <c r="A92" s="197">
        <v>3302136</v>
      </c>
      <c r="B92" s="197">
        <v>2136</v>
      </c>
      <c r="C92" s="197" t="s">
        <v>294</v>
      </c>
      <c r="D92" s="198" t="s">
        <v>49</v>
      </c>
      <c r="E92" s="198"/>
      <c r="F92" s="197"/>
      <c r="G92" s="199">
        <v>135</v>
      </c>
      <c r="H92" s="199">
        <v>30</v>
      </c>
      <c r="I92" s="199">
        <v>180</v>
      </c>
      <c r="J92" s="199">
        <v>120</v>
      </c>
      <c r="K92" s="199">
        <v>75</v>
      </c>
      <c r="L92" s="199">
        <v>165</v>
      </c>
      <c r="M92" s="315">
        <v>180</v>
      </c>
      <c r="N92" s="315">
        <v>28.421052631578945</v>
      </c>
      <c r="O92" s="315">
        <v>170.5263157894737</v>
      </c>
      <c r="P92" s="316">
        <f t="shared" si="19"/>
        <v>3339.75</v>
      </c>
      <c r="Q92" s="316">
        <f t="shared" si="20"/>
        <v>494.75526315789477</v>
      </c>
      <c r="R92" s="316">
        <f t="shared" si="21"/>
        <v>522.50526315789489</v>
      </c>
      <c r="S92" s="317">
        <f t="shared" si="22"/>
        <v>4357.0105263157893</v>
      </c>
      <c r="T92" s="318">
        <f t="shared" si="15"/>
        <v>1370.85</v>
      </c>
      <c r="U92" s="319">
        <f t="shared" si="16"/>
        <v>1405.9499999999998</v>
      </c>
      <c r="V92" s="319">
        <f t="shared" si="17"/>
        <v>1580.2105263157894</v>
      </c>
      <c r="X92" s="320">
        <f t="shared" si="23"/>
        <v>1096.68</v>
      </c>
      <c r="Y92" s="320">
        <f t="shared" si="23"/>
        <v>1124.76</v>
      </c>
      <c r="Z92" s="320">
        <f t="shared" si="23"/>
        <v>1264.1684210526316</v>
      </c>
      <c r="AB92" s="123">
        <v>2059.1999999999998</v>
      </c>
      <c r="AC92" s="320">
        <f t="shared" si="28"/>
        <v>688.34999999999991</v>
      </c>
      <c r="AI92" s="123">
        <v>2059.1999999999998</v>
      </c>
      <c r="AJ92" s="320">
        <f t="shared" si="24"/>
        <v>-688.34999999999991</v>
      </c>
    </row>
    <row r="93" spans="1:36" hidden="1" x14ac:dyDescent="0.35">
      <c r="A93" s="197">
        <v>3302138</v>
      </c>
      <c r="B93" s="197">
        <v>2138</v>
      </c>
      <c r="C93" s="197" t="s">
        <v>295</v>
      </c>
      <c r="D93" s="198" t="s">
        <v>49</v>
      </c>
      <c r="E93" s="198"/>
      <c r="F93" s="197"/>
      <c r="G93" s="199">
        <v>0</v>
      </c>
      <c r="H93" s="199">
        <v>0</v>
      </c>
      <c r="I93" s="199">
        <v>105</v>
      </c>
      <c r="J93" s="199">
        <v>0</v>
      </c>
      <c r="K93" s="199">
        <v>0</v>
      </c>
      <c r="L93" s="199">
        <v>30</v>
      </c>
      <c r="M93" s="315">
        <v>0</v>
      </c>
      <c r="N93" s="315">
        <v>37.89473684210526</v>
      </c>
      <c r="O93" s="315">
        <v>66.315789473684205</v>
      </c>
      <c r="P93" s="316">
        <f t="shared" si="19"/>
        <v>0</v>
      </c>
      <c r="Q93" s="316">
        <f t="shared" si="20"/>
        <v>131.87368421052631</v>
      </c>
      <c r="R93" s="316">
        <f t="shared" si="21"/>
        <v>204.06315789473683</v>
      </c>
      <c r="S93" s="317">
        <f t="shared" si="22"/>
        <v>335.93684210526317</v>
      </c>
      <c r="T93" s="318">
        <f t="shared" si="15"/>
        <v>109.2</v>
      </c>
      <c r="U93" s="319">
        <f t="shared" si="16"/>
        <v>31.2</v>
      </c>
      <c r="V93" s="319">
        <f t="shared" si="17"/>
        <v>195.53684210526313</v>
      </c>
      <c r="X93" s="320">
        <f t="shared" si="23"/>
        <v>87.360000000000014</v>
      </c>
      <c r="Y93" s="320">
        <f t="shared" si="23"/>
        <v>24.96</v>
      </c>
      <c r="Z93" s="320">
        <f t="shared" si="23"/>
        <v>156.42947368421051</v>
      </c>
      <c r="AB93" s="123">
        <v>319.8</v>
      </c>
      <c r="AC93" s="320">
        <f t="shared" si="28"/>
        <v>210.60000000000002</v>
      </c>
      <c r="AI93" s="123">
        <v>319.8</v>
      </c>
      <c r="AJ93" s="320">
        <f t="shared" si="24"/>
        <v>-210.60000000000002</v>
      </c>
    </row>
    <row r="94" spans="1:36" hidden="1" x14ac:dyDescent="0.35">
      <c r="A94" s="197">
        <v>3302141</v>
      </c>
      <c r="B94" s="197">
        <v>2141</v>
      </c>
      <c r="C94" s="197" t="s">
        <v>296</v>
      </c>
      <c r="D94" s="198" t="s">
        <v>49</v>
      </c>
      <c r="E94" s="198"/>
      <c r="F94" s="197"/>
      <c r="G94" s="199">
        <v>255</v>
      </c>
      <c r="H94" s="199">
        <v>0</v>
      </c>
      <c r="I94" s="199">
        <v>0</v>
      </c>
      <c r="J94" s="199">
        <v>240</v>
      </c>
      <c r="K94" s="199">
        <v>0</v>
      </c>
      <c r="L94" s="199">
        <v>0</v>
      </c>
      <c r="M94" s="315">
        <v>208.42105263157896</v>
      </c>
      <c r="N94" s="315">
        <v>28.421052631578945</v>
      </c>
      <c r="O94" s="315">
        <v>0</v>
      </c>
      <c r="P94" s="316">
        <f t="shared" si="19"/>
        <v>5450.992105263158</v>
      </c>
      <c r="Q94" s="316">
        <f t="shared" si="20"/>
        <v>98.905263157894723</v>
      </c>
      <c r="R94" s="316">
        <f t="shared" si="21"/>
        <v>0</v>
      </c>
      <c r="S94" s="317">
        <f t="shared" si="22"/>
        <v>5549.8973684210523</v>
      </c>
      <c r="T94" s="318">
        <f t="shared" si="15"/>
        <v>2022.1499999999999</v>
      </c>
      <c r="U94" s="319">
        <f t="shared" si="16"/>
        <v>1903.2</v>
      </c>
      <c r="V94" s="319">
        <f t="shared" si="17"/>
        <v>1624.5473684210526</v>
      </c>
      <c r="X94" s="320">
        <f t="shared" si="23"/>
        <v>1617.72</v>
      </c>
      <c r="Y94" s="320">
        <f t="shared" si="23"/>
        <v>1522.5600000000002</v>
      </c>
      <c r="Z94" s="320">
        <f t="shared" si="23"/>
        <v>1299.6378947368421</v>
      </c>
      <c r="AB94" s="123">
        <v>1834.9499999999998</v>
      </c>
      <c r="AC94" s="320">
        <f t="shared" si="28"/>
        <v>-187.20000000000005</v>
      </c>
      <c r="AI94" s="123">
        <v>1834.9499999999998</v>
      </c>
      <c r="AJ94" s="320">
        <f t="shared" si="24"/>
        <v>187.20000000000005</v>
      </c>
    </row>
    <row r="95" spans="1:36" hidden="1" x14ac:dyDescent="0.35">
      <c r="A95" s="197">
        <v>3302142</v>
      </c>
      <c r="B95" s="197">
        <v>2142</v>
      </c>
      <c r="C95" s="197" t="s">
        <v>115</v>
      </c>
      <c r="D95" s="198" t="s">
        <v>27</v>
      </c>
      <c r="E95" s="198"/>
      <c r="F95" s="197"/>
      <c r="G95" s="199">
        <v>210</v>
      </c>
      <c r="H95" s="199">
        <v>0</v>
      </c>
      <c r="I95" s="199">
        <v>30</v>
      </c>
      <c r="J95" s="199">
        <v>225</v>
      </c>
      <c r="K95" s="199">
        <v>0</v>
      </c>
      <c r="L95" s="199">
        <v>45</v>
      </c>
      <c r="M95" s="315">
        <v>175.26315789473682</v>
      </c>
      <c r="N95" s="315">
        <v>0</v>
      </c>
      <c r="O95" s="315">
        <v>99.473684210526301</v>
      </c>
      <c r="P95" s="316">
        <f t="shared" si="19"/>
        <v>4732.476315789474</v>
      </c>
      <c r="Q95" s="316">
        <f t="shared" si="20"/>
        <v>0</v>
      </c>
      <c r="R95" s="316">
        <f t="shared" si="21"/>
        <v>173.49473684210525</v>
      </c>
      <c r="S95" s="317">
        <f t="shared" si="22"/>
        <v>4905.9710526315794</v>
      </c>
      <c r="T95" s="318">
        <f t="shared" si="15"/>
        <v>1696.5</v>
      </c>
      <c r="U95" s="319">
        <f t="shared" si="16"/>
        <v>1831.05</v>
      </c>
      <c r="V95" s="319">
        <f t="shared" si="17"/>
        <v>1378.4210526315787</v>
      </c>
      <c r="X95" s="320">
        <f t="shared" si="23"/>
        <v>1357.2</v>
      </c>
      <c r="Y95" s="320">
        <f t="shared" si="23"/>
        <v>1464.8400000000001</v>
      </c>
      <c r="Z95" s="320">
        <f t="shared" si="23"/>
        <v>1102.7368421052631</v>
      </c>
      <c r="AB95" s="123" t="s">
        <v>114</v>
      </c>
      <c r="AI95" s="123">
        <v>1448.85</v>
      </c>
      <c r="AJ95" s="320">
        <f t="shared" si="24"/>
        <v>247.65000000000009</v>
      </c>
    </row>
    <row r="96" spans="1:36" hidden="1" x14ac:dyDescent="0.35">
      <c r="A96" s="197">
        <v>3302144</v>
      </c>
      <c r="B96" s="197">
        <v>2144</v>
      </c>
      <c r="C96" s="197" t="s">
        <v>298</v>
      </c>
      <c r="D96" s="198" t="s">
        <v>49</v>
      </c>
      <c r="E96" s="198"/>
      <c r="F96" s="197"/>
      <c r="G96" s="199">
        <v>15</v>
      </c>
      <c r="H96" s="199">
        <v>225</v>
      </c>
      <c r="I96" s="199">
        <v>435</v>
      </c>
      <c r="J96" s="199">
        <v>15</v>
      </c>
      <c r="K96" s="199">
        <v>225</v>
      </c>
      <c r="L96" s="199">
        <v>405</v>
      </c>
      <c r="M96" s="315">
        <v>23.684210526315788</v>
      </c>
      <c r="N96" s="315">
        <v>170.5263157894737</v>
      </c>
      <c r="O96" s="315">
        <v>350.52631578947364</v>
      </c>
      <c r="P96" s="316">
        <f t="shared" si="19"/>
        <v>411.26842105263154</v>
      </c>
      <c r="Q96" s="316">
        <f t="shared" si="20"/>
        <v>2289.9315789473685</v>
      </c>
      <c r="R96" s="316">
        <f t="shared" si="21"/>
        <v>1210.1052631578948</v>
      </c>
      <c r="S96" s="317">
        <f t="shared" si="22"/>
        <v>3911.3052631578948</v>
      </c>
      <c r="T96" s="318">
        <f t="shared" si="15"/>
        <v>1419.6000000000001</v>
      </c>
      <c r="U96" s="319">
        <f t="shared" si="16"/>
        <v>1388.4</v>
      </c>
      <c r="V96" s="319">
        <f t="shared" si="17"/>
        <v>1103.3052631578946</v>
      </c>
      <c r="X96" s="320">
        <f t="shared" si="23"/>
        <v>1135.68</v>
      </c>
      <c r="Y96" s="320">
        <f t="shared" si="23"/>
        <v>1110.72</v>
      </c>
      <c r="Z96" s="320">
        <f t="shared" si="23"/>
        <v>882.64421052631576</v>
      </c>
      <c r="AB96" s="123">
        <v>1218.75</v>
      </c>
      <c r="AC96" s="320">
        <f t="shared" ref="AC96:AC98" si="29">AB96-T96</f>
        <v>-200.85000000000014</v>
      </c>
      <c r="AI96" s="123">
        <v>1218.75</v>
      </c>
      <c r="AJ96" s="320">
        <f t="shared" si="24"/>
        <v>200.85000000000014</v>
      </c>
    </row>
    <row r="97" spans="1:36" hidden="1" x14ac:dyDescent="0.35">
      <c r="A97" s="197">
        <v>3302146</v>
      </c>
      <c r="B97" s="197">
        <v>2146</v>
      </c>
      <c r="C97" s="197" t="s">
        <v>299</v>
      </c>
      <c r="D97" s="198" t="s">
        <v>49</v>
      </c>
      <c r="E97" s="198"/>
      <c r="F97" s="197"/>
      <c r="G97" s="199">
        <v>30</v>
      </c>
      <c r="H97" s="199">
        <v>45</v>
      </c>
      <c r="I97" s="199">
        <v>585</v>
      </c>
      <c r="J97" s="199">
        <v>30</v>
      </c>
      <c r="K97" s="199">
        <v>45</v>
      </c>
      <c r="L97" s="199">
        <v>570</v>
      </c>
      <c r="M97" s="315">
        <v>18.94736842105263</v>
      </c>
      <c r="N97" s="315">
        <v>37.89473684210526</v>
      </c>
      <c r="O97" s="315">
        <v>459.47368421052636</v>
      </c>
      <c r="P97" s="316">
        <f t="shared" si="19"/>
        <v>614.49473684210534</v>
      </c>
      <c r="Q97" s="316">
        <f t="shared" si="20"/>
        <v>471.17368421052629</v>
      </c>
      <c r="R97" s="316">
        <f t="shared" si="21"/>
        <v>1642.2947368421055</v>
      </c>
      <c r="S97" s="317">
        <f t="shared" si="22"/>
        <v>2727.9631578947374</v>
      </c>
      <c r="T97" s="318">
        <f t="shared" si="15"/>
        <v>1015.95</v>
      </c>
      <c r="U97" s="319">
        <f t="shared" si="16"/>
        <v>1000.35</v>
      </c>
      <c r="V97" s="319">
        <f t="shared" si="17"/>
        <v>711.66315789473697</v>
      </c>
      <c r="X97" s="320">
        <f t="shared" si="23"/>
        <v>812.7600000000001</v>
      </c>
      <c r="Y97" s="320">
        <f t="shared" si="23"/>
        <v>800.28000000000009</v>
      </c>
      <c r="Z97" s="320">
        <f t="shared" si="23"/>
        <v>569.3305263157896</v>
      </c>
      <c r="AB97" s="123">
        <v>684.45</v>
      </c>
      <c r="AC97" s="320">
        <f t="shared" si="29"/>
        <v>-331.5</v>
      </c>
      <c r="AI97" s="123">
        <v>684.45</v>
      </c>
      <c r="AJ97" s="320">
        <f t="shared" si="24"/>
        <v>331.5</v>
      </c>
    </row>
    <row r="98" spans="1:36" hidden="1" x14ac:dyDescent="0.35">
      <c r="A98" s="197">
        <v>3302149</v>
      </c>
      <c r="B98" s="197">
        <v>2149</v>
      </c>
      <c r="C98" s="197" t="s">
        <v>300</v>
      </c>
      <c r="D98" s="198" t="s">
        <v>49</v>
      </c>
      <c r="E98" s="198"/>
      <c r="F98" s="197"/>
      <c r="G98" s="199">
        <v>0</v>
      </c>
      <c r="H98" s="199">
        <v>75</v>
      </c>
      <c r="I98" s="199">
        <v>105</v>
      </c>
      <c r="J98" s="199">
        <v>0</v>
      </c>
      <c r="K98" s="199">
        <v>30</v>
      </c>
      <c r="L98" s="199">
        <v>90</v>
      </c>
      <c r="M98" s="315">
        <v>9.473684210526315</v>
      </c>
      <c r="N98" s="315">
        <v>66.315789473684205</v>
      </c>
      <c r="O98" s="315">
        <v>75.78947368421052</v>
      </c>
      <c r="P98" s="316">
        <f t="shared" si="19"/>
        <v>69.347368421052636</v>
      </c>
      <c r="Q98" s="316">
        <f t="shared" si="20"/>
        <v>626.628947368421</v>
      </c>
      <c r="R98" s="316">
        <f t="shared" si="21"/>
        <v>275.55789473684212</v>
      </c>
      <c r="S98" s="317">
        <f t="shared" si="22"/>
        <v>971.53421052631575</v>
      </c>
      <c r="T98" s="318">
        <f t="shared" si="15"/>
        <v>391.95</v>
      </c>
      <c r="U98" s="319">
        <f t="shared" si="16"/>
        <v>206.7</v>
      </c>
      <c r="V98" s="319">
        <f t="shared" si="17"/>
        <v>372.88421052631577</v>
      </c>
      <c r="X98" s="320">
        <f t="shared" si="23"/>
        <v>313.56</v>
      </c>
      <c r="Y98" s="320">
        <f t="shared" si="23"/>
        <v>165.36</v>
      </c>
      <c r="Z98" s="320">
        <f t="shared" si="23"/>
        <v>298.30736842105262</v>
      </c>
      <c r="AB98" s="123">
        <v>536.25</v>
      </c>
      <c r="AC98" s="320">
        <f t="shared" si="29"/>
        <v>144.30000000000001</v>
      </c>
      <c r="AI98" s="123">
        <v>536.25</v>
      </c>
      <c r="AJ98" s="320">
        <f t="shared" si="24"/>
        <v>-144.30000000000001</v>
      </c>
    </row>
    <row r="99" spans="1:36" hidden="1" x14ac:dyDescent="0.35">
      <c r="A99" s="197">
        <v>3302150</v>
      </c>
      <c r="B99" s="197">
        <v>2150</v>
      </c>
      <c r="C99" s="197" t="s">
        <v>203</v>
      </c>
      <c r="D99" s="198" t="s">
        <v>245</v>
      </c>
      <c r="E99" s="198"/>
      <c r="F99" s="197"/>
      <c r="G99" s="199">
        <v>15</v>
      </c>
      <c r="H99" s="199">
        <v>90</v>
      </c>
      <c r="I99" s="199">
        <v>15</v>
      </c>
      <c r="J99" s="199">
        <v>15</v>
      </c>
      <c r="K99" s="199">
        <v>90</v>
      </c>
      <c r="L99" s="199">
        <v>15</v>
      </c>
      <c r="M99" s="315">
        <v>23.684210526315788</v>
      </c>
      <c r="N99" s="315">
        <v>104.21052631578948</v>
      </c>
      <c r="O99" s="315">
        <v>80.526315789473685</v>
      </c>
      <c r="P99" s="316">
        <f t="shared" si="19"/>
        <v>411.26842105263154</v>
      </c>
      <c r="Q99" s="316">
        <f t="shared" si="20"/>
        <v>1041.2526315789473</v>
      </c>
      <c r="R99" s="316">
        <f t="shared" si="21"/>
        <v>108.50526315789475</v>
      </c>
      <c r="S99" s="317">
        <f t="shared" si="22"/>
        <v>1561.0263157894735</v>
      </c>
      <c r="T99" s="318">
        <f t="shared" si="15"/>
        <v>473.84999999999997</v>
      </c>
      <c r="U99" s="319">
        <f t="shared" si="16"/>
        <v>473.84999999999997</v>
      </c>
      <c r="V99" s="319">
        <f t="shared" si="17"/>
        <v>613.3263157894736</v>
      </c>
      <c r="X99" s="320">
        <f t="shared" si="23"/>
        <v>379.08</v>
      </c>
      <c r="Y99" s="320">
        <f t="shared" si="23"/>
        <v>379.08</v>
      </c>
      <c r="Z99" s="320">
        <f t="shared" si="23"/>
        <v>490.66105263157891</v>
      </c>
      <c r="AB99" s="123" t="s">
        <v>202</v>
      </c>
      <c r="AI99" s="123">
        <v>815.09999999999991</v>
      </c>
      <c r="AJ99" s="320">
        <f t="shared" si="24"/>
        <v>-341.24999999999994</v>
      </c>
    </row>
    <row r="100" spans="1:36" hidden="1" x14ac:dyDescent="0.35">
      <c r="A100" s="197">
        <v>3302156</v>
      </c>
      <c r="B100" s="197">
        <v>2156</v>
      </c>
      <c r="C100" s="197" t="s">
        <v>301</v>
      </c>
      <c r="D100" s="198" t="s">
        <v>49</v>
      </c>
      <c r="E100" s="198"/>
      <c r="F100" s="197"/>
      <c r="G100" s="199">
        <v>75</v>
      </c>
      <c r="H100" s="199">
        <v>195</v>
      </c>
      <c r="I100" s="199">
        <v>45</v>
      </c>
      <c r="J100" s="199">
        <v>75</v>
      </c>
      <c r="K100" s="199">
        <v>180</v>
      </c>
      <c r="L100" s="199">
        <v>60</v>
      </c>
      <c r="M100" s="315">
        <v>108.94736842105263</v>
      </c>
      <c r="N100" s="315">
        <v>118.42105263157895</v>
      </c>
      <c r="O100" s="315">
        <v>66.315789473684205</v>
      </c>
      <c r="P100" s="316">
        <f t="shared" si="19"/>
        <v>1986.9947368421053</v>
      </c>
      <c r="Q100" s="316">
        <f t="shared" si="20"/>
        <v>1825.8552631578946</v>
      </c>
      <c r="R100" s="316">
        <f t="shared" si="21"/>
        <v>172.86315789473684</v>
      </c>
      <c r="S100" s="317">
        <f t="shared" si="22"/>
        <v>3985.7131578947365</v>
      </c>
      <c r="T100" s="318">
        <f t="shared" si="15"/>
        <v>1376.7</v>
      </c>
      <c r="U100" s="319">
        <f t="shared" si="16"/>
        <v>1335.75</v>
      </c>
      <c r="V100" s="319">
        <f t="shared" si="17"/>
        <v>1273.2631578947367</v>
      </c>
      <c r="X100" s="320">
        <f t="shared" si="23"/>
        <v>1101.3600000000001</v>
      </c>
      <c r="Y100" s="320">
        <f t="shared" si="23"/>
        <v>1068.6000000000001</v>
      </c>
      <c r="Z100" s="320">
        <f t="shared" si="23"/>
        <v>1018.6105263157893</v>
      </c>
      <c r="AB100" s="123">
        <v>1544.3999999999999</v>
      </c>
      <c r="AC100" s="320">
        <f>AB100-T100</f>
        <v>167.69999999999982</v>
      </c>
      <c r="AI100" s="123">
        <v>1544.3999999999999</v>
      </c>
      <c r="AJ100" s="320">
        <f t="shared" si="24"/>
        <v>-167.69999999999982</v>
      </c>
    </row>
    <row r="101" spans="1:36" hidden="1" x14ac:dyDescent="0.35">
      <c r="A101" s="197">
        <v>3302157</v>
      </c>
      <c r="B101" s="197">
        <v>2157</v>
      </c>
      <c r="C101" s="197" t="s">
        <v>205</v>
      </c>
      <c r="D101" s="198" t="s">
        <v>245</v>
      </c>
      <c r="E101" s="198"/>
      <c r="F101" s="197"/>
      <c r="G101" s="199">
        <v>15</v>
      </c>
      <c r="H101" s="199">
        <v>0</v>
      </c>
      <c r="I101" s="199">
        <v>0</v>
      </c>
      <c r="J101" s="199">
        <v>0</v>
      </c>
      <c r="K101" s="199">
        <v>0</v>
      </c>
      <c r="L101" s="199">
        <v>0</v>
      </c>
      <c r="M101" s="315">
        <v>9.473684210526315</v>
      </c>
      <c r="N101" s="315">
        <v>0</v>
      </c>
      <c r="O101" s="315">
        <v>18.94736842105263</v>
      </c>
      <c r="P101" s="316">
        <f t="shared" si="19"/>
        <v>188.29736842105262</v>
      </c>
      <c r="Q101" s="316">
        <f t="shared" si="20"/>
        <v>0</v>
      </c>
      <c r="R101" s="316">
        <f t="shared" si="21"/>
        <v>18.189473684210526</v>
      </c>
      <c r="S101" s="317">
        <f t="shared" si="22"/>
        <v>206.48684210526315</v>
      </c>
      <c r="T101" s="318">
        <f t="shared" si="15"/>
        <v>118.95</v>
      </c>
      <c r="U101" s="319">
        <f t="shared" si="16"/>
        <v>0</v>
      </c>
      <c r="V101" s="319">
        <f t="shared" si="17"/>
        <v>87.536842105263162</v>
      </c>
      <c r="X101" s="320">
        <f t="shared" si="23"/>
        <v>95.160000000000011</v>
      </c>
      <c r="Y101" s="320">
        <f t="shared" si="23"/>
        <v>0</v>
      </c>
      <c r="Z101" s="320">
        <f t="shared" si="23"/>
        <v>70.029473684210529</v>
      </c>
      <c r="AB101" s="123" t="s">
        <v>204</v>
      </c>
      <c r="AI101" s="123">
        <v>150.15</v>
      </c>
      <c r="AJ101" s="320">
        <f t="shared" si="24"/>
        <v>-31.200000000000003</v>
      </c>
    </row>
    <row r="102" spans="1:36" hidden="1" x14ac:dyDescent="0.35">
      <c r="A102" s="197">
        <v>3302161</v>
      </c>
      <c r="B102" s="197">
        <v>2161</v>
      </c>
      <c r="C102" s="197" t="s">
        <v>302</v>
      </c>
      <c r="D102" s="198" t="s">
        <v>27</v>
      </c>
      <c r="E102" s="198"/>
      <c r="F102" s="197"/>
      <c r="G102" s="199">
        <v>135</v>
      </c>
      <c r="H102" s="199">
        <v>0</v>
      </c>
      <c r="I102" s="199">
        <v>120</v>
      </c>
      <c r="J102" s="199">
        <v>120</v>
      </c>
      <c r="K102" s="199">
        <v>0</v>
      </c>
      <c r="L102" s="199">
        <v>90</v>
      </c>
      <c r="M102" s="315">
        <v>108.94736842105263</v>
      </c>
      <c r="N102" s="315">
        <v>18.94736842105263</v>
      </c>
      <c r="O102" s="315">
        <v>132.63157894736841</v>
      </c>
      <c r="P102" s="316">
        <f t="shared" si="19"/>
        <v>2819.6447368421054</v>
      </c>
      <c r="Q102" s="316">
        <f t="shared" si="20"/>
        <v>65.936842105263153</v>
      </c>
      <c r="R102" s="316">
        <f t="shared" si="21"/>
        <v>345.72631578947369</v>
      </c>
      <c r="S102" s="317">
        <f t="shared" si="22"/>
        <v>3231.3078947368422</v>
      </c>
      <c r="T102" s="318">
        <f t="shared" si="15"/>
        <v>1195.3499999999999</v>
      </c>
      <c r="U102" s="319">
        <f t="shared" si="16"/>
        <v>1045.2</v>
      </c>
      <c r="V102" s="319">
        <f t="shared" si="17"/>
        <v>990.75789473684222</v>
      </c>
      <c r="X102" s="320">
        <f t="shared" si="23"/>
        <v>956.28</v>
      </c>
      <c r="Y102" s="320">
        <f t="shared" si="23"/>
        <v>836.16000000000008</v>
      </c>
      <c r="Z102" s="320">
        <f t="shared" si="23"/>
        <v>792.6063157894738</v>
      </c>
      <c r="AB102" s="123" t="s">
        <v>124</v>
      </c>
      <c r="AI102" s="123">
        <v>1236.3000000000002</v>
      </c>
      <c r="AJ102" s="320">
        <f t="shared" si="24"/>
        <v>-40.950000000000273</v>
      </c>
    </row>
    <row r="103" spans="1:36" hidden="1" x14ac:dyDescent="0.35">
      <c r="A103" s="197">
        <v>3302162</v>
      </c>
      <c r="B103" s="197">
        <v>2162</v>
      </c>
      <c r="C103" s="197" t="s">
        <v>303</v>
      </c>
      <c r="D103" s="198" t="s">
        <v>49</v>
      </c>
      <c r="E103" s="198"/>
      <c r="F103" s="197"/>
      <c r="G103" s="199">
        <v>15</v>
      </c>
      <c r="H103" s="199">
        <v>165</v>
      </c>
      <c r="I103" s="199">
        <v>75</v>
      </c>
      <c r="J103" s="199">
        <v>0</v>
      </c>
      <c r="K103" s="199">
        <v>165</v>
      </c>
      <c r="L103" s="199">
        <v>30</v>
      </c>
      <c r="M103" s="315">
        <v>18.94736842105263</v>
      </c>
      <c r="N103" s="315">
        <v>180</v>
      </c>
      <c r="O103" s="315">
        <v>37.89473684210526</v>
      </c>
      <c r="P103" s="316">
        <f t="shared" si="19"/>
        <v>257.64473684210526</v>
      </c>
      <c r="Q103" s="316">
        <f t="shared" si="20"/>
        <v>1870.5</v>
      </c>
      <c r="R103" s="316">
        <f t="shared" si="21"/>
        <v>145.57894736842104</v>
      </c>
      <c r="S103" s="317">
        <f t="shared" si="22"/>
        <v>2273.7236842105262</v>
      </c>
      <c r="T103" s="318">
        <f t="shared" si="15"/>
        <v>819</v>
      </c>
      <c r="U103" s="319">
        <f t="shared" si="16"/>
        <v>653.25</v>
      </c>
      <c r="V103" s="319">
        <f t="shared" si="17"/>
        <v>801.47368421052624</v>
      </c>
      <c r="X103" s="320">
        <f t="shared" si="23"/>
        <v>655.20000000000005</v>
      </c>
      <c r="Y103" s="320">
        <f t="shared" si="23"/>
        <v>522.6</v>
      </c>
      <c r="Z103" s="320">
        <f t="shared" si="23"/>
        <v>641.17894736842106</v>
      </c>
      <c r="AB103" s="123">
        <v>1019.8499999999999</v>
      </c>
      <c r="AC103" s="320">
        <f>AB103-T103</f>
        <v>200.84999999999991</v>
      </c>
      <c r="AI103" s="123">
        <v>1019.8499999999999</v>
      </c>
      <c r="AJ103" s="320">
        <f t="shared" si="24"/>
        <v>-200.84999999999991</v>
      </c>
    </row>
    <row r="104" spans="1:36" hidden="1" x14ac:dyDescent="0.35">
      <c r="A104" s="197">
        <v>3302169</v>
      </c>
      <c r="B104" s="197">
        <v>2169</v>
      </c>
      <c r="C104" s="197" t="s">
        <v>304</v>
      </c>
      <c r="D104" s="198" t="s">
        <v>27</v>
      </c>
      <c r="E104" s="198"/>
      <c r="F104" s="197"/>
      <c r="G104" s="199">
        <v>195</v>
      </c>
      <c r="H104" s="199">
        <v>225</v>
      </c>
      <c r="I104" s="199">
        <v>75</v>
      </c>
      <c r="J104" s="199">
        <v>180</v>
      </c>
      <c r="K104" s="199">
        <v>150</v>
      </c>
      <c r="L104" s="199">
        <v>45</v>
      </c>
      <c r="M104" s="315">
        <v>170.5263157894737</v>
      </c>
      <c r="N104" s="315">
        <v>108.94736842105263</v>
      </c>
      <c r="O104" s="315">
        <v>75.78947368421052</v>
      </c>
      <c r="P104" s="316">
        <f t="shared" si="19"/>
        <v>4222.0026315789473</v>
      </c>
      <c r="Q104" s="316">
        <f t="shared" si="20"/>
        <v>1792.886842105263</v>
      </c>
      <c r="R104" s="316">
        <f t="shared" si="21"/>
        <v>197.55789473684212</v>
      </c>
      <c r="S104" s="317">
        <f t="shared" si="22"/>
        <v>6212.4473684210525</v>
      </c>
      <c r="T104" s="318">
        <f t="shared" si="15"/>
        <v>2472.6000000000004</v>
      </c>
      <c r="U104" s="319">
        <f t="shared" si="16"/>
        <v>2039.6999999999998</v>
      </c>
      <c r="V104" s="319">
        <f t="shared" si="17"/>
        <v>1700.1473684210523</v>
      </c>
      <c r="X104" s="320">
        <f t="shared" si="23"/>
        <v>1978.0800000000004</v>
      </c>
      <c r="Y104" s="320">
        <f t="shared" si="23"/>
        <v>1631.76</v>
      </c>
      <c r="Z104" s="320">
        <f t="shared" si="23"/>
        <v>1360.1178947368419</v>
      </c>
      <c r="AB104" s="123" t="s">
        <v>130</v>
      </c>
      <c r="AI104" s="123">
        <v>2154.75</v>
      </c>
      <c r="AJ104" s="320">
        <f t="shared" si="24"/>
        <v>317.85000000000036</v>
      </c>
    </row>
    <row r="105" spans="1:36" hidden="1" x14ac:dyDescent="0.35">
      <c r="A105" s="197">
        <v>3302170</v>
      </c>
      <c r="B105" s="197">
        <v>2170</v>
      </c>
      <c r="C105" s="197" t="s">
        <v>305</v>
      </c>
      <c r="D105" s="198" t="s">
        <v>49</v>
      </c>
      <c r="E105" s="198"/>
      <c r="F105" s="197"/>
      <c r="G105" s="199">
        <v>285</v>
      </c>
      <c r="H105" s="199">
        <v>180</v>
      </c>
      <c r="I105" s="199">
        <v>165</v>
      </c>
      <c r="J105" s="199">
        <v>300</v>
      </c>
      <c r="K105" s="199">
        <v>135</v>
      </c>
      <c r="L105" s="199">
        <v>135</v>
      </c>
      <c r="M105" s="315">
        <v>322.10526315789474</v>
      </c>
      <c r="N105" s="315">
        <v>127.89473684210526</v>
      </c>
      <c r="O105" s="315">
        <v>198.9473684210526</v>
      </c>
      <c r="P105" s="316">
        <f t="shared" si="19"/>
        <v>6996.8605263157888</v>
      </c>
      <c r="Q105" s="316">
        <f t="shared" si="20"/>
        <v>1632.6236842105263</v>
      </c>
      <c r="R105" s="316">
        <f t="shared" si="21"/>
        <v>502.98947368421051</v>
      </c>
      <c r="S105" s="317">
        <f t="shared" si="22"/>
        <v>9132.4736842105267</v>
      </c>
      <c r="T105" s="318">
        <f t="shared" si="15"/>
        <v>3110.2499999999995</v>
      </c>
      <c r="U105" s="319">
        <f t="shared" si="16"/>
        <v>3028.35</v>
      </c>
      <c r="V105" s="319">
        <f t="shared" si="17"/>
        <v>2993.8736842105263</v>
      </c>
      <c r="X105" s="320">
        <f t="shared" si="23"/>
        <v>2488.1999999999998</v>
      </c>
      <c r="Y105" s="320">
        <f t="shared" si="23"/>
        <v>2422.6799999999998</v>
      </c>
      <c r="Z105" s="320">
        <f t="shared" si="23"/>
        <v>2395.0989473684212</v>
      </c>
      <c r="AB105" s="123">
        <v>4104.75</v>
      </c>
      <c r="AC105" s="320">
        <f t="shared" ref="AC105:AC106" si="30">AB105-T105</f>
        <v>994.50000000000045</v>
      </c>
      <c r="AI105" s="123">
        <v>4104.75</v>
      </c>
      <c r="AJ105" s="320">
        <f t="shared" si="24"/>
        <v>-994.50000000000045</v>
      </c>
    </row>
    <row r="106" spans="1:36" hidden="1" x14ac:dyDescent="0.35">
      <c r="A106" s="197">
        <v>3302171</v>
      </c>
      <c r="B106" s="197">
        <v>2171</v>
      </c>
      <c r="C106" s="197" t="s">
        <v>306</v>
      </c>
      <c r="D106" s="198" t="s">
        <v>49</v>
      </c>
      <c r="E106" s="198"/>
      <c r="F106" s="197"/>
      <c r="G106" s="199">
        <v>30</v>
      </c>
      <c r="H106" s="199">
        <v>0</v>
      </c>
      <c r="I106" s="199">
        <v>285</v>
      </c>
      <c r="J106" s="199">
        <v>30</v>
      </c>
      <c r="K106" s="199">
        <v>0</v>
      </c>
      <c r="L106" s="199">
        <v>285</v>
      </c>
      <c r="M106" s="315">
        <v>42.631578947368425</v>
      </c>
      <c r="N106" s="315">
        <v>0</v>
      </c>
      <c r="O106" s="315">
        <v>345.78947368421052</v>
      </c>
      <c r="P106" s="316">
        <f t="shared" si="19"/>
        <v>787.86315789473679</v>
      </c>
      <c r="Q106" s="316">
        <f t="shared" si="20"/>
        <v>0</v>
      </c>
      <c r="R106" s="316">
        <f t="shared" si="21"/>
        <v>924.75789473684222</v>
      </c>
      <c r="S106" s="317">
        <f t="shared" si="22"/>
        <v>1712.621052631579</v>
      </c>
      <c r="T106" s="318">
        <f t="shared" si="15"/>
        <v>534.30000000000007</v>
      </c>
      <c r="U106" s="319">
        <f t="shared" si="16"/>
        <v>534.30000000000007</v>
      </c>
      <c r="V106" s="319">
        <f t="shared" si="17"/>
        <v>644.02105263157887</v>
      </c>
      <c r="X106" s="320">
        <f t="shared" si="23"/>
        <v>427.44000000000005</v>
      </c>
      <c r="Y106" s="320">
        <f t="shared" si="23"/>
        <v>427.44000000000005</v>
      </c>
      <c r="Z106" s="320">
        <f t="shared" si="23"/>
        <v>515.21684210526314</v>
      </c>
      <c r="AB106" s="123">
        <v>778.05</v>
      </c>
      <c r="AC106" s="320">
        <f t="shared" si="30"/>
        <v>243.74999999999989</v>
      </c>
      <c r="AI106" s="123">
        <v>778.05</v>
      </c>
      <c r="AJ106" s="320">
        <f t="shared" si="24"/>
        <v>-243.74999999999989</v>
      </c>
    </row>
    <row r="107" spans="1:36" hidden="1" x14ac:dyDescent="0.35">
      <c r="A107" s="197">
        <v>3302176</v>
      </c>
      <c r="B107" s="197">
        <v>2176</v>
      </c>
      <c r="C107" s="197" t="s">
        <v>307</v>
      </c>
      <c r="D107" s="198" t="s">
        <v>27</v>
      </c>
      <c r="E107" s="198"/>
      <c r="F107" s="197"/>
      <c r="G107" s="199">
        <v>60</v>
      </c>
      <c r="H107" s="199">
        <v>105</v>
      </c>
      <c r="I107" s="199">
        <v>645</v>
      </c>
      <c r="J107" s="199">
        <v>30</v>
      </c>
      <c r="K107" s="199">
        <v>60</v>
      </c>
      <c r="L107" s="199">
        <v>570</v>
      </c>
      <c r="M107" s="315">
        <v>33.157894736842103</v>
      </c>
      <c r="N107" s="315">
        <v>47.368421052631575</v>
      </c>
      <c r="O107" s="315">
        <v>667.8947368421052</v>
      </c>
      <c r="P107" s="316">
        <f t="shared" si="19"/>
        <v>956.41578947368419</v>
      </c>
      <c r="Q107" s="316">
        <f t="shared" si="20"/>
        <v>786.89210526315787</v>
      </c>
      <c r="R107" s="316">
        <f t="shared" si="21"/>
        <v>1904.7789473684211</v>
      </c>
      <c r="S107" s="317">
        <f t="shared" si="22"/>
        <v>3648.0868421052633</v>
      </c>
      <c r="T107" s="318">
        <f t="shared" si="15"/>
        <v>1542.45</v>
      </c>
      <c r="U107" s="319">
        <f t="shared" si="16"/>
        <v>1056.9000000000001</v>
      </c>
      <c r="V107" s="319">
        <f t="shared" si="17"/>
        <v>1048.7368421052629</v>
      </c>
      <c r="X107" s="320">
        <f t="shared" si="23"/>
        <v>1233.96</v>
      </c>
      <c r="Y107" s="320">
        <f t="shared" si="23"/>
        <v>845.5200000000001</v>
      </c>
      <c r="Z107" s="320">
        <f t="shared" si="23"/>
        <v>838.98947368421034</v>
      </c>
      <c r="AB107" s="123" t="s">
        <v>136</v>
      </c>
      <c r="AI107" s="123">
        <v>1322.1</v>
      </c>
      <c r="AJ107" s="320">
        <f t="shared" si="24"/>
        <v>220.35000000000014</v>
      </c>
    </row>
    <row r="108" spans="1:36" hidden="1" x14ac:dyDescent="0.35">
      <c r="A108" s="197">
        <v>3302178</v>
      </c>
      <c r="B108" s="197">
        <v>2178</v>
      </c>
      <c r="C108" s="197" t="s">
        <v>155</v>
      </c>
      <c r="D108" s="198" t="s">
        <v>27</v>
      </c>
      <c r="E108" s="198"/>
      <c r="F108" s="197"/>
      <c r="G108" s="199">
        <v>90</v>
      </c>
      <c r="H108" s="199">
        <v>15</v>
      </c>
      <c r="I108" s="199">
        <v>150</v>
      </c>
      <c r="J108" s="199">
        <v>0</v>
      </c>
      <c r="K108" s="199">
        <v>15</v>
      </c>
      <c r="L108" s="199">
        <v>135</v>
      </c>
      <c r="M108" s="315">
        <v>22.105263157894736</v>
      </c>
      <c r="N108" s="315">
        <v>4.7368421052631575</v>
      </c>
      <c r="O108" s="315">
        <v>168.63157894736841</v>
      </c>
      <c r="P108" s="316">
        <f t="shared" si="19"/>
        <v>875.51052631578932</v>
      </c>
      <c r="Q108" s="316">
        <f t="shared" si="20"/>
        <v>129.58421052631579</v>
      </c>
      <c r="R108" s="316">
        <f t="shared" si="21"/>
        <v>458.28631578947363</v>
      </c>
      <c r="S108" s="317">
        <f t="shared" si="22"/>
        <v>1463.3810526315788</v>
      </c>
      <c r="T108" s="318">
        <f t="shared" si="15"/>
        <v>926.24999999999989</v>
      </c>
      <c r="U108" s="319">
        <f t="shared" si="16"/>
        <v>196.95</v>
      </c>
      <c r="V108" s="319">
        <f t="shared" si="17"/>
        <v>340.18105263157895</v>
      </c>
      <c r="X108" s="320">
        <f t="shared" si="23"/>
        <v>741</v>
      </c>
      <c r="Y108" s="320">
        <f t="shared" si="23"/>
        <v>157.56</v>
      </c>
      <c r="Z108" s="320">
        <f t="shared" si="23"/>
        <v>272.14484210526319</v>
      </c>
      <c r="AB108" s="123" t="s">
        <v>154</v>
      </c>
      <c r="AI108" s="123">
        <v>492.82999999999993</v>
      </c>
      <c r="AJ108" s="320">
        <f t="shared" si="24"/>
        <v>433.41999999999996</v>
      </c>
    </row>
    <row r="109" spans="1:36" hidden="1" x14ac:dyDescent="0.35">
      <c r="A109" s="197">
        <v>3302180</v>
      </c>
      <c r="B109" s="197">
        <v>2180</v>
      </c>
      <c r="C109" s="197" t="s">
        <v>308</v>
      </c>
      <c r="D109" s="198" t="s">
        <v>49</v>
      </c>
      <c r="E109" s="198"/>
      <c r="F109" s="197"/>
      <c r="G109" s="199">
        <v>15</v>
      </c>
      <c r="H109" s="199">
        <v>705</v>
      </c>
      <c r="I109" s="199">
        <v>165</v>
      </c>
      <c r="J109" s="199">
        <v>15</v>
      </c>
      <c r="K109" s="199">
        <v>465</v>
      </c>
      <c r="L109" s="199">
        <v>60</v>
      </c>
      <c r="M109" s="315">
        <v>14.210526315789473</v>
      </c>
      <c r="N109" s="315">
        <v>596.84210526315792</v>
      </c>
      <c r="O109" s="315">
        <v>118.42105263157895</v>
      </c>
      <c r="P109" s="316">
        <f t="shared" si="19"/>
        <v>341.92105263157896</v>
      </c>
      <c r="Q109" s="316">
        <f t="shared" si="20"/>
        <v>6487.910526315789</v>
      </c>
      <c r="R109" s="316">
        <f t="shared" si="21"/>
        <v>347.68421052631584</v>
      </c>
      <c r="S109" s="317">
        <f t="shared" si="22"/>
        <v>7177.515789473684</v>
      </c>
      <c r="T109" s="318">
        <f t="shared" si="15"/>
        <v>2948.3999999999996</v>
      </c>
      <c r="U109" s="319">
        <f t="shared" si="16"/>
        <v>1934.4</v>
      </c>
      <c r="V109" s="319">
        <f t="shared" si="17"/>
        <v>2294.7157894736843</v>
      </c>
      <c r="X109" s="320">
        <f t="shared" si="23"/>
        <v>2358.7199999999998</v>
      </c>
      <c r="Y109" s="320">
        <f t="shared" si="23"/>
        <v>1547.5200000000002</v>
      </c>
      <c r="Z109" s="320">
        <f t="shared" si="23"/>
        <v>1835.7726315789475</v>
      </c>
      <c r="AB109" s="123">
        <v>3061.4999999999995</v>
      </c>
      <c r="AC109" s="320">
        <f t="shared" ref="AC109:AC110" si="31">AB109-T109</f>
        <v>113.09999999999991</v>
      </c>
      <c r="AI109" s="123">
        <v>3061.4999999999995</v>
      </c>
      <c r="AJ109" s="320">
        <f t="shared" si="24"/>
        <v>-113.09999999999991</v>
      </c>
    </row>
    <row r="110" spans="1:36" hidden="1" x14ac:dyDescent="0.35">
      <c r="A110" s="197">
        <v>3302181</v>
      </c>
      <c r="B110" s="197">
        <v>2181</v>
      </c>
      <c r="C110" s="197" t="s">
        <v>309</v>
      </c>
      <c r="D110" s="198" t="s">
        <v>49</v>
      </c>
      <c r="E110" s="198"/>
      <c r="F110" s="197"/>
      <c r="G110" s="199">
        <v>0</v>
      </c>
      <c r="H110" s="199">
        <v>0</v>
      </c>
      <c r="I110" s="199">
        <v>195</v>
      </c>
      <c r="J110" s="199">
        <v>0</v>
      </c>
      <c r="K110" s="199">
        <v>0</v>
      </c>
      <c r="L110" s="199">
        <v>195</v>
      </c>
      <c r="M110" s="315">
        <v>14.210526315789473</v>
      </c>
      <c r="N110" s="315">
        <v>0</v>
      </c>
      <c r="O110" s="315">
        <v>194.21052631578948</v>
      </c>
      <c r="P110" s="316">
        <f t="shared" si="19"/>
        <v>104.02105263157893</v>
      </c>
      <c r="Q110" s="316">
        <f t="shared" si="20"/>
        <v>0</v>
      </c>
      <c r="R110" s="316">
        <f t="shared" si="21"/>
        <v>592.04210526315785</v>
      </c>
      <c r="S110" s="317">
        <f t="shared" si="22"/>
        <v>696.06315789473683</v>
      </c>
      <c r="T110" s="318">
        <f t="shared" si="15"/>
        <v>202.79999999999998</v>
      </c>
      <c r="U110" s="319">
        <f t="shared" si="16"/>
        <v>202.79999999999998</v>
      </c>
      <c r="V110" s="319">
        <f t="shared" si="17"/>
        <v>290.46315789473681</v>
      </c>
      <c r="X110" s="320">
        <f t="shared" si="23"/>
        <v>162.24</v>
      </c>
      <c r="Y110" s="320">
        <f t="shared" si="23"/>
        <v>162.24</v>
      </c>
      <c r="Z110" s="320">
        <f t="shared" si="23"/>
        <v>232.37052631578945</v>
      </c>
      <c r="AB110" s="123">
        <v>440.7</v>
      </c>
      <c r="AC110" s="320">
        <f t="shared" si="31"/>
        <v>237.9</v>
      </c>
      <c r="AI110" s="123">
        <v>440.7</v>
      </c>
      <c r="AJ110" s="320">
        <f t="shared" si="24"/>
        <v>-237.9</v>
      </c>
    </row>
    <row r="111" spans="1:36" hidden="1" x14ac:dyDescent="0.35">
      <c r="A111" s="197">
        <v>3302184</v>
      </c>
      <c r="B111" s="197">
        <v>2184</v>
      </c>
      <c r="C111" s="197" t="s">
        <v>383</v>
      </c>
      <c r="D111" s="198" t="s">
        <v>27</v>
      </c>
      <c r="E111" s="198"/>
      <c r="F111" s="197"/>
      <c r="G111" s="199">
        <v>0</v>
      </c>
      <c r="H111" s="199">
        <v>0</v>
      </c>
      <c r="I111" s="199">
        <v>0</v>
      </c>
      <c r="J111" s="199">
        <v>0</v>
      </c>
      <c r="K111" s="199">
        <v>0</v>
      </c>
      <c r="L111" s="199">
        <v>0</v>
      </c>
      <c r="M111" s="315">
        <v>0</v>
      </c>
      <c r="N111" s="315">
        <v>0</v>
      </c>
      <c r="O111" s="315">
        <v>0</v>
      </c>
      <c r="P111" s="316">
        <f t="shared" si="19"/>
        <v>0</v>
      </c>
      <c r="Q111" s="316">
        <f t="shared" si="20"/>
        <v>0</v>
      </c>
      <c r="R111" s="316">
        <f t="shared" si="21"/>
        <v>0</v>
      </c>
      <c r="S111" s="317">
        <f t="shared" si="22"/>
        <v>0</v>
      </c>
      <c r="T111" s="318"/>
      <c r="U111" s="319">
        <f t="shared" si="16"/>
        <v>0</v>
      </c>
      <c r="V111" s="319">
        <f t="shared" si="17"/>
        <v>0</v>
      </c>
      <c r="X111" s="320"/>
      <c r="Y111" s="320">
        <f t="shared" si="23"/>
        <v>0</v>
      </c>
      <c r="Z111" s="320">
        <f t="shared" si="23"/>
        <v>0</v>
      </c>
      <c r="AB111" s="123" t="s">
        <v>534</v>
      </c>
      <c r="AI111" s="123">
        <v>0</v>
      </c>
      <c r="AJ111" s="320">
        <f t="shared" si="24"/>
        <v>0</v>
      </c>
    </row>
    <row r="112" spans="1:36" hidden="1" x14ac:dyDescent="0.35">
      <c r="A112" s="197">
        <v>3302185</v>
      </c>
      <c r="B112" s="197">
        <v>2185</v>
      </c>
      <c r="C112" s="197" t="s">
        <v>65</v>
      </c>
      <c r="D112" s="198" t="s">
        <v>27</v>
      </c>
      <c r="E112" s="198"/>
      <c r="F112" s="197"/>
      <c r="G112" s="199">
        <v>0</v>
      </c>
      <c r="H112" s="199">
        <v>15</v>
      </c>
      <c r="I112" s="199">
        <v>15</v>
      </c>
      <c r="J112" s="199">
        <v>0</v>
      </c>
      <c r="K112" s="199">
        <v>15</v>
      </c>
      <c r="L112" s="199">
        <v>15</v>
      </c>
      <c r="M112" s="315">
        <v>0</v>
      </c>
      <c r="N112" s="315">
        <v>14.210526315789473</v>
      </c>
      <c r="O112" s="315">
        <v>23.684210526315788</v>
      </c>
      <c r="P112" s="316">
        <f t="shared" si="19"/>
        <v>0</v>
      </c>
      <c r="Q112" s="316">
        <f t="shared" si="20"/>
        <v>162.55263157894734</v>
      </c>
      <c r="R112" s="316">
        <f t="shared" si="21"/>
        <v>53.936842105263153</v>
      </c>
      <c r="S112" s="317">
        <f t="shared" si="22"/>
        <v>216.48947368421051</v>
      </c>
      <c r="T112" s="318">
        <f t="shared" ref="T112:T175" si="32">(G112*$C$2*$F$2)+(H112*$C$3*$F$2)+(I112*$C$4*$F$2)</f>
        <v>72.149999999999991</v>
      </c>
      <c r="U112" s="319">
        <f t="shared" si="16"/>
        <v>72.149999999999991</v>
      </c>
      <c r="V112" s="319">
        <f t="shared" si="17"/>
        <v>72.189473684210526</v>
      </c>
      <c r="X112" s="320">
        <f t="shared" si="23"/>
        <v>57.72</v>
      </c>
      <c r="Y112" s="320">
        <f t="shared" si="23"/>
        <v>57.72</v>
      </c>
      <c r="Z112" s="320">
        <f t="shared" si="23"/>
        <v>57.751578947368422</v>
      </c>
      <c r="AB112" s="123" t="s">
        <v>64</v>
      </c>
      <c r="AI112" s="123">
        <v>87.75</v>
      </c>
      <c r="AJ112" s="320">
        <f t="shared" si="24"/>
        <v>-15.600000000000009</v>
      </c>
    </row>
    <row r="113" spans="1:36" hidden="1" x14ac:dyDescent="0.35">
      <c r="A113" s="197">
        <v>3302186</v>
      </c>
      <c r="B113" s="197">
        <v>2186</v>
      </c>
      <c r="C113" s="197" t="s">
        <v>310</v>
      </c>
      <c r="D113" s="198" t="s">
        <v>49</v>
      </c>
      <c r="E113" s="198"/>
      <c r="F113" s="197"/>
      <c r="G113" s="199">
        <v>0</v>
      </c>
      <c r="H113" s="199">
        <v>165</v>
      </c>
      <c r="I113" s="199">
        <v>465</v>
      </c>
      <c r="J113" s="199">
        <v>0</v>
      </c>
      <c r="K113" s="199">
        <v>120</v>
      </c>
      <c r="L113" s="199">
        <v>285</v>
      </c>
      <c r="M113" s="315">
        <v>9.473684210526315</v>
      </c>
      <c r="N113" s="315">
        <v>94.73684210526315</v>
      </c>
      <c r="O113" s="315">
        <v>326.84210526315792</v>
      </c>
      <c r="P113" s="316">
        <f t="shared" si="19"/>
        <v>69.347368421052636</v>
      </c>
      <c r="Q113" s="316">
        <f t="shared" si="20"/>
        <v>1404.1342105263157</v>
      </c>
      <c r="R113" s="316">
        <f t="shared" si="21"/>
        <v>1093.7684210526315</v>
      </c>
      <c r="S113" s="317">
        <f t="shared" si="22"/>
        <v>2567.2499999999995</v>
      </c>
      <c r="T113" s="318">
        <f t="shared" si="32"/>
        <v>1105.6500000000001</v>
      </c>
      <c r="U113" s="319">
        <f t="shared" si="16"/>
        <v>748.8</v>
      </c>
      <c r="V113" s="319">
        <f t="shared" si="17"/>
        <v>712.8</v>
      </c>
      <c r="X113" s="320">
        <f t="shared" si="23"/>
        <v>884.5200000000001</v>
      </c>
      <c r="Y113" s="320">
        <f t="shared" si="23"/>
        <v>599.04</v>
      </c>
      <c r="Z113" s="320">
        <f t="shared" si="23"/>
        <v>570.24</v>
      </c>
      <c r="AB113" s="123">
        <v>951.59999999999991</v>
      </c>
      <c r="AC113" s="320">
        <f t="shared" ref="AC113:AC115" si="33">AB113-T113</f>
        <v>-154.05000000000018</v>
      </c>
      <c r="AI113" s="123">
        <v>951.59999999999991</v>
      </c>
      <c r="AJ113" s="320">
        <f t="shared" si="24"/>
        <v>154.05000000000018</v>
      </c>
    </row>
    <row r="114" spans="1:36" hidden="1" x14ac:dyDescent="0.35">
      <c r="A114" s="197">
        <v>3302187</v>
      </c>
      <c r="B114" s="197">
        <v>2187</v>
      </c>
      <c r="C114" s="197" t="s">
        <v>311</v>
      </c>
      <c r="D114" s="198" t="s">
        <v>49</v>
      </c>
      <c r="E114" s="198"/>
      <c r="F114" s="197"/>
      <c r="G114" s="199">
        <v>90</v>
      </c>
      <c r="H114" s="199">
        <v>105</v>
      </c>
      <c r="I114" s="199">
        <v>120</v>
      </c>
      <c r="J114" s="199">
        <v>45</v>
      </c>
      <c r="K114" s="199">
        <v>90</v>
      </c>
      <c r="L114" s="199">
        <v>75</v>
      </c>
      <c r="M114" s="315">
        <v>61.578947368421055</v>
      </c>
      <c r="N114" s="315">
        <v>99.473684210526301</v>
      </c>
      <c r="O114" s="315">
        <v>85.26315789473685</v>
      </c>
      <c r="P114" s="316">
        <f t="shared" si="19"/>
        <v>1521.3078947368422</v>
      </c>
      <c r="Q114" s="316">
        <f t="shared" si="20"/>
        <v>1081.3184210526315</v>
      </c>
      <c r="R114" s="316">
        <f t="shared" si="21"/>
        <v>284.65263157894742</v>
      </c>
      <c r="S114" s="317">
        <f t="shared" si="22"/>
        <v>2887.2789473684211</v>
      </c>
      <c r="T114" s="318">
        <f t="shared" si="32"/>
        <v>1234.3499999999999</v>
      </c>
      <c r="U114" s="319">
        <f t="shared" si="16"/>
        <v>774.14999999999986</v>
      </c>
      <c r="V114" s="319">
        <f t="shared" si="17"/>
        <v>878.77894736842097</v>
      </c>
      <c r="X114" s="320">
        <f t="shared" si="23"/>
        <v>987.48</v>
      </c>
      <c r="Y114" s="320">
        <f t="shared" si="23"/>
        <v>619.31999999999994</v>
      </c>
      <c r="Z114" s="320">
        <f t="shared" si="23"/>
        <v>703.02315789473687</v>
      </c>
      <c r="AB114" s="123">
        <v>1156.3500000000001</v>
      </c>
      <c r="AC114" s="320">
        <f t="shared" si="33"/>
        <v>-77.999999999999773</v>
      </c>
      <c r="AI114" s="123">
        <v>1156.3500000000001</v>
      </c>
      <c r="AJ114" s="320">
        <f t="shared" si="24"/>
        <v>77.999999999999773</v>
      </c>
    </row>
    <row r="115" spans="1:36" hidden="1" x14ac:dyDescent="0.35">
      <c r="A115" s="197">
        <v>3302188</v>
      </c>
      <c r="B115" s="197">
        <v>2188</v>
      </c>
      <c r="C115" s="197" t="s">
        <v>312</v>
      </c>
      <c r="D115" s="198" t="s">
        <v>49</v>
      </c>
      <c r="E115" s="198"/>
      <c r="F115" s="197"/>
      <c r="G115" s="199">
        <v>15</v>
      </c>
      <c r="H115" s="199">
        <v>0</v>
      </c>
      <c r="I115" s="199">
        <v>30</v>
      </c>
      <c r="J115" s="199">
        <v>0</v>
      </c>
      <c r="K115" s="199">
        <v>0</v>
      </c>
      <c r="L115" s="199">
        <v>30</v>
      </c>
      <c r="M115" s="315">
        <v>9.473684210526315</v>
      </c>
      <c r="N115" s="315">
        <v>0</v>
      </c>
      <c r="O115" s="315">
        <v>9.473684210526315</v>
      </c>
      <c r="P115" s="316">
        <f t="shared" si="19"/>
        <v>188.29736842105262</v>
      </c>
      <c r="Q115" s="316">
        <f t="shared" si="20"/>
        <v>0</v>
      </c>
      <c r="R115" s="316">
        <f t="shared" si="21"/>
        <v>71.494736842105254</v>
      </c>
      <c r="S115" s="317">
        <f t="shared" si="22"/>
        <v>259.79210526315785</v>
      </c>
      <c r="T115" s="318">
        <f t="shared" si="32"/>
        <v>150.15</v>
      </c>
      <c r="U115" s="319">
        <f t="shared" si="16"/>
        <v>31.2</v>
      </c>
      <c r="V115" s="319">
        <f t="shared" si="17"/>
        <v>78.442105263157899</v>
      </c>
      <c r="X115" s="320">
        <f t="shared" si="23"/>
        <v>120.12</v>
      </c>
      <c r="Y115" s="320">
        <f t="shared" si="23"/>
        <v>24.96</v>
      </c>
      <c r="Z115" s="320">
        <f t="shared" si="23"/>
        <v>62.753684210526323</v>
      </c>
      <c r="AB115" s="123">
        <v>118.95</v>
      </c>
      <c r="AC115" s="320">
        <f t="shared" si="33"/>
        <v>-31.200000000000003</v>
      </c>
      <c r="AI115" s="123">
        <v>118.95</v>
      </c>
      <c r="AJ115" s="320">
        <f t="shared" si="24"/>
        <v>31.200000000000003</v>
      </c>
    </row>
    <row r="116" spans="1:36" hidden="1" x14ac:dyDescent="0.35">
      <c r="A116" s="197">
        <v>3302189</v>
      </c>
      <c r="B116" s="197">
        <v>2189</v>
      </c>
      <c r="C116" s="197" t="s">
        <v>183</v>
      </c>
      <c r="D116" s="198" t="s">
        <v>246</v>
      </c>
      <c r="E116" s="198"/>
      <c r="F116" s="197"/>
      <c r="G116" s="199">
        <v>150</v>
      </c>
      <c r="H116" s="199">
        <v>210</v>
      </c>
      <c r="I116" s="199">
        <v>30</v>
      </c>
      <c r="J116" s="199">
        <v>135</v>
      </c>
      <c r="K116" s="199">
        <v>105</v>
      </c>
      <c r="L116" s="199">
        <v>45</v>
      </c>
      <c r="M116" s="315">
        <v>113.68421052631578</v>
      </c>
      <c r="N116" s="315">
        <v>104.21052631578948</v>
      </c>
      <c r="O116" s="315">
        <v>42.631578947368425</v>
      </c>
      <c r="P116" s="316">
        <f t="shared" si="19"/>
        <v>3092.2184210526316</v>
      </c>
      <c r="Q116" s="316">
        <f t="shared" si="20"/>
        <v>1550.2026315789474</v>
      </c>
      <c r="R116" s="316">
        <f t="shared" si="21"/>
        <v>118.92631578947369</v>
      </c>
      <c r="S116" s="317">
        <f t="shared" si="22"/>
        <v>4761.347368421053</v>
      </c>
      <c r="T116" s="318">
        <f t="shared" si="32"/>
        <v>2012.3999999999999</v>
      </c>
      <c r="U116" s="319">
        <f t="shared" si="16"/>
        <v>1513.1999999999998</v>
      </c>
      <c r="V116" s="319">
        <f t="shared" si="17"/>
        <v>1235.7473684210524</v>
      </c>
      <c r="X116" s="320">
        <f t="shared" si="23"/>
        <v>1609.92</v>
      </c>
      <c r="Y116" s="320">
        <f t="shared" si="23"/>
        <v>1210.56</v>
      </c>
      <c r="Z116" s="320">
        <f t="shared" si="23"/>
        <v>988.59789473684202</v>
      </c>
      <c r="AB116" s="123" t="s">
        <v>182</v>
      </c>
      <c r="AI116" s="123">
        <v>1388.3999999999999</v>
      </c>
      <c r="AJ116" s="320">
        <f t="shared" si="24"/>
        <v>624</v>
      </c>
    </row>
    <row r="117" spans="1:36" hidden="1" x14ac:dyDescent="0.35">
      <c r="A117" s="197">
        <v>3302191</v>
      </c>
      <c r="B117" s="197">
        <v>2191</v>
      </c>
      <c r="C117" s="197" t="s">
        <v>313</v>
      </c>
      <c r="D117" s="198" t="s">
        <v>49</v>
      </c>
      <c r="E117" s="198"/>
      <c r="F117" s="197"/>
      <c r="G117" s="199">
        <v>135</v>
      </c>
      <c r="H117" s="199">
        <v>0</v>
      </c>
      <c r="I117" s="199">
        <v>210</v>
      </c>
      <c r="J117" s="199">
        <v>105</v>
      </c>
      <c r="K117" s="199">
        <v>0</v>
      </c>
      <c r="L117" s="199">
        <v>165</v>
      </c>
      <c r="M117" s="315">
        <v>118.42105263157895</v>
      </c>
      <c r="N117" s="315">
        <v>0</v>
      </c>
      <c r="O117" s="315">
        <v>203.68421052631578</v>
      </c>
      <c r="P117" s="316">
        <f t="shared" si="19"/>
        <v>2770.0421052631577</v>
      </c>
      <c r="Q117" s="316">
        <f t="shared" si="20"/>
        <v>0</v>
      </c>
      <c r="R117" s="316">
        <f t="shared" si="21"/>
        <v>585.53684210526308</v>
      </c>
      <c r="S117" s="317">
        <f t="shared" si="22"/>
        <v>3355.5789473684208</v>
      </c>
      <c r="T117" s="318">
        <f t="shared" si="32"/>
        <v>1288.95</v>
      </c>
      <c r="U117" s="319">
        <f t="shared" si="16"/>
        <v>1004.25</v>
      </c>
      <c r="V117" s="319">
        <f t="shared" si="17"/>
        <v>1062.378947368421</v>
      </c>
      <c r="X117" s="320">
        <f t="shared" si="23"/>
        <v>1031.1600000000001</v>
      </c>
      <c r="Y117" s="320">
        <f t="shared" si="23"/>
        <v>803.40000000000009</v>
      </c>
      <c r="Z117" s="320">
        <f t="shared" si="23"/>
        <v>849.90315789473686</v>
      </c>
      <c r="AB117" s="123">
        <v>1335.75</v>
      </c>
      <c r="AC117" s="320">
        <f t="shared" ref="AC117:AC123" si="34">AB117-T117</f>
        <v>46.799999999999955</v>
      </c>
      <c r="AI117" s="123">
        <v>1335.75</v>
      </c>
      <c r="AJ117" s="320">
        <f t="shared" si="24"/>
        <v>-46.799999999999955</v>
      </c>
    </row>
    <row r="118" spans="1:36" hidden="1" x14ac:dyDescent="0.35">
      <c r="A118" s="197">
        <v>3302194</v>
      </c>
      <c r="B118" s="197">
        <v>2194</v>
      </c>
      <c r="C118" s="197" t="s">
        <v>314</v>
      </c>
      <c r="D118" s="198" t="s">
        <v>49</v>
      </c>
      <c r="E118" s="198"/>
      <c r="F118" s="197"/>
      <c r="G118" s="199">
        <v>30</v>
      </c>
      <c r="H118" s="199">
        <v>0</v>
      </c>
      <c r="I118" s="199">
        <v>270</v>
      </c>
      <c r="J118" s="199">
        <v>15</v>
      </c>
      <c r="K118" s="199">
        <v>0</v>
      </c>
      <c r="L118" s="199">
        <v>165</v>
      </c>
      <c r="M118" s="315">
        <v>4.7368421052631575</v>
      </c>
      <c r="N118" s="315">
        <v>9.473684210526315</v>
      </c>
      <c r="O118" s="315">
        <v>260.52631578947364</v>
      </c>
      <c r="P118" s="316">
        <f t="shared" si="19"/>
        <v>391.52368421052631</v>
      </c>
      <c r="Q118" s="316">
        <f t="shared" si="20"/>
        <v>32.968421052631577</v>
      </c>
      <c r="R118" s="316">
        <f t="shared" si="21"/>
        <v>702.50526315789466</v>
      </c>
      <c r="S118" s="317">
        <f t="shared" si="22"/>
        <v>1126.9973684210527</v>
      </c>
      <c r="T118" s="318">
        <f t="shared" si="32"/>
        <v>518.70000000000005</v>
      </c>
      <c r="U118" s="319">
        <f t="shared" si="16"/>
        <v>290.55</v>
      </c>
      <c r="V118" s="319">
        <f t="shared" si="17"/>
        <v>317.74736842105256</v>
      </c>
      <c r="X118" s="320">
        <f t="shared" si="23"/>
        <v>414.96000000000004</v>
      </c>
      <c r="Y118" s="320">
        <f t="shared" si="23"/>
        <v>232.44000000000003</v>
      </c>
      <c r="Z118" s="320">
        <f t="shared" si="23"/>
        <v>254.19789473684204</v>
      </c>
      <c r="AB118" s="123">
        <v>487.5</v>
      </c>
      <c r="AC118" s="320">
        <f t="shared" si="34"/>
        <v>-31.200000000000045</v>
      </c>
      <c r="AI118" s="123">
        <v>487.5</v>
      </c>
      <c r="AJ118" s="320">
        <f t="shared" si="24"/>
        <v>31.200000000000045</v>
      </c>
    </row>
    <row r="119" spans="1:36" hidden="1" x14ac:dyDescent="0.35">
      <c r="A119" s="197">
        <v>3302195</v>
      </c>
      <c r="B119" s="197">
        <v>2195</v>
      </c>
      <c r="C119" s="197" t="s">
        <v>315</v>
      </c>
      <c r="D119" s="198" t="s">
        <v>49</v>
      </c>
      <c r="E119" s="198"/>
      <c r="F119" s="197"/>
      <c r="G119" s="199">
        <v>405</v>
      </c>
      <c r="H119" s="199">
        <v>285</v>
      </c>
      <c r="I119" s="199">
        <v>195</v>
      </c>
      <c r="J119" s="199">
        <v>270</v>
      </c>
      <c r="K119" s="199">
        <v>150</v>
      </c>
      <c r="L119" s="199">
        <v>114</v>
      </c>
      <c r="M119" s="315">
        <v>310.73684210526318</v>
      </c>
      <c r="N119" s="315">
        <v>178.10526315789474</v>
      </c>
      <c r="O119" s="315">
        <v>144.94736842105263</v>
      </c>
      <c r="P119" s="316">
        <f t="shared" si="19"/>
        <v>7627.3436842105266</v>
      </c>
      <c r="Q119" s="316">
        <f t="shared" si="20"/>
        <v>2259.7563157894733</v>
      </c>
      <c r="R119" s="316">
        <f t="shared" si="21"/>
        <v>460.50947368421055</v>
      </c>
      <c r="S119" s="317">
        <f t="shared" si="22"/>
        <v>10347.60947368421</v>
      </c>
      <c r="T119" s="318">
        <f t="shared" si="32"/>
        <v>4488.8999999999996</v>
      </c>
      <c r="U119" s="319">
        <f t="shared" si="16"/>
        <v>2825.16</v>
      </c>
      <c r="V119" s="319">
        <f t="shared" si="17"/>
        <v>3033.5494736842106</v>
      </c>
      <c r="X119" s="320">
        <f t="shared" si="23"/>
        <v>3591.12</v>
      </c>
      <c r="Y119" s="320">
        <f t="shared" si="23"/>
        <v>2260.1280000000002</v>
      </c>
      <c r="Z119" s="320">
        <f t="shared" si="23"/>
        <v>2426.8395789473684</v>
      </c>
      <c r="AB119" s="123">
        <v>4363.71</v>
      </c>
      <c r="AC119" s="320">
        <f t="shared" si="34"/>
        <v>-125.1899999999996</v>
      </c>
      <c r="AI119" s="123">
        <v>4363.71</v>
      </c>
      <c r="AJ119" s="320">
        <f t="shared" si="24"/>
        <v>125.1899999999996</v>
      </c>
    </row>
    <row r="120" spans="1:36" hidden="1" x14ac:dyDescent="0.35">
      <c r="A120" s="197">
        <v>3302196</v>
      </c>
      <c r="B120" s="197">
        <v>2196</v>
      </c>
      <c r="C120" s="197" t="s">
        <v>316</v>
      </c>
      <c r="D120" s="198" t="s">
        <v>49</v>
      </c>
      <c r="E120" s="198"/>
      <c r="F120" s="197"/>
      <c r="G120" s="199">
        <v>105</v>
      </c>
      <c r="H120" s="199">
        <v>180</v>
      </c>
      <c r="I120" s="199">
        <v>60</v>
      </c>
      <c r="J120" s="199">
        <v>45</v>
      </c>
      <c r="K120" s="199">
        <v>120</v>
      </c>
      <c r="L120" s="199">
        <v>60</v>
      </c>
      <c r="M120" s="315">
        <v>75.78947368421052</v>
      </c>
      <c r="N120" s="315">
        <v>127.89473684210526</v>
      </c>
      <c r="O120" s="315">
        <v>47.368421052631575</v>
      </c>
      <c r="P120" s="316">
        <f t="shared" si="19"/>
        <v>1744.2789473684211</v>
      </c>
      <c r="Q120" s="316">
        <f t="shared" si="20"/>
        <v>1576.0736842105262</v>
      </c>
      <c r="R120" s="316">
        <f t="shared" si="21"/>
        <v>170.27368421052631</v>
      </c>
      <c r="S120" s="317">
        <f t="shared" si="22"/>
        <v>3490.6263157894737</v>
      </c>
      <c r="T120" s="318">
        <f t="shared" si="32"/>
        <v>1573.65</v>
      </c>
      <c r="U120" s="319">
        <f t="shared" si="16"/>
        <v>871.65</v>
      </c>
      <c r="V120" s="319">
        <f t="shared" si="17"/>
        <v>1045.3263157894737</v>
      </c>
      <c r="X120" s="320">
        <f t="shared" si="23"/>
        <v>1258.92</v>
      </c>
      <c r="Y120" s="320">
        <f t="shared" si="23"/>
        <v>697.32</v>
      </c>
      <c r="Z120" s="320">
        <f t="shared" si="23"/>
        <v>836.26105263157899</v>
      </c>
      <c r="AB120" s="123">
        <v>1507.35</v>
      </c>
      <c r="AC120" s="320">
        <f t="shared" si="34"/>
        <v>-66.300000000000182</v>
      </c>
      <c r="AI120" s="123">
        <v>1507.35</v>
      </c>
      <c r="AJ120" s="320">
        <f t="shared" si="24"/>
        <v>66.300000000000182</v>
      </c>
    </row>
    <row r="121" spans="1:36" hidden="1" x14ac:dyDescent="0.35">
      <c r="A121" s="197">
        <v>3302204</v>
      </c>
      <c r="B121" s="197">
        <v>2204</v>
      </c>
      <c r="C121" s="197" t="s">
        <v>317</v>
      </c>
      <c r="D121" s="198" t="s">
        <v>49</v>
      </c>
      <c r="E121" s="198"/>
      <c r="F121" s="197"/>
      <c r="G121" s="199">
        <v>90</v>
      </c>
      <c r="H121" s="199">
        <v>30</v>
      </c>
      <c r="I121" s="199">
        <v>15</v>
      </c>
      <c r="J121" s="199">
        <v>75</v>
      </c>
      <c r="K121" s="199">
        <v>15</v>
      </c>
      <c r="L121" s="199">
        <v>0</v>
      </c>
      <c r="M121" s="315">
        <v>108.94736842105263</v>
      </c>
      <c r="N121" s="315">
        <v>14.210526315789473</v>
      </c>
      <c r="O121" s="315">
        <v>14.210526315789473</v>
      </c>
      <c r="P121" s="316">
        <f t="shared" si="19"/>
        <v>2105.9447368421052</v>
      </c>
      <c r="Q121" s="316">
        <f t="shared" si="20"/>
        <v>219.10263157894735</v>
      </c>
      <c r="R121" s="316">
        <f t="shared" si="21"/>
        <v>29.242105263157896</v>
      </c>
      <c r="S121" s="317">
        <f t="shared" si="22"/>
        <v>2354.2894736842104</v>
      </c>
      <c r="T121" s="318">
        <f t="shared" si="32"/>
        <v>842.4</v>
      </c>
      <c r="U121" s="319">
        <f t="shared" si="16"/>
        <v>651.29999999999995</v>
      </c>
      <c r="V121" s="319">
        <f t="shared" si="17"/>
        <v>860.58947368421059</v>
      </c>
      <c r="X121" s="320">
        <f t="shared" si="23"/>
        <v>673.92000000000007</v>
      </c>
      <c r="Y121" s="320">
        <f t="shared" si="23"/>
        <v>521.04</v>
      </c>
      <c r="Z121" s="320">
        <f t="shared" si="23"/>
        <v>688.47157894736847</v>
      </c>
      <c r="AB121" s="123">
        <v>1277.25</v>
      </c>
      <c r="AC121" s="320">
        <f t="shared" si="34"/>
        <v>434.85</v>
      </c>
      <c r="AI121" s="123">
        <v>1277.25</v>
      </c>
      <c r="AJ121" s="320">
        <f t="shared" si="24"/>
        <v>-434.85</v>
      </c>
    </row>
    <row r="122" spans="1:36" hidden="1" x14ac:dyDescent="0.35">
      <c r="A122" s="197">
        <v>3302211</v>
      </c>
      <c r="B122" s="197">
        <v>2211</v>
      </c>
      <c r="C122" s="197" t="s">
        <v>318</v>
      </c>
      <c r="D122" s="198" t="s">
        <v>49</v>
      </c>
      <c r="E122" s="198"/>
      <c r="F122" s="197"/>
      <c r="G122" s="199">
        <v>75</v>
      </c>
      <c r="H122" s="199">
        <v>480</v>
      </c>
      <c r="I122" s="199">
        <v>75</v>
      </c>
      <c r="J122" s="199">
        <v>0</v>
      </c>
      <c r="K122" s="199">
        <v>270</v>
      </c>
      <c r="L122" s="199">
        <v>90</v>
      </c>
      <c r="M122" s="315">
        <v>18.94736842105263</v>
      </c>
      <c r="N122" s="315">
        <v>341.0526315789474</v>
      </c>
      <c r="O122" s="315">
        <v>71.05263157894737</v>
      </c>
      <c r="P122" s="316">
        <f t="shared" si="19"/>
        <v>733.44473684210527</v>
      </c>
      <c r="Q122" s="316">
        <f t="shared" si="20"/>
        <v>4014.363157894737</v>
      </c>
      <c r="R122" s="316">
        <f t="shared" si="21"/>
        <v>239.8105263157895</v>
      </c>
      <c r="S122" s="317">
        <f t="shared" si="22"/>
        <v>4987.6184210526317</v>
      </c>
      <c r="T122" s="318">
        <f t="shared" si="32"/>
        <v>2482.35</v>
      </c>
      <c r="U122" s="319">
        <f t="shared" si="16"/>
        <v>1111.5</v>
      </c>
      <c r="V122" s="319">
        <f t="shared" si="17"/>
        <v>1393.7684210526318</v>
      </c>
      <c r="X122" s="320">
        <f t="shared" si="23"/>
        <v>1985.88</v>
      </c>
      <c r="Y122" s="320">
        <f t="shared" si="23"/>
        <v>889.2</v>
      </c>
      <c r="Z122" s="320">
        <f t="shared" si="23"/>
        <v>1115.0147368421055</v>
      </c>
      <c r="AB122" s="123">
        <v>1955.85</v>
      </c>
      <c r="AC122" s="320">
        <f t="shared" si="34"/>
        <v>-526.5</v>
      </c>
      <c r="AI122" s="123">
        <v>1955.85</v>
      </c>
      <c r="AJ122" s="320">
        <f t="shared" si="24"/>
        <v>526.5</v>
      </c>
    </row>
    <row r="123" spans="1:36" hidden="1" x14ac:dyDescent="0.35">
      <c r="A123" s="197">
        <v>3302214</v>
      </c>
      <c r="B123" s="197">
        <v>2214</v>
      </c>
      <c r="C123" s="206" t="s">
        <v>535</v>
      </c>
      <c r="D123" s="198" t="s">
        <v>49</v>
      </c>
      <c r="E123" s="198"/>
      <c r="F123" s="197"/>
      <c r="G123" s="199">
        <v>240</v>
      </c>
      <c r="H123" s="199">
        <v>45</v>
      </c>
      <c r="I123" s="199">
        <v>45</v>
      </c>
      <c r="J123" s="199">
        <v>135</v>
      </c>
      <c r="K123" s="199">
        <v>45</v>
      </c>
      <c r="L123" s="199">
        <v>15</v>
      </c>
      <c r="M123" s="315">
        <v>165.78947368421052</v>
      </c>
      <c r="N123" s="315">
        <v>28.421052631578945</v>
      </c>
      <c r="O123" s="315">
        <v>42.631578947368425</v>
      </c>
      <c r="P123" s="316">
        <f t="shared" si="19"/>
        <v>4187.3289473684208</v>
      </c>
      <c r="Q123" s="316">
        <f t="shared" si="20"/>
        <v>438.20526315789471</v>
      </c>
      <c r="R123" s="316">
        <f t="shared" si="21"/>
        <v>103.3263157894737</v>
      </c>
      <c r="S123" s="317">
        <f t="shared" si="22"/>
        <v>4728.8605263157897</v>
      </c>
      <c r="T123" s="318">
        <f t="shared" si="32"/>
        <v>2119.65</v>
      </c>
      <c r="U123" s="319">
        <f t="shared" si="16"/>
        <v>1255.7999999999997</v>
      </c>
      <c r="V123" s="319">
        <f t="shared" si="17"/>
        <v>1353.4105263157892</v>
      </c>
      <c r="X123" s="320">
        <f t="shared" si="23"/>
        <v>1695.7200000000003</v>
      </c>
      <c r="Y123" s="320">
        <f t="shared" si="23"/>
        <v>1004.6399999999999</v>
      </c>
      <c r="Z123" s="320">
        <f t="shared" si="23"/>
        <v>1082.7284210526313</v>
      </c>
      <c r="AB123" s="123">
        <v>1959.75</v>
      </c>
      <c r="AC123" s="320">
        <f t="shared" si="34"/>
        <v>-159.90000000000009</v>
      </c>
      <c r="AI123" s="123">
        <v>1959.75</v>
      </c>
      <c r="AJ123" s="320">
        <f t="shared" si="24"/>
        <v>159.90000000000009</v>
      </c>
    </row>
    <row r="124" spans="1:36" hidden="1" x14ac:dyDescent="0.35">
      <c r="A124" s="197">
        <v>3302227</v>
      </c>
      <c r="B124" s="197">
        <v>2227</v>
      </c>
      <c r="C124" s="197" t="s">
        <v>319</v>
      </c>
      <c r="D124" s="198" t="s">
        <v>27</v>
      </c>
      <c r="E124" s="198"/>
      <c r="F124" s="197"/>
      <c r="G124" s="199">
        <v>105</v>
      </c>
      <c r="H124" s="199">
        <v>315</v>
      </c>
      <c r="I124" s="199">
        <v>180</v>
      </c>
      <c r="J124" s="199">
        <v>75</v>
      </c>
      <c r="K124" s="199">
        <v>120</v>
      </c>
      <c r="L124" s="199">
        <v>60</v>
      </c>
      <c r="M124" s="315">
        <v>156.31578947368422</v>
      </c>
      <c r="N124" s="315">
        <v>227.36842105263156</v>
      </c>
      <c r="O124" s="315">
        <v>85.26315789473685</v>
      </c>
      <c r="P124" s="316">
        <f t="shared" si="19"/>
        <v>2571.6315789473683</v>
      </c>
      <c r="Q124" s="316">
        <f t="shared" si="20"/>
        <v>2431.1921052631578</v>
      </c>
      <c r="R124" s="316">
        <f t="shared" si="21"/>
        <v>331.45263157894738</v>
      </c>
      <c r="S124" s="317">
        <f t="shared" si="22"/>
        <v>5334.2763157894733</v>
      </c>
      <c r="T124" s="318">
        <f t="shared" si="32"/>
        <v>2207.3999999999996</v>
      </c>
      <c r="U124" s="319">
        <f t="shared" si="16"/>
        <v>1109.5500000000002</v>
      </c>
      <c r="V124" s="319">
        <f t="shared" si="17"/>
        <v>2017.3263157894737</v>
      </c>
      <c r="X124" s="320">
        <f t="shared" si="23"/>
        <v>1765.9199999999998</v>
      </c>
      <c r="Y124" s="320">
        <f t="shared" si="23"/>
        <v>887.64000000000021</v>
      </c>
      <c r="Z124" s="320">
        <f t="shared" si="23"/>
        <v>1613.861052631579</v>
      </c>
      <c r="AB124" s="123" t="s">
        <v>176</v>
      </c>
      <c r="AI124" s="123">
        <v>2843.1</v>
      </c>
      <c r="AJ124" s="320">
        <f t="shared" si="24"/>
        <v>-635.70000000000027</v>
      </c>
    </row>
    <row r="125" spans="1:36" hidden="1" x14ac:dyDescent="0.35">
      <c r="A125" s="197">
        <v>3302231</v>
      </c>
      <c r="B125" s="197">
        <v>2231</v>
      </c>
      <c r="C125" s="197" t="s">
        <v>320</v>
      </c>
      <c r="D125" s="198" t="s">
        <v>27</v>
      </c>
      <c r="E125" s="198"/>
      <c r="F125" s="197"/>
      <c r="G125" s="199">
        <v>0</v>
      </c>
      <c r="H125" s="199">
        <v>15</v>
      </c>
      <c r="I125" s="199">
        <v>210</v>
      </c>
      <c r="J125" s="199">
        <v>0</v>
      </c>
      <c r="K125" s="199">
        <v>0</v>
      </c>
      <c r="L125" s="199">
        <v>195</v>
      </c>
      <c r="M125" s="315">
        <v>9.473684210526315</v>
      </c>
      <c r="N125" s="315">
        <v>4.7368421052631575</v>
      </c>
      <c r="O125" s="315">
        <v>260.52631578947364</v>
      </c>
      <c r="P125" s="316">
        <f t="shared" si="19"/>
        <v>69.347368421052636</v>
      </c>
      <c r="Q125" s="316">
        <f t="shared" si="20"/>
        <v>73.034210526315789</v>
      </c>
      <c r="R125" s="316">
        <f t="shared" si="21"/>
        <v>671.30526315789461</v>
      </c>
      <c r="S125" s="317">
        <f t="shared" si="22"/>
        <v>813.68684210526294</v>
      </c>
      <c r="T125" s="318">
        <f t="shared" si="32"/>
        <v>274.95</v>
      </c>
      <c r="U125" s="319">
        <f t="shared" si="16"/>
        <v>202.79999999999998</v>
      </c>
      <c r="V125" s="319">
        <f t="shared" si="17"/>
        <v>335.93684210526311</v>
      </c>
      <c r="X125" s="320">
        <f t="shared" si="23"/>
        <v>219.96</v>
      </c>
      <c r="Y125" s="320">
        <f t="shared" si="23"/>
        <v>162.24</v>
      </c>
      <c r="Z125" s="320">
        <f t="shared" si="23"/>
        <v>268.7494736842105</v>
      </c>
      <c r="AB125" s="123" t="s">
        <v>178</v>
      </c>
      <c r="AI125" s="123">
        <v>518.70000000000005</v>
      </c>
      <c r="AJ125" s="320">
        <f t="shared" si="24"/>
        <v>-243.75000000000006</v>
      </c>
    </row>
    <row r="126" spans="1:36" x14ac:dyDescent="0.35">
      <c r="A126" s="197">
        <v>3302238</v>
      </c>
      <c r="B126" s="197">
        <v>2238</v>
      </c>
      <c r="C126" s="197" t="s">
        <v>321</v>
      </c>
      <c r="D126" s="198" t="s">
        <v>27</v>
      </c>
      <c r="E126" s="198"/>
      <c r="F126" s="197"/>
      <c r="G126" s="199">
        <v>75</v>
      </c>
      <c r="H126" s="199">
        <v>45</v>
      </c>
      <c r="I126" s="199">
        <v>15</v>
      </c>
      <c r="J126" s="199">
        <v>90</v>
      </c>
      <c r="K126" s="199">
        <v>30</v>
      </c>
      <c r="L126" s="199">
        <v>15</v>
      </c>
      <c r="M126" s="315">
        <v>90</v>
      </c>
      <c r="N126" s="315">
        <v>52.10526315789474</v>
      </c>
      <c r="O126" s="315">
        <v>80.526315789473685</v>
      </c>
      <c r="P126" s="316">
        <f t="shared" si="19"/>
        <v>1967.2499999999998</v>
      </c>
      <c r="Q126" s="316">
        <f t="shared" si="20"/>
        <v>464.07631578947371</v>
      </c>
      <c r="R126" s="316">
        <f t="shared" si="21"/>
        <v>108.50526315789475</v>
      </c>
      <c r="S126" s="317">
        <f t="shared" si="22"/>
        <v>2539.8315789473681</v>
      </c>
      <c r="T126" s="318">
        <f t="shared" si="32"/>
        <v>780</v>
      </c>
      <c r="U126" s="319">
        <f t="shared" si="16"/>
        <v>842.4</v>
      </c>
      <c r="V126" s="319">
        <f t="shared" si="17"/>
        <v>917.43157894736839</v>
      </c>
      <c r="X126" s="320">
        <f t="shared" si="23"/>
        <v>624</v>
      </c>
      <c r="Y126" s="320">
        <f t="shared" si="23"/>
        <v>673.92000000000007</v>
      </c>
      <c r="Z126" s="320">
        <f t="shared" si="23"/>
        <v>733.94526315789471</v>
      </c>
      <c r="AB126" s="123" t="s">
        <v>47</v>
      </c>
      <c r="AI126" s="123">
        <v>1240.2</v>
      </c>
      <c r="AJ126" s="320">
        <f t="shared" si="24"/>
        <v>-460.20000000000005</v>
      </c>
    </row>
    <row r="127" spans="1:36" hidden="1" x14ac:dyDescent="0.35">
      <c r="A127" s="197">
        <v>3302239</v>
      </c>
      <c r="B127" s="197">
        <v>2239</v>
      </c>
      <c r="C127" s="197" t="s">
        <v>322</v>
      </c>
      <c r="D127" s="198" t="s">
        <v>27</v>
      </c>
      <c r="E127" s="198"/>
      <c r="F127" s="197"/>
      <c r="G127" s="199">
        <v>270</v>
      </c>
      <c r="H127" s="199">
        <v>90</v>
      </c>
      <c r="I127" s="199">
        <v>90</v>
      </c>
      <c r="J127" s="199">
        <v>255</v>
      </c>
      <c r="K127" s="199">
        <v>75</v>
      </c>
      <c r="L127" s="199">
        <v>75</v>
      </c>
      <c r="M127" s="315">
        <v>246.31578947368422</v>
      </c>
      <c r="N127" s="315">
        <v>52.10526315789474</v>
      </c>
      <c r="O127" s="315">
        <v>42.631578947368425</v>
      </c>
      <c r="P127" s="316">
        <f t="shared" si="19"/>
        <v>5966.281578947368</v>
      </c>
      <c r="Q127" s="316">
        <f t="shared" si="20"/>
        <v>803.37631578947367</v>
      </c>
      <c r="R127" s="316">
        <f t="shared" si="21"/>
        <v>212.5263157894737</v>
      </c>
      <c r="S127" s="317">
        <f t="shared" si="22"/>
        <v>6982.1842105263149</v>
      </c>
      <c r="T127" s="318">
        <f t="shared" si="32"/>
        <v>2573.9999999999995</v>
      </c>
      <c r="U127" s="319">
        <f t="shared" si="16"/>
        <v>2382.8999999999996</v>
      </c>
      <c r="V127" s="319">
        <f t="shared" si="17"/>
        <v>2025.2842105263157</v>
      </c>
      <c r="X127" s="320">
        <f t="shared" si="23"/>
        <v>2059.1999999999998</v>
      </c>
      <c r="Y127" s="320">
        <f t="shared" si="23"/>
        <v>1906.3199999999997</v>
      </c>
      <c r="Z127" s="320">
        <f t="shared" si="23"/>
        <v>1620.2273684210527</v>
      </c>
      <c r="AB127" s="123" t="s">
        <v>37</v>
      </c>
      <c r="AI127" s="123">
        <v>2341.9499999999998</v>
      </c>
      <c r="AJ127" s="320">
        <f t="shared" si="24"/>
        <v>232.04999999999973</v>
      </c>
    </row>
    <row r="128" spans="1:36" hidden="1" x14ac:dyDescent="0.35">
      <c r="A128" s="197">
        <v>3302245</v>
      </c>
      <c r="B128" s="197">
        <v>2245</v>
      </c>
      <c r="C128" s="197" t="s">
        <v>323</v>
      </c>
      <c r="D128" s="198" t="s">
        <v>27</v>
      </c>
      <c r="E128" s="198"/>
      <c r="F128" s="197"/>
      <c r="G128" s="199">
        <v>285</v>
      </c>
      <c r="H128" s="199">
        <v>15</v>
      </c>
      <c r="I128" s="199">
        <v>0</v>
      </c>
      <c r="J128" s="199">
        <v>150</v>
      </c>
      <c r="K128" s="199">
        <v>15</v>
      </c>
      <c r="L128" s="199">
        <v>15</v>
      </c>
      <c r="M128" s="315">
        <v>265.26315789473682</v>
      </c>
      <c r="N128" s="315">
        <v>4.7368421052631575</v>
      </c>
      <c r="O128" s="315">
        <v>14.210526315789473</v>
      </c>
      <c r="P128" s="316">
        <f t="shared" si="19"/>
        <v>5391.2763157894733</v>
      </c>
      <c r="Q128" s="316">
        <f t="shared" si="20"/>
        <v>129.58421052631579</v>
      </c>
      <c r="R128" s="316">
        <f t="shared" si="21"/>
        <v>29.242105263157896</v>
      </c>
      <c r="S128" s="317">
        <f t="shared" si="22"/>
        <v>5550.1026315789468</v>
      </c>
      <c r="T128" s="318">
        <f t="shared" si="32"/>
        <v>2316.6</v>
      </c>
      <c r="U128" s="319">
        <f t="shared" si="16"/>
        <v>1261.6499999999999</v>
      </c>
      <c r="V128" s="319">
        <f t="shared" si="17"/>
        <v>1971.852631578947</v>
      </c>
      <c r="X128" s="320">
        <f t="shared" si="23"/>
        <v>1853.28</v>
      </c>
      <c r="Y128" s="320">
        <f t="shared" si="23"/>
        <v>1009.3199999999999</v>
      </c>
      <c r="Z128" s="320">
        <f t="shared" si="23"/>
        <v>1577.4821052631578</v>
      </c>
      <c r="AB128" s="123" t="s">
        <v>164</v>
      </c>
      <c r="AI128" s="123">
        <v>2751.45</v>
      </c>
      <c r="AJ128" s="320">
        <f t="shared" si="24"/>
        <v>-434.84999999999991</v>
      </c>
    </row>
    <row r="129" spans="1:36" hidden="1" x14ac:dyDescent="0.35">
      <c r="A129" s="197">
        <v>3302251</v>
      </c>
      <c r="B129" s="197">
        <v>2251</v>
      </c>
      <c r="C129" s="197" t="s">
        <v>324</v>
      </c>
      <c r="D129" s="198" t="s">
        <v>27</v>
      </c>
      <c r="E129" s="198"/>
      <c r="F129" s="197"/>
      <c r="G129" s="199">
        <v>0</v>
      </c>
      <c r="H129" s="199">
        <v>0</v>
      </c>
      <c r="I129" s="199">
        <v>15</v>
      </c>
      <c r="J129" s="199">
        <v>0</v>
      </c>
      <c r="K129" s="199">
        <v>0</v>
      </c>
      <c r="L129" s="199">
        <v>15</v>
      </c>
      <c r="M129" s="315">
        <v>0</v>
      </c>
      <c r="N129" s="315">
        <v>0</v>
      </c>
      <c r="O129" s="315">
        <v>4.7368421052631575</v>
      </c>
      <c r="P129" s="316">
        <f t="shared" si="19"/>
        <v>0</v>
      </c>
      <c r="Q129" s="316">
        <f t="shared" si="20"/>
        <v>0</v>
      </c>
      <c r="R129" s="316">
        <f t="shared" si="21"/>
        <v>35.747368421052627</v>
      </c>
      <c r="S129" s="317">
        <f t="shared" si="22"/>
        <v>35.747368421052627</v>
      </c>
      <c r="T129" s="318">
        <f t="shared" si="32"/>
        <v>15.6</v>
      </c>
      <c r="U129" s="319">
        <f t="shared" si="16"/>
        <v>15.6</v>
      </c>
      <c r="V129" s="319">
        <f t="shared" si="17"/>
        <v>4.5473684210526315</v>
      </c>
      <c r="X129" s="320">
        <f t="shared" si="23"/>
        <v>12.48</v>
      </c>
      <c r="Y129" s="320">
        <f t="shared" si="23"/>
        <v>12.48</v>
      </c>
      <c r="Z129" s="320">
        <f t="shared" si="23"/>
        <v>3.6378947368421053</v>
      </c>
      <c r="AB129" s="123" t="s">
        <v>56</v>
      </c>
      <c r="AI129" s="123">
        <v>0</v>
      </c>
      <c r="AJ129" s="320">
        <f t="shared" si="24"/>
        <v>15.6</v>
      </c>
    </row>
    <row r="130" spans="1:36" hidden="1" x14ac:dyDescent="0.35">
      <c r="A130" s="197">
        <v>3302293</v>
      </c>
      <c r="B130" s="197">
        <v>2293</v>
      </c>
      <c r="C130" s="197" t="s">
        <v>173</v>
      </c>
      <c r="D130" s="198" t="s">
        <v>27</v>
      </c>
      <c r="E130" s="198"/>
      <c r="F130" s="197"/>
      <c r="G130" s="199">
        <v>0</v>
      </c>
      <c r="H130" s="199">
        <v>165</v>
      </c>
      <c r="I130" s="199">
        <v>750</v>
      </c>
      <c r="J130" s="199">
        <v>0</v>
      </c>
      <c r="K130" s="199">
        <v>180</v>
      </c>
      <c r="L130" s="199">
        <v>690</v>
      </c>
      <c r="M130" s="315">
        <v>9.473684210526315</v>
      </c>
      <c r="N130" s="315">
        <v>151.57894736842104</v>
      </c>
      <c r="O130" s="315">
        <v>582.63157894736844</v>
      </c>
      <c r="P130" s="316">
        <f t="shared" si="19"/>
        <v>69.347368421052636</v>
      </c>
      <c r="Q130" s="316">
        <f t="shared" si="20"/>
        <v>1828.144736842105</v>
      </c>
      <c r="R130" s="316">
        <f t="shared" si="21"/>
        <v>2056.9263157894738</v>
      </c>
      <c r="S130" s="317">
        <f t="shared" si="22"/>
        <v>3954.4184210526314</v>
      </c>
      <c r="T130" s="318">
        <f t="shared" si="32"/>
        <v>1402.05</v>
      </c>
      <c r="U130" s="319">
        <f t="shared" si="16"/>
        <v>1396.1999999999998</v>
      </c>
      <c r="V130" s="319">
        <f t="shared" si="17"/>
        <v>1156.1684210526316</v>
      </c>
      <c r="X130" s="320">
        <f t="shared" si="23"/>
        <v>1121.6400000000001</v>
      </c>
      <c r="Y130" s="320">
        <f t="shared" si="23"/>
        <v>1116.9599999999998</v>
      </c>
      <c r="Z130" s="320">
        <f t="shared" si="23"/>
        <v>924.93473684210539</v>
      </c>
      <c r="AB130" s="123" t="s">
        <v>172</v>
      </c>
      <c r="AI130" s="123">
        <v>1329.9</v>
      </c>
      <c r="AJ130" s="320">
        <f t="shared" si="24"/>
        <v>72.149999999999864</v>
      </c>
    </row>
    <row r="131" spans="1:36" hidden="1" x14ac:dyDescent="0.35">
      <c r="A131" s="197">
        <v>3302299</v>
      </c>
      <c r="B131" s="197">
        <v>2299</v>
      </c>
      <c r="C131" s="197" t="s">
        <v>325</v>
      </c>
      <c r="D131" s="198" t="s">
        <v>49</v>
      </c>
      <c r="E131" s="198"/>
      <c r="F131" s="197"/>
      <c r="G131" s="199">
        <v>0</v>
      </c>
      <c r="H131" s="199">
        <v>210</v>
      </c>
      <c r="I131" s="199">
        <v>90</v>
      </c>
      <c r="J131" s="199">
        <v>0</v>
      </c>
      <c r="K131" s="199">
        <v>180</v>
      </c>
      <c r="L131" s="199">
        <v>60</v>
      </c>
      <c r="M131" s="315">
        <v>33.157894736842103</v>
      </c>
      <c r="N131" s="315">
        <v>180</v>
      </c>
      <c r="O131" s="315">
        <v>66.315789473684205</v>
      </c>
      <c r="P131" s="316">
        <f t="shared" si="19"/>
        <v>242.71578947368417</v>
      </c>
      <c r="Q131" s="316">
        <f t="shared" si="20"/>
        <v>2096.6999999999998</v>
      </c>
      <c r="R131" s="316">
        <f t="shared" si="21"/>
        <v>219.66315789473686</v>
      </c>
      <c r="S131" s="317">
        <f t="shared" si="22"/>
        <v>2559.0789473684208</v>
      </c>
      <c r="T131" s="318">
        <f t="shared" si="32"/>
        <v>885.3</v>
      </c>
      <c r="U131" s="319">
        <f t="shared" si="16"/>
        <v>740.99999999999989</v>
      </c>
      <c r="V131" s="319">
        <f t="shared" si="17"/>
        <v>932.77894736842097</v>
      </c>
      <c r="X131" s="320">
        <f t="shared" si="23"/>
        <v>708.24</v>
      </c>
      <c r="Y131" s="320">
        <f t="shared" si="23"/>
        <v>592.79999999999995</v>
      </c>
      <c r="Z131" s="320">
        <f t="shared" si="23"/>
        <v>746.2231578947368</v>
      </c>
      <c r="AB131" s="123">
        <v>1288.95</v>
      </c>
      <c r="AC131" s="320">
        <f>AB131-T131</f>
        <v>403.65000000000009</v>
      </c>
      <c r="AI131" s="123">
        <v>1288.95</v>
      </c>
      <c r="AJ131" s="320">
        <f t="shared" si="24"/>
        <v>-403.65000000000009</v>
      </c>
    </row>
    <row r="132" spans="1:36" hidden="1" x14ac:dyDescent="0.35">
      <c r="A132" s="197">
        <v>3302300</v>
      </c>
      <c r="B132" s="197">
        <v>2300</v>
      </c>
      <c r="C132" s="197" t="s">
        <v>326</v>
      </c>
      <c r="D132" s="198" t="s">
        <v>27</v>
      </c>
      <c r="E132" s="198"/>
      <c r="F132" s="197"/>
      <c r="G132" s="199">
        <v>90</v>
      </c>
      <c r="H132" s="199">
        <v>375</v>
      </c>
      <c r="I132" s="199">
        <v>540</v>
      </c>
      <c r="J132" s="199">
        <v>75</v>
      </c>
      <c r="K132" s="199">
        <v>345</v>
      </c>
      <c r="L132" s="199">
        <v>480</v>
      </c>
      <c r="M132" s="315">
        <v>71.05263157894737</v>
      </c>
      <c r="N132" s="315">
        <v>360</v>
      </c>
      <c r="O132" s="315">
        <v>492.63157894736844</v>
      </c>
      <c r="P132" s="316">
        <f t="shared" si="19"/>
        <v>1828.5552631578946</v>
      </c>
      <c r="Q132" s="316">
        <f t="shared" si="20"/>
        <v>3967.2</v>
      </c>
      <c r="R132" s="316">
        <f t="shared" si="21"/>
        <v>1533.7263157894736</v>
      </c>
      <c r="S132" s="317">
        <f t="shared" si="22"/>
        <v>7329.4815789473678</v>
      </c>
      <c r="T132" s="318">
        <f t="shared" si="32"/>
        <v>2689.0499999999997</v>
      </c>
      <c r="U132" s="319">
        <f t="shared" si="16"/>
        <v>2394.6</v>
      </c>
      <c r="V132" s="319">
        <f t="shared" si="17"/>
        <v>2245.8315789473686</v>
      </c>
      <c r="X132" s="320">
        <f t="shared" si="23"/>
        <v>2151.2399999999998</v>
      </c>
      <c r="Y132" s="320">
        <f t="shared" si="23"/>
        <v>1915.68</v>
      </c>
      <c r="Z132" s="320">
        <f t="shared" si="23"/>
        <v>1796.665263157895</v>
      </c>
      <c r="AB132" s="123" t="s">
        <v>35</v>
      </c>
      <c r="AI132" s="123">
        <v>2683.2</v>
      </c>
      <c r="AJ132" s="320">
        <f t="shared" si="24"/>
        <v>5.8499999999999091</v>
      </c>
    </row>
    <row r="133" spans="1:36" hidden="1" x14ac:dyDescent="0.35">
      <c r="A133" s="197">
        <v>3302308</v>
      </c>
      <c r="B133" s="197">
        <v>2308</v>
      </c>
      <c r="C133" s="197" t="s">
        <v>163</v>
      </c>
      <c r="D133" s="198" t="s">
        <v>27</v>
      </c>
      <c r="E133" s="198"/>
      <c r="F133" s="197"/>
      <c r="G133" s="199">
        <v>0</v>
      </c>
      <c r="H133" s="199">
        <v>465</v>
      </c>
      <c r="I133" s="199">
        <v>75</v>
      </c>
      <c r="J133" s="199">
        <v>0</v>
      </c>
      <c r="K133" s="199">
        <v>255</v>
      </c>
      <c r="L133" s="199">
        <v>30</v>
      </c>
      <c r="M133" s="315">
        <v>18.94736842105263</v>
      </c>
      <c r="N133" s="315">
        <v>374.21052631578948</v>
      </c>
      <c r="O133" s="315">
        <v>75.78947368421052</v>
      </c>
      <c r="P133" s="316">
        <f t="shared" si="19"/>
        <v>138.69473684210527</v>
      </c>
      <c r="Q133" s="316">
        <f t="shared" si="20"/>
        <v>4016.652631578947</v>
      </c>
      <c r="R133" s="316">
        <f t="shared" si="21"/>
        <v>181.95789473684209</v>
      </c>
      <c r="S133" s="317">
        <f t="shared" si="22"/>
        <v>4337.3052631578939</v>
      </c>
      <c r="T133" s="318">
        <f t="shared" si="32"/>
        <v>1831.05</v>
      </c>
      <c r="U133" s="319">
        <f t="shared" si="16"/>
        <v>992.55</v>
      </c>
      <c r="V133" s="319">
        <f t="shared" si="17"/>
        <v>1513.7052631578945</v>
      </c>
      <c r="X133" s="320">
        <f t="shared" si="23"/>
        <v>1464.8400000000001</v>
      </c>
      <c r="Y133" s="320">
        <f t="shared" si="23"/>
        <v>794.04</v>
      </c>
      <c r="Z133" s="320">
        <f t="shared" si="23"/>
        <v>1210.9642105263156</v>
      </c>
      <c r="AB133" s="123" t="s">
        <v>162</v>
      </c>
      <c r="AI133" s="123">
        <v>2260.0499999999997</v>
      </c>
      <c r="AJ133" s="320">
        <f t="shared" si="24"/>
        <v>-428.99999999999977</v>
      </c>
    </row>
    <row r="134" spans="1:36" hidden="1" x14ac:dyDescent="0.35">
      <c r="A134" s="197">
        <v>3302309</v>
      </c>
      <c r="B134" s="197">
        <v>2309</v>
      </c>
      <c r="C134" s="197" t="s">
        <v>327</v>
      </c>
      <c r="D134" s="198" t="s">
        <v>49</v>
      </c>
      <c r="E134" s="198"/>
      <c r="F134" s="197"/>
      <c r="G134" s="199">
        <v>15</v>
      </c>
      <c r="H134" s="199">
        <v>255</v>
      </c>
      <c r="I134" s="199">
        <v>360</v>
      </c>
      <c r="J134" s="199">
        <v>15</v>
      </c>
      <c r="K134" s="199">
        <v>210</v>
      </c>
      <c r="L134" s="199">
        <v>285</v>
      </c>
      <c r="M134" s="315">
        <v>4.7368421052631575</v>
      </c>
      <c r="N134" s="315">
        <v>255.78947368421052</v>
      </c>
      <c r="O134" s="315">
        <v>246.31578947368422</v>
      </c>
      <c r="P134" s="316">
        <f t="shared" si="19"/>
        <v>272.57368421052632</v>
      </c>
      <c r="Q134" s="316">
        <f t="shared" si="20"/>
        <v>2643.1973684210525</v>
      </c>
      <c r="R134" s="316">
        <f t="shared" si="21"/>
        <v>907.26315789473688</v>
      </c>
      <c r="S134" s="317">
        <f t="shared" si="22"/>
        <v>3823.0342105263153</v>
      </c>
      <c r="T134" s="318">
        <f t="shared" si="32"/>
        <v>1454.7</v>
      </c>
      <c r="U134" s="319">
        <f t="shared" si="16"/>
        <v>1207.05</v>
      </c>
      <c r="V134" s="319">
        <f t="shared" si="17"/>
        <v>1161.2842105263157</v>
      </c>
      <c r="X134" s="320">
        <f t="shared" si="23"/>
        <v>1163.76</v>
      </c>
      <c r="Y134" s="320">
        <f t="shared" si="23"/>
        <v>965.64</v>
      </c>
      <c r="Z134" s="320">
        <f t="shared" si="23"/>
        <v>929.02736842105264</v>
      </c>
      <c r="AB134" s="123">
        <v>1396.2</v>
      </c>
      <c r="AC134" s="320">
        <f>AB134-T134</f>
        <v>-58.5</v>
      </c>
      <c r="AI134" s="123">
        <v>1396.2</v>
      </c>
      <c r="AJ134" s="320">
        <f t="shared" si="24"/>
        <v>58.5</v>
      </c>
    </row>
    <row r="135" spans="1:36" hidden="1" x14ac:dyDescent="0.35">
      <c r="A135" s="197">
        <v>3302317</v>
      </c>
      <c r="B135" s="197">
        <v>2317</v>
      </c>
      <c r="C135" s="197" t="s">
        <v>328</v>
      </c>
      <c r="D135" s="198" t="s">
        <v>27</v>
      </c>
      <c r="E135" s="198"/>
      <c r="F135" s="197"/>
      <c r="G135" s="199">
        <v>150</v>
      </c>
      <c r="H135" s="199">
        <v>150</v>
      </c>
      <c r="I135" s="199">
        <v>360</v>
      </c>
      <c r="J135" s="199">
        <v>165</v>
      </c>
      <c r="K135" s="199">
        <v>120</v>
      </c>
      <c r="L135" s="199">
        <v>315</v>
      </c>
      <c r="M135" s="315">
        <v>123.15789473684211</v>
      </c>
      <c r="N135" s="315">
        <v>142.10526315789474</v>
      </c>
      <c r="O135" s="315">
        <v>307.89473684210526</v>
      </c>
      <c r="P135" s="316">
        <f t="shared" si="19"/>
        <v>3399.4657894736838</v>
      </c>
      <c r="Q135" s="316">
        <f t="shared" si="20"/>
        <v>1512.4263157894736</v>
      </c>
      <c r="R135" s="316">
        <f t="shared" si="21"/>
        <v>997.57894736842104</v>
      </c>
      <c r="S135" s="317">
        <f t="shared" si="22"/>
        <v>5909.4710526315785</v>
      </c>
      <c r="T135" s="318">
        <f t="shared" si="32"/>
        <v>2129.4</v>
      </c>
      <c r="U135" s="319">
        <f t="shared" si="16"/>
        <v>2088.4499999999998</v>
      </c>
      <c r="V135" s="319">
        <f t="shared" si="17"/>
        <v>1691.6210526315788</v>
      </c>
      <c r="X135" s="320">
        <f t="shared" si="23"/>
        <v>1703.5200000000002</v>
      </c>
      <c r="Y135" s="320">
        <f t="shared" si="23"/>
        <v>1670.76</v>
      </c>
      <c r="Z135" s="320">
        <f t="shared" si="23"/>
        <v>1353.2968421052631</v>
      </c>
      <c r="AB135" s="123" t="s">
        <v>174</v>
      </c>
      <c r="AI135" s="123">
        <v>1916.8500000000001</v>
      </c>
      <c r="AJ135" s="320">
        <f t="shared" si="24"/>
        <v>212.54999999999995</v>
      </c>
    </row>
    <row r="136" spans="1:36" hidden="1" x14ac:dyDescent="0.35">
      <c r="A136" s="197">
        <v>3302402</v>
      </c>
      <c r="B136" s="197">
        <v>2402</v>
      </c>
      <c r="C136" s="197" t="s">
        <v>42</v>
      </c>
      <c r="D136" s="198" t="s">
        <v>27</v>
      </c>
      <c r="E136" s="198"/>
      <c r="F136" s="197"/>
      <c r="G136" s="199">
        <v>0</v>
      </c>
      <c r="H136" s="199">
        <v>0</v>
      </c>
      <c r="I136" s="199">
        <v>15</v>
      </c>
      <c r="J136" s="199">
        <v>0</v>
      </c>
      <c r="K136" s="199">
        <v>0</v>
      </c>
      <c r="L136" s="199">
        <v>15</v>
      </c>
      <c r="M136" s="315">
        <v>9.473684210526315</v>
      </c>
      <c r="N136" s="315">
        <v>0</v>
      </c>
      <c r="O136" s="315">
        <v>47.368421052631575</v>
      </c>
      <c r="P136" s="316">
        <f t="shared" si="19"/>
        <v>69.347368421052636</v>
      </c>
      <c r="Q136" s="316">
        <f t="shared" si="20"/>
        <v>0</v>
      </c>
      <c r="R136" s="316">
        <f t="shared" si="21"/>
        <v>76.673684210526318</v>
      </c>
      <c r="S136" s="317">
        <f t="shared" si="22"/>
        <v>146.02105263157895</v>
      </c>
      <c r="T136" s="318">
        <f t="shared" si="32"/>
        <v>15.6</v>
      </c>
      <c r="U136" s="319">
        <f t="shared" si="16"/>
        <v>15.6</v>
      </c>
      <c r="V136" s="319">
        <f t="shared" si="17"/>
        <v>114.82105263157895</v>
      </c>
      <c r="X136" s="320">
        <f t="shared" si="23"/>
        <v>12.48</v>
      </c>
      <c r="Y136" s="320">
        <f t="shared" si="23"/>
        <v>12.48</v>
      </c>
      <c r="Z136" s="320">
        <f t="shared" si="23"/>
        <v>91.856842105263169</v>
      </c>
      <c r="AB136" s="123" t="s">
        <v>41</v>
      </c>
      <c r="AI136" s="123">
        <v>181.35</v>
      </c>
      <c r="AJ136" s="320">
        <f t="shared" si="24"/>
        <v>-165.75</v>
      </c>
    </row>
    <row r="137" spans="1:36" hidden="1" x14ac:dyDescent="0.35">
      <c r="A137" s="197">
        <v>3302429</v>
      </c>
      <c r="B137" s="197">
        <v>2429</v>
      </c>
      <c r="C137" s="197" t="s">
        <v>329</v>
      </c>
      <c r="D137" s="198" t="s">
        <v>49</v>
      </c>
      <c r="E137" s="198"/>
      <c r="F137" s="197"/>
      <c r="G137" s="199">
        <v>0</v>
      </c>
      <c r="H137" s="199">
        <v>0</v>
      </c>
      <c r="I137" s="199">
        <v>15</v>
      </c>
      <c r="J137" s="199">
        <v>0</v>
      </c>
      <c r="K137" s="199">
        <v>0</v>
      </c>
      <c r="L137" s="199">
        <v>15</v>
      </c>
      <c r="M137" s="315">
        <v>9.473684210526315</v>
      </c>
      <c r="N137" s="315">
        <v>0</v>
      </c>
      <c r="O137" s="315">
        <v>14.210526315789473</v>
      </c>
      <c r="P137" s="316">
        <f t="shared" si="19"/>
        <v>69.347368421052636</v>
      </c>
      <c r="Q137" s="316">
        <f t="shared" si="20"/>
        <v>0</v>
      </c>
      <c r="R137" s="316">
        <f t="shared" si="21"/>
        <v>44.84210526315789</v>
      </c>
      <c r="S137" s="317">
        <f t="shared" si="22"/>
        <v>114.18947368421053</v>
      </c>
      <c r="T137" s="318">
        <f t="shared" si="32"/>
        <v>15.6</v>
      </c>
      <c r="U137" s="319">
        <f t="shared" si="16"/>
        <v>15.6</v>
      </c>
      <c r="V137" s="319">
        <f t="shared" si="17"/>
        <v>82.989473684210537</v>
      </c>
      <c r="X137" s="320">
        <f t="shared" si="23"/>
        <v>12.48</v>
      </c>
      <c r="Y137" s="320">
        <f t="shared" si="23"/>
        <v>12.48</v>
      </c>
      <c r="Z137" s="320">
        <f t="shared" si="23"/>
        <v>66.39157894736843</v>
      </c>
      <c r="AB137" s="123">
        <v>134.55000000000001</v>
      </c>
      <c r="AC137" s="320">
        <f t="shared" ref="AC137:AC139" si="35">AB137-T137</f>
        <v>118.95000000000002</v>
      </c>
      <c r="AI137" s="123">
        <v>134.55000000000001</v>
      </c>
      <c r="AJ137" s="320">
        <f t="shared" si="24"/>
        <v>-118.95000000000002</v>
      </c>
    </row>
    <row r="138" spans="1:36" hidden="1" x14ac:dyDescent="0.35">
      <c r="A138" s="197">
        <v>3302434</v>
      </c>
      <c r="B138" s="197">
        <v>2434</v>
      </c>
      <c r="C138" s="197" t="s">
        <v>330</v>
      </c>
      <c r="D138" s="198" t="s">
        <v>49</v>
      </c>
      <c r="E138" s="198"/>
      <c r="F138" s="197"/>
      <c r="G138" s="199">
        <v>135</v>
      </c>
      <c r="H138" s="199">
        <v>90</v>
      </c>
      <c r="I138" s="199">
        <v>330</v>
      </c>
      <c r="J138" s="199">
        <v>105</v>
      </c>
      <c r="K138" s="199">
        <v>45</v>
      </c>
      <c r="L138" s="199">
        <v>270</v>
      </c>
      <c r="M138" s="315">
        <v>165.78947368421052</v>
      </c>
      <c r="N138" s="315">
        <v>71.05263157894737</v>
      </c>
      <c r="O138" s="315">
        <v>251.0526315789474</v>
      </c>
      <c r="P138" s="316">
        <f t="shared" si="19"/>
        <v>3116.7789473684206</v>
      </c>
      <c r="Q138" s="316">
        <f t="shared" si="20"/>
        <v>756.2131578947367</v>
      </c>
      <c r="R138" s="316">
        <f t="shared" si="21"/>
        <v>865.01052631578955</v>
      </c>
      <c r="S138" s="317">
        <f t="shared" si="22"/>
        <v>4738.0026315789473</v>
      </c>
      <c r="T138" s="318">
        <f t="shared" si="32"/>
        <v>1753.05</v>
      </c>
      <c r="U138" s="319">
        <f t="shared" si="16"/>
        <v>1283.0999999999999</v>
      </c>
      <c r="V138" s="319">
        <f t="shared" si="17"/>
        <v>1701.8526315789472</v>
      </c>
      <c r="X138" s="320">
        <f t="shared" si="23"/>
        <v>1402.44</v>
      </c>
      <c r="Y138" s="320">
        <f t="shared" si="23"/>
        <v>1026.48</v>
      </c>
      <c r="Z138" s="320">
        <f t="shared" si="23"/>
        <v>1361.4821052631578</v>
      </c>
      <c r="AB138" s="123">
        <v>2269.8000000000002</v>
      </c>
      <c r="AC138" s="320">
        <f t="shared" si="35"/>
        <v>516.75000000000023</v>
      </c>
      <c r="AI138" s="123">
        <v>2269.8000000000002</v>
      </c>
      <c r="AJ138" s="320">
        <f t="shared" si="24"/>
        <v>-516.75000000000023</v>
      </c>
    </row>
    <row r="139" spans="1:36" hidden="1" x14ac:dyDescent="0.35">
      <c r="A139" s="197">
        <v>3302212</v>
      </c>
      <c r="B139" s="197">
        <v>2212</v>
      </c>
      <c r="C139" s="197" t="s">
        <v>331</v>
      </c>
      <c r="D139" s="198" t="s">
        <v>49</v>
      </c>
      <c r="E139" s="198"/>
      <c r="F139" s="197"/>
      <c r="G139" s="199">
        <v>90</v>
      </c>
      <c r="H139" s="199">
        <v>120</v>
      </c>
      <c r="I139" s="199">
        <v>0</v>
      </c>
      <c r="J139" s="199">
        <v>90</v>
      </c>
      <c r="K139" s="199">
        <v>120</v>
      </c>
      <c r="L139" s="199">
        <v>0</v>
      </c>
      <c r="M139" s="315">
        <v>156.31578947368422</v>
      </c>
      <c r="N139" s="315">
        <v>90</v>
      </c>
      <c r="O139" s="315">
        <v>4.7368421052631575</v>
      </c>
      <c r="P139" s="316">
        <f t="shared" si="19"/>
        <v>2571.6315789473683</v>
      </c>
      <c r="Q139" s="316">
        <f t="shared" si="20"/>
        <v>1218</v>
      </c>
      <c r="R139" s="316">
        <f t="shared" si="21"/>
        <v>4.5473684210526315</v>
      </c>
      <c r="S139" s="317">
        <f t="shared" si="22"/>
        <v>3794.1789473684212</v>
      </c>
      <c r="T139" s="318">
        <f t="shared" si="32"/>
        <v>1166.0999999999999</v>
      </c>
      <c r="U139" s="319">
        <f t="shared" ref="U139:U200" si="36">(J139*$C$2*$F$3)+(K139*$C$3*$F$3)+(L139*$C$4*$F$3)</f>
        <v>1166.0999999999999</v>
      </c>
      <c r="V139" s="319">
        <f t="shared" ref="V139:V200" si="37">(M139*$C$2*$F$4)+(N139*$C$3*$F$4)+(O139*$C$4*$F$4)</f>
        <v>1461.9789473684211</v>
      </c>
      <c r="X139" s="320">
        <f t="shared" si="23"/>
        <v>932.88</v>
      </c>
      <c r="Y139" s="320">
        <f t="shared" si="23"/>
        <v>932.88</v>
      </c>
      <c r="Z139" s="320">
        <f t="shared" si="23"/>
        <v>1169.583157894737</v>
      </c>
      <c r="AB139" s="123">
        <v>2123.5500000000002</v>
      </c>
      <c r="AC139" s="320">
        <f t="shared" si="35"/>
        <v>957.45000000000027</v>
      </c>
      <c r="AI139" s="123">
        <v>2123.5500000000002</v>
      </c>
      <c r="AJ139" s="320">
        <f t="shared" si="24"/>
        <v>-957.45000000000027</v>
      </c>
    </row>
    <row r="140" spans="1:36" hidden="1" x14ac:dyDescent="0.35">
      <c r="A140" s="197">
        <v>3302441</v>
      </c>
      <c r="B140" s="197">
        <v>2441</v>
      </c>
      <c r="C140" s="197" t="s">
        <v>105</v>
      </c>
      <c r="D140" s="198" t="s">
        <v>27</v>
      </c>
      <c r="E140" s="198"/>
      <c r="F140" s="197"/>
      <c r="G140" s="199">
        <v>90</v>
      </c>
      <c r="H140" s="199">
        <v>150</v>
      </c>
      <c r="I140" s="199">
        <v>0</v>
      </c>
      <c r="J140" s="199">
        <v>60</v>
      </c>
      <c r="K140" s="199">
        <v>45</v>
      </c>
      <c r="L140" s="199">
        <v>0</v>
      </c>
      <c r="M140" s="315">
        <v>94.73684210526315</v>
      </c>
      <c r="N140" s="315">
        <v>123.15789473684211</v>
      </c>
      <c r="O140" s="315">
        <v>9.473684210526315</v>
      </c>
      <c r="P140" s="316">
        <f t="shared" ref="P140:P200" si="38">(G140*$C$2*$F$2)+(J140*$C$2*$F$3)+(M140*$C$2*$F$4)</f>
        <v>1882.9736842105262</v>
      </c>
      <c r="Q140" s="316">
        <f t="shared" ref="Q140:Q200" si="39">(H140*$C$3*$F$2)+(K140*$C$3*$F$3)+(N140*$C$3*$F$4)</f>
        <v>1163.7394736842105</v>
      </c>
      <c r="R140" s="316">
        <f t="shared" ref="R140:R200" si="40">(I140*$C$4*$F$2)+(L140*$C$4*$F$3)+(O140*$C$4*$F$4)</f>
        <v>9.094736842105263</v>
      </c>
      <c r="S140" s="317">
        <f t="shared" ref="S140:S200" si="41">R140+Q140+P140</f>
        <v>3055.8078947368422</v>
      </c>
      <c r="T140" s="318">
        <f t="shared" si="32"/>
        <v>1279.1999999999998</v>
      </c>
      <c r="U140" s="319">
        <f t="shared" si="36"/>
        <v>645.45000000000005</v>
      </c>
      <c r="V140" s="319">
        <f t="shared" si="37"/>
        <v>1131.1578947368421</v>
      </c>
      <c r="X140" s="320">
        <f t="shared" ref="X140:Z200" si="42">T140*0.8</f>
        <v>1023.3599999999999</v>
      </c>
      <c r="Y140" s="320">
        <f t="shared" si="42"/>
        <v>516.36</v>
      </c>
      <c r="Z140" s="320">
        <f t="shared" si="42"/>
        <v>904.92631578947373</v>
      </c>
      <c r="AB140" s="123" t="s">
        <v>104</v>
      </c>
      <c r="AI140" s="123">
        <v>1645.7999999999997</v>
      </c>
      <c r="AJ140" s="320">
        <f t="shared" ref="AJ140:AJ200" si="43">T140-AI140</f>
        <v>-366.59999999999991</v>
      </c>
    </row>
    <row r="141" spans="1:36" hidden="1" x14ac:dyDescent="0.35">
      <c r="A141" s="207">
        <v>3302443</v>
      </c>
      <c r="B141" s="197">
        <v>2443</v>
      </c>
      <c r="C141" s="207" t="s">
        <v>332</v>
      </c>
      <c r="D141" s="198" t="s">
        <v>49</v>
      </c>
      <c r="E141" s="198"/>
      <c r="F141" s="197"/>
      <c r="G141" s="199">
        <v>30</v>
      </c>
      <c r="H141" s="199">
        <v>330</v>
      </c>
      <c r="I141" s="199">
        <v>45</v>
      </c>
      <c r="J141" s="199">
        <v>15</v>
      </c>
      <c r="K141" s="199">
        <v>315</v>
      </c>
      <c r="L141" s="199">
        <v>45</v>
      </c>
      <c r="M141" s="315">
        <v>18.94736842105263</v>
      </c>
      <c r="N141" s="315">
        <v>345.78947368421052</v>
      </c>
      <c r="O141" s="315">
        <v>37.89473684210526</v>
      </c>
      <c r="P141" s="316">
        <f t="shared" si="38"/>
        <v>495.54473684210529</v>
      </c>
      <c r="Q141" s="316">
        <f t="shared" si="39"/>
        <v>3634.9973684210522</v>
      </c>
      <c r="R141" s="316">
        <f t="shared" si="40"/>
        <v>129.97894736842107</v>
      </c>
      <c r="S141" s="317">
        <f t="shared" si="41"/>
        <v>4260.5210526315786</v>
      </c>
      <c r="T141" s="318">
        <f t="shared" si="32"/>
        <v>1528.8</v>
      </c>
      <c r="U141" s="319">
        <f t="shared" si="36"/>
        <v>1353.3</v>
      </c>
      <c r="V141" s="319">
        <f t="shared" si="37"/>
        <v>1378.4210526315787</v>
      </c>
      <c r="X141" s="320">
        <f t="shared" si="42"/>
        <v>1223.04</v>
      </c>
      <c r="Y141" s="320">
        <f t="shared" si="42"/>
        <v>1082.6400000000001</v>
      </c>
      <c r="Z141" s="320">
        <f t="shared" si="42"/>
        <v>1102.7368421052631</v>
      </c>
      <c r="AB141" s="123">
        <v>1698.4499999999998</v>
      </c>
      <c r="AC141" s="320">
        <f t="shared" ref="AC141:AC145" si="44">AB141-T141</f>
        <v>169.64999999999986</v>
      </c>
      <c r="AI141" s="123">
        <v>1698.4499999999998</v>
      </c>
      <c r="AJ141" s="320">
        <f t="shared" si="43"/>
        <v>-169.64999999999986</v>
      </c>
    </row>
    <row r="142" spans="1:36" hidden="1" x14ac:dyDescent="0.35">
      <c r="A142" s="197">
        <v>3302447</v>
      </c>
      <c r="B142" s="197">
        <v>2447</v>
      </c>
      <c r="C142" s="197" t="s">
        <v>333</v>
      </c>
      <c r="D142" s="198" t="s">
        <v>49</v>
      </c>
      <c r="E142" s="198"/>
      <c r="F142" s="197"/>
      <c r="G142" s="199">
        <v>300</v>
      </c>
      <c r="H142" s="199">
        <v>105</v>
      </c>
      <c r="I142" s="199">
        <v>135</v>
      </c>
      <c r="J142" s="199">
        <v>270</v>
      </c>
      <c r="K142" s="199">
        <v>105</v>
      </c>
      <c r="L142" s="199">
        <v>120</v>
      </c>
      <c r="M142" s="315">
        <v>374.21052631578948</v>
      </c>
      <c r="N142" s="315">
        <v>80.526315789473685</v>
      </c>
      <c r="O142" s="315">
        <v>75.78947368421052</v>
      </c>
      <c r="P142" s="316">
        <f t="shared" si="38"/>
        <v>7259.3210526315797</v>
      </c>
      <c r="Q142" s="316">
        <f t="shared" si="39"/>
        <v>1071.9315789473683</v>
      </c>
      <c r="R142" s="316">
        <f t="shared" si="40"/>
        <v>337.95789473684209</v>
      </c>
      <c r="S142" s="317">
        <f t="shared" si="41"/>
        <v>8669.21052631579</v>
      </c>
      <c r="T142" s="318">
        <f t="shared" si="32"/>
        <v>2915.25</v>
      </c>
      <c r="U142" s="319">
        <f t="shared" si="36"/>
        <v>2661.75</v>
      </c>
      <c r="V142" s="319">
        <f t="shared" si="37"/>
        <v>3092.2105263157891</v>
      </c>
      <c r="X142" s="320">
        <f t="shared" si="42"/>
        <v>2332.2000000000003</v>
      </c>
      <c r="Y142" s="320">
        <f t="shared" si="42"/>
        <v>2129.4</v>
      </c>
      <c r="Z142" s="320">
        <f t="shared" si="42"/>
        <v>2473.7684210526313</v>
      </c>
      <c r="AB142" s="123">
        <v>4089.15</v>
      </c>
      <c r="AC142" s="320">
        <f t="shared" si="44"/>
        <v>1173.9000000000001</v>
      </c>
      <c r="AI142" s="123">
        <v>4089.15</v>
      </c>
      <c r="AJ142" s="320">
        <f t="shared" si="43"/>
        <v>-1173.9000000000001</v>
      </c>
    </row>
    <row r="143" spans="1:36" hidden="1" x14ac:dyDescent="0.35">
      <c r="A143" s="197">
        <v>3302449</v>
      </c>
      <c r="B143" s="197">
        <v>2449</v>
      </c>
      <c r="C143" s="197" t="s">
        <v>334</v>
      </c>
      <c r="D143" s="198" t="s">
        <v>49</v>
      </c>
      <c r="E143" s="198"/>
      <c r="F143" s="197"/>
      <c r="G143" s="199">
        <v>345</v>
      </c>
      <c r="H143" s="199">
        <v>105</v>
      </c>
      <c r="I143" s="199">
        <v>90</v>
      </c>
      <c r="J143" s="199">
        <v>315</v>
      </c>
      <c r="K143" s="199">
        <v>75</v>
      </c>
      <c r="L143" s="199">
        <v>90</v>
      </c>
      <c r="M143" s="315">
        <v>298.42105263157896</v>
      </c>
      <c r="N143" s="315">
        <v>80.526315789473685</v>
      </c>
      <c r="O143" s="315">
        <v>85.26315789473685</v>
      </c>
      <c r="P143" s="316">
        <f t="shared" si="38"/>
        <v>7418.242105263158</v>
      </c>
      <c r="Q143" s="316">
        <f t="shared" si="39"/>
        <v>958.83157894736837</v>
      </c>
      <c r="R143" s="316">
        <f t="shared" si="40"/>
        <v>269.0526315789474</v>
      </c>
      <c r="S143" s="317">
        <f t="shared" si="41"/>
        <v>8646.1263157894737</v>
      </c>
      <c r="T143" s="318">
        <f t="shared" si="32"/>
        <v>3225.2999999999997</v>
      </c>
      <c r="U143" s="319">
        <f t="shared" si="36"/>
        <v>2874.3</v>
      </c>
      <c r="V143" s="319">
        <f t="shared" si="37"/>
        <v>2546.5263157894733</v>
      </c>
      <c r="X143" s="320">
        <f t="shared" si="42"/>
        <v>2580.2399999999998</v>
      </c>
      <c r="Y143" s="320">
        <f t="shared" si="42"/>
        <v>2299.44</v>
      </c>
      <c r="Z143" s="320">
        <f t="shared" si="42"/>
        <v>2037.2210526315787</v>
      </c>
      <c r="AB143" s="123">
        <v>2827.5</v>
      </c>
      <c r="AC143" s="320">
        <f t="shared" si="44"/>
        <v>-397.79999999999973</v>
      </c>
      <c r="AI143" s="123">
        <v>2827.5</v>
      </c>
      <c r="AJ143" s="320">
        <f t="shared" si="43"/>
        <v>397.79999999999973</v>
      </c>
    </row>
    <row r="144" spans="1:36" hidden="1" x14ac:dyDescent="0.35">
      <c r="A144" s="197">
        <v>3302450</v>
      </c>
      <c r="B144" s="197">
        <v>2450</v>
      </c>
      <c r="C144" s="197" t="s">
        <v>335</v>
      </c>
      <c r="D144" s="198" t="s">
        <v>49</v>
      </c>
      <c r="E144" s="198"/>
      <c r="F144" s="197"/>
      <c r="G144" s="199">
        <v>0</v>
      </c>
      <c r="H144" s="199">
        <v>15</v>
      </c>
      <c r="I144" s="199">
        <v>15</v>
      </c>
      <c r="J144" s="199">
        <v>0</v>
      </c>
      <c r="K144" s="199">
        <v>15</v>
      </c>
      <c r="L144" s="199">
        <v>15</v>
      </c>
      <c r="M144" s="315">
        <v>28.421052631578945</v>
      </c>
      <c r="N144" s="315">
        <v>4.7368421052631575</v>
      </c>
      <c r="O144" s="315">
        <v>4.7368421052631575</v>
      </c>
      <c r="P144" s="316">
        <f t="shared" si="38"/>
        <v>208.04210526315785</v>
      </c>
      <c r="Q144" s="316">
        <f t="shared" si="39"/>
        <v>129.58421052631579</v>
      </c>
      <c r="R144" s="316">
        <f t="shared" si="40"/>
        <v>35.747368421052627</v>
      </c>
      <c r="S144" s="317">
        <f t="shared" si="41"/>
        <v>373.37368421052628</v>
      </c>
      <c r="T144" s="318">
        <f t="shared" si="32"/>
        <v>72.149999999999991</v>
      </c>
      <c r="U144" s="319">
        <f t="shared" si="36"/>
        <v>72.149999999999991</v>
      </c>
      <c r="V144" s="319">
        <f t="shared" si="37"/>
        <v>229.07368421052627</v>
      </c>
      <c r="X144" s="320">
        <f t="shared" si="42"/>
        <v>57.72</v>
      </c>
      <c r="Y144" s="320">
        <f t="shared" si="42"/>
        <v>57.72</v>
      </c>
      <c r="Z144" s="320">
        <f t="shared" si="42"/>
        <v>183.25894736842102</v>
      </c>
      <c r="AB144" s="123">
        <v>356.84999999999997</v>
      </c>
      <c r="AC144" s="320">
        <f t="shared" si="44"/>
        <v>284.7</v>
      </c>
      <c r="AI144" s="123">
        <v>356.84999999999997</v>
      </c>
      <c r="AJ144" s="320">
        <f t="shared" si="43"/>
        <v>-284.7</v>
      </c>
    </row>
    <row r="145" spans="1:36" hidden="1" x14ac:dyDescent="0.35">
      <c r="A145" s="197">
        <v>3302453</v>
      </c>
      <c r="B145" s="197">
        <v>2453</v>
      </c>
      <c r="C145" s="197" t="s">
        <v>336</v>
      </c>
      <c r="D145" s="198" t="s">
        <v>49</v>
      </c>
      <c r="E145" s="198"/>
      <c r="F145" s="197"/>
      <c r="G145" s="199">
        <v>60</v>
      </c>
      <c r="H145" s="199">
        <v>60</v>
      </c>
      <c r="I145" s="199">
        <v>240</v>
      </c>
      <c r="J145" s="199">
        <v>15</v>
      </c>
      <c r="K145" s="199">
        <v>45</v>
      </c>
      <c r="L145" s="199">
        <v>150</v>
      </c>
      <c r="M145" s="315">
        <v>4.7368421052631575</v>
      </c>
      <c r="N145" s="315">
        <v>80.526315789473685</v>
      </c>
      <c r="O145" s="315">
        <v>251.0526315789474</v>
      </c>
      <c r="P145" s="316">
        <f t="shared" si="38"/>
        <v>629.42368421052629</v>
      </c>
      <c r="Q145" s="316">
        <f t="shared" si="39"/>
        <v>676.08157894736837</v>
      </c>
      <c r="R145" s="316">
        <f t="shared" si="40"/>
        <v>646.61052631578957</v>
      </c>
      <c r="S145" s="317">
        <f t="shared" si="41"/>
        <v>1952.1157894736841</v>
      </c>
      <c r="T145" s="318">
        <f t="shared" si="32"/>
        <v>951.6</v>
      </c>
      <c r="U145" s="319">
        <f t="shared" si="36"/>
        <v>444.59999999999997</v>
      </c>
      <c r="V145" s="319">
        <f t="shared" si="37"/>
        <v>555.9157894736843</v>
      </c>
      <c r="X145" s="320">
        <f t="shared" si="42"/>
        <v>761.28000000000009</v>
      </c>
      <c r="Y145" s="320">
        <f t="shared" si="42"/>
        <v>355.68</v>
      </c>
      <c r="Z145" s="320">
        <f t="shared" si="42"/>
        <v>444.73263157894746</v>
      </c>
      <c r="AB145" s="123">
        <v>739.05</v>
      </c>
      <c r="AC145" s="320">
        <f t="shared" si="44"/>
        <v>-212.55000000000007</v>
      </c>
      <c r="AI145" s="123">
        <v>739.05</v>
      </c>
      <c r="AJ145" s="320">
        <f t="shared" si="43"/>
        <v>212.55000000000007</v>
      </c>
    </row>
    <row r="146" spans="1:36" hidden="1" x14ac:dyDescent="0.35">
      <c r="A146" s="197">
        <v>3302454</v>
      </c>
      <c r="B146" s="197">
        <v>2454</v>
      </c>
      <c r="C146" s="197" t="s">
        <v>337</v>
      </c>
      <c r="D146" s="198" t="s">
        <v>27</v>
      </c>
      <c r="E146" s="198"/>
      <c r="F146" s="197"/>
      <c r="G146" s="199">
        <v>390</v>
      </c>
      <c r="H146" s="199">
        <v>30</v>
      </c>
      <c r="I146" s="199">
        <v>195</v>
      </c>
      <c r="J146" s="199">
        <v>300</v>
      </c>
      <c r="K146" s="199">
        <v>30</v>
      </c>
      <c r="L146" s="199">
        <v>135</v>
      </c>
      <c r="M146" s="315">
        <v>307.89473684210526</v>
      </c>
      <c r="N146" s="315">
        <v>28.421052631578945</v>
      </c>
      <c r="O146" s="315">
        <v>146.84210526315789</v>
      </c>
      <c r="P146" s="316">
        <f t="shared" si="38"/>
        <v>7725.4894736842107</v>
      </c>
      <c r="Q146" s="316">
        <f t="shared" si="39"/>
        <v>325.10526315789468</v>
      </c>
      <c r="R146" s="316">
        <f t="shared" si="40"/>
        <v>484.16842105263157</v>
      </c>
      <c r="S146" s="317">
        <f t="shared" si="41"/>
        <v>8534.7631578947367</v>
      </c>
      <c r="T146" s="318">
        <f t="shared" si="32"/>
        <v>3408.6000000000004</v>
      </c>
      <c r="U146" s="319">
        <f t="shared" si="36"/>
        <v>2632.5</v>
      </c>
      <c r="V146" s="319">
        <f t="shared" si="37"/>
        <v>2493.6631578947367</v>
      </c>
      <c r="X146" s="320">
        <f t="shared" si="42"/>
        <v>2726.8800000000006</v>
      </c>
      <c r="Y146" s="320">
        <f t="shared" si="42"/>
        <v>2106</v>
      </c>
      <c r="Z146" s="320">
        <f t="shared" si="42"/>
        <v>1994.9305263157894</v>
      </c>
      <c r="AB146" s="123" t="s">
        <v>70</v>
      </c>
      <c r="AI146" s="123">
        <v>3020.5499999999997</v>
      </c>
      <c r="AJ146" s="320">
        <f t="shared" si="43"/>
        <v>388.05000000000064</v>
      </c>
    </row>
    <row r="147" spans="1:36" hidden="1" x14ac:dyDescent="0.35">
      <c r="A147" s="197">
        <v>3302455</v>
      </c>
      <c r="B147" s="197">
        <v>2455</v>
      </c>
      <c r="C147" s="197" t="s">
        <v>338</v>
      </c>
      <c r="D147" s="198" t="s">
        <v>49</v>
      </c>
      <c r="E147" s="198"/>
      <c r="F147" s="197"/>
      <c r="G147" s="199">
        <v>45</v>
      </c>
      <c r="H147" s="199">
        <v>135</v>
      </c>
      <c r="I147" s="199">
        <v>210</v>
      </c>
      <c r="J147" s="199">
        <v>30</v>
      </c>
      <c r="K147" s="199">
        <v>135</v>
      </c>
      <c r="L147" s="199">
        <v>210</v>
      </c>
      <c r="M147" s="315">
        <v>123.15789473684211</v>
      </c>
      <c r="N147" s="315">
        <v>104.21052631578948</v>
      </c>
      <c r="O147" s="315">
        <v>146.84210526315789</v>
      </c>
      <c r="P147" s="316">
        <f t="shared" si="38"/>
        <v>1496.2657894736842</v>
      </c>
      <c r="Q147" s="316">
        <f t="shared" si="39"/>
        <v>1380.5526315789473</v>
      </c>
      <c r="R147" s="316">
        <f t="shared" si="40"/>
        <v>577.76842105263154</v>
      </c>
      <c r="S147" s="317">
        <f t="shared" si="41"/>
        <v>3454.5868421052628</v>
      </c>
      <c r="T147" s="318">
        <f t="shared" si="32"/>
        <v>1084.2</v>
      </c>
      <c r="U147" s="319">
        <f t="shared" si="36"/>
        <v>965.25</v>
      </c>
      <c r="V147" s="319">
        <f t="shared" si="37"/>
        <v>1405.1368421052632</v>
      </c>
      <c r="X147" s="320">
        <f t="shared" si="42"/>
        <v>867.36000000000013</v>
      </c>
      <c r="Y147" s="320">
        <f t="shared" si="42"/>
        <v>772.2</v>
      </c>
      <c r="Z147" s="320">
        <f t="shared" si="42"/>
        <v>1124.1094736842106</v>
      </c>
      <c r="AB147" s="123">
        <v>2020.1999999999998</v>
      </c>
      <c r="AC147" s="320">
        <f>AB147-T147</f>
        <v>935.99999999999977</v>
      </c>
      <c r="AI147" s="123">
        <v>2020.1999999999998</v>
      </c>
      <c r="AJ147" s="320">
        <f t="shared" si="43"/>
        <v>-935.99999999999977</v>
      </c>
    </row>
    <row r="148" spans="1:36" hidden="1" x14ac:dyDescent="0.35">
      <c r="A148" s="207">
        <v>3302457</v>
      </c>
      <c r="B148" s="197">
        <v>2457</v>
      </c>
      <c r="C148" s="207" t="s">
        <v>339</v>
      </c>
      <c r="D148" s="198" t="s">
        <v>27</v>
      </c>
      <c r="E148" s="198"/>
      <c r="F148" s="197"/>
      <c r="G148" s="199">
        <v>105</v>
      </c>
      <c r="H148" s="199">
        <v>165</v>
      </c>
      <c r="I148" s="199">
        <v>60</v>
      </c>
      <c r="J148" s="199">
        <v>120</v>
      </c>
      <c r="K148" s="199">
        <v>165</v>
      </c>
      <c r="L148" s="199">
        <v>60</v>
      </c>
      <c r="M148" s="315">
        <v>156.31578947368422</v>
      </c>
      <c r="N148" s="315">
        <v>246.31578947368422</v>
      </c>
      <c r="O148" s="315">
        <v>99.473684210526301</v>
      </c>
      <c r="P148" s="316">
        <f t="shared" si="38"/>
        <v>2928.4815789473687</v>
      </c>
      <c r="Q148" s="316">
        <f t="shared" si="39"/>
        <v>2101.2789473684211</v>
      </c>
      <c r="R148" s="316">
        <f t="shared" si="40"/>
        <v>220.29473684210524</v>
      </c>
      <c r="S148" s="317">
        <f t="shared" si="41"/>
        <v>5250.0552631578948</v>
      </c>
      <c r="T148" s="318">
        <f t="shared" si="32"/>
        <v>1517.1</v>
      </c>
      <c r="U148" s="319">
        <f t="shared" si="36"/>
        <v>1636.0500000000002</v>
      </c>
      <c r="V148" s="319">
        <f t="shared" si="37"/>
        <v>2096.9052631578948</v>
      </c>
      <c r="X148" s="320">
        <f t="shared" si="42"/>
        <v>1213.68</v>
      </c>
      <c r="Y148" s="320">
        <f t="shared" si="42"/>
        <v>1308.8400000000001</v>
      </c>
      <c r="Z148" s="320">
        <f t="shared" si="42"/>
        <v>1677.524210526316</v>
      </c>
      <c r="AB148" s="123" t="s">
        <v>112</v>
      </c>
      <c r="AI148" s="123">
        <v>2698.7999999999997</v>
      </c>
      <c r="AJ148" s="320">
        <f t="shared" si="43"/>
        <v>-1181.6999999999998</v>
      </c>
    </row>
    <row r="149" spans="1:36" hidden="1" x14ac:dyDescent="0.35">
      <c r="A149" s="197">
        <v>3302458</v>
      </c>
      <c r="B149" s="197">
        <v>2458</v>
      </c>
      <c r="C149" s="197" t="s">
        <v>340</v>
      </c>
      <c r="D149" s="198" t="s">
        <v>49</v>
      </c>
      <c r="E149" s="198"/>
      <c r="F149" s="197"/>
      <c r="G149" s="199">
        <v>15</v>
      </c>
      <c r="H149" s="199">
        <v>30</v>
      </c>
      <c r="I149" s="199">
        <v>600</v>
      </c>
      <c r="J149" s="199">
        <v>0</v>
      </c>
      <c r="K149" s="199">
        <v>15</v>
      </c>
      <c r="L149" s="199">
        <v>615</v>
      </c>
      <c r="M149" s="315">
        <v>23.684210526315788</v>
      </c>
      <c r="N149" s="315">
        <v>28.421052631578945</v>
      </c>
      <c r="O149" s="315">
        <v>506.84210526315792</v>
      </c>
      <c r="P149" s="316">
        <f t="shared" si="38"/>
        <v>292.31842105263155</v>
      </c>
      <c r="Q149" s="316">
        <f t="shared" si="39"/>
        <v>268.55526315789473</v>
      </c>
      <c r="R149" s="316">
        <f t="shared" si="40"/>
        <v>1750.1684210526314</v>
      </c>
      <c r="S149" s="317">
        <f t="shared" si="41"/>
        <v>2311.0421052631577</v>
      </c>
      <c r="T149" s="318">
        <f t="shared" si="32"/>
        <v>856.05</v>
      </c>
      <c r="U149" s="319">
        <f t="shared" si="36"/>
        <v>696.15</v>
      </c>
      <c r="V149" s="319">
        <f t="shared" si="37"/>
        <v>758.84210526315792</v>
      </c>
      <c r="X149" s="320">
        <f t="shared" si="42"/>
        <v>684.84</v>
      </c>
      <c r="Y149" s="320">
        <f t="shared" si="42"/>
        <v>556.91999999999996</v>
      </c>
      <c r="Z149" s="320">
        <f t="shared" si="42"/>
        <v>607.07368421052638</v>
      </c>
      <c r="AB149" s="123">
        <v>1072.5</v>
      </c>
      <c r="AC149" s="320">
        <f t="shared" ref="AC149:AC151" si="45">AB149-T149</f>
        <v>216.45000000000005</v>
      </c>
      <c r="AI149" s="123">
        <v>1072.5</v>
      </c>
      <c r="AJ149" s="320">
        <f t="shared" si="43"/>
        <v>-216.45000000000005</v>
      </c>
    </row>
    <row r="150" spans="1:36" hidden="1" x14ac:dyDescent="0.35">
      <c r="A150" s="197">
        <v>3302460</v>
      </c>
      <c r="B150" s="197">
        <v>2460</v>
      </c>
      <c r="C150" s="197" t="s">
        <v>341</v>
      </c>
      <c r="D150" s="198" t="s">
        <v>49</v>
      </c>
      <c r="E150" s="198"/>
      <c r="F150" s="197"/>
      <c r="G150" s="199">
        <v>0</v>
      </c>
      <c r="H150" s="199">
        <v>30</v>
      </c>
      <c r="I150" s="199">
        <v>135</v>
      </c>
      <c r="J150" s="199">
        <v>0</v>
      </c>
      <c r="K150" s="199">
        <v>15</v>
      </c>
      <c r="L150" s="199">
        <v>105</v>
      </c>
      <c r="M150" s="315">
        <v>0</v>
      </c>
      <c r="N150" s="315">
        <v>4.7368421052631575</v>
      </c>
      <c r="O150" s="315">
        <v>104.21052631578948</v>
      </c>
      <c r="P150" s="316">
        <f t="shared" si="38"/>
        <v>0</v>
      </c>
      <c r="Q150" s="316">
        <f t="shared" si="39"/>
        <v>186.13421052631577</v>
      </c>
      <c r="R150" s="316">
        <f t="shared" si="40"/>
        <v>349.64210526315793</v>
      </c>
      <c r="S150" s="317">
        <f t="shared" si="41"/>
        <v>535.77631578947376</v>
      </c>
      <c r="T150" s="318">
        <f t="shared" si="32"/>
        <v>253.5</v>
      </c>
      <c r="U150" s="319">
        <f t="shared" si="36"/>
        <v>165.75</v>
      </c>
      <c r="V150" s="319">
        <f t="shared" si="37"/>
        <v>116.5263157894737</v>
      </c>
      <c r="X150" s="320">
        <f t="shared" si="42"/>
        <v>202.8</v>
      </c>
      <c r="Y150" s="320">
        <f t="shared" si="42"/>
        <v>132.6</v>
      </c>
      <c r="Z150" s="320">
        <f t="shared" si="42"/>
        <v>93.221052631578971</v>
      </c>
      <c r="AB150" s="123">
        <v>124.8</v>
      </c>
      <c r="AC150" s="320">
        <f t="shared" si="45"/>
        <v>-128.69999999999999</v>
      </c>
      <c r="AI150" s="123">
        <v>124.8</v>
      </c>
      <c r="AJ150" s="320">
        <f t="shared" si="43"/>
        <v>128.69999999999999</v>
      </c>
    </row>
    <row r="151" spans="1:36" hidden="1" x14ac:dyDescent="0.35">
      <c r="A151" s="197">
        <v>3302463</v>
      </c>
      <c r="B151" s="197">
        <v>2463</v>
      </c>
      <c r="C151" s="197" t="s">
        <v>342</v>
      </c>
      <c r="D151" s="198" t="s">
        <v>49</v>
      </c>
      <c r="E151" s="198"/>
      <c r="F151" s="197"/>
      <c r="G151" s="199">
        <v>0</v>
      </c>
      <c r="H151" s="199">
        <v>0</v>
      </c>
      <c r="I151" s="199">
        <v>15</v>
      </c>
      <c r="J151" s="199">
        <v>0</v>
      </c>
      <c r="K151" s="199">
        <v>0</v>
      </c>
      <c r="L151" s="199">
        <v>15</v>
      </c>
      <c r="M151" s="315">
        <v>0</v>
      </c>
      <c r="N151" s="315">
        <v>0</v>
      </c>
      <c r="O151" s="315">
        <v>14.210526315789473</v>
      </c>
      <c r="P151" s="316">
        <f t="shared" si="38"/>
        <v>0</v>
      </c>
      <c r="Q151" s="316">
        <f t="shared" si="39"/>
        <v>0</v>
      </c>
      <c r="R151" s="316">
        <f t="shared" si="40"/>
        <v>44.84210526315789</v>
      </c>
      <c r="S151" s="317">
        <f t="shared" si="41"/>
        <v>44.84210526315789</v>
      </c>
      <c r="T151" s="318">
        <f t="shared" si="32"/>
        <v>15.6</v>
      </c>
      <c r="U151" s="319">
        <f t="shared" si="36"/>
        <v>15.6</v>
      </c>
      <c r="V151" s="319">
        <f t="shared" si="37"/>
        <v>13.642105263157895</v>
      </c>
      <c r="X151" s="320">
        <f t="shared" si="42"/>
        <v>12.48</v>
      </c>
      <c r="Y151" s="320">
        <f t="shared" si="42"/>
        <v>12.48</v>
      </c>
      <c r="Z151" s="320">
        <f t="shared" si="42"/>
        <v>10.913684210526316</v>
      </c>
      <c r="AB151" s="123">
        <v>15.6</v>
      </c>
      <c r="AC151" s="320">
        <f t="shared" si="45"/>
        <v>0</v>
      </c>
      <c r="AI151" s="123">
        <v>15.6</v>
      </c>
      <c r="AJ151" s="320">
        <f t="shared" si="43"/>
        <v>0</v>
      </c>
    </row>
    <row r="152" spans="1:36" hidden="1" x14ac:dyDescent="0.35">
      <c r="A152" s="197">
        <v>3302465</v>
      </c>
      <c r="B152" s="197">
        <v>2465</v>
      </c>
      <c r="C152" s="197" t="s">
        <v>51</v>
      </c>
      <c r="D152" s="198" t="s">
        <v>27</v>
      </c>
      <c r="E152" s="198"/>
      <c r="F152" s="197"/>
      <c r="G152" s="199">
        <v>0</v>
      </c>
      <c r="H152" s="199">
        <v>15</v>
      </c>
      <c r="I152" s="199">
        <v>0</v>
      </c>
      <c r="J152" s="199">
        <v>0</v>
      </c>
      <c r="K152" s="199">
        <v>15</v>
      </c>
      <c r="L152" s="199">
        <v>0</v>
      </c>
      <c r="M152" s="315">
        <v>0</v>
      </c>
      <c r="N152" s="315">
        <v>4.7368421052631575</v>
      </c>
      <c r="O152" s="315">
        <v>0</v>
      </c>
      <c r="P152" s="316">
        <f t="shared" si="38"/>
        <v>0</v>
      </c>
      <c r="Q152" s="316">
        <f t="shared" si="39"/>
        <v>129.58421052631579</v>
      </c>
      <c r="R152" s="316">
        <f t="shared" si="40"/>
        <v>0</v>
      </c>
      <c r="S152" s="317">
        <f t="shared" si="41"/>
        <v>129.58421052631579</v>
      </c>
      <c r="T152" s="318">
        <f t="shared" si="32"/>
        <v>56.55</v>
      </c>
      <c r="U152" s="319">
        <f t="shared" si="36"/>
        <v>56.55</v>
      </c>
      <c r="V152" s="319">
        <f t="shared" si="37"/>
        <v>16.484210526315788</v>
      </c>
      <c r="X152" s="320">
        <f t="shared" si="42"/>
        <v>45.24</v>
      </c>
      <c r="Y152" s="320">
        <f t="shared" si="42"/>
        <v>45.24</v>
      </c>
      <c r="Z152" s="320">
        <f t="shared" si="42"/>
        <v>13.187368421052632</v>
      </c>
      <c r="AB152" s="123" t="s">
        <v>50</v>
      </c>
      <c r="AI152" s="123">
        <v>0</v>
      </c>
      <c r="AJ152" s="320">
        <f t="shared" si="43"/>
        <v>56.55</v>
      </c>
    </row>
    <row r="153" spans="1:36" hidden="1" x14ac:dyDescent="0.35">
      <c r="A153" s="197">
        <v>3302466</v>
      </c>
      <c r="B153" s="197">
        <v>2466</v>
      </c>
      <c r="C153" s="197" t="s">
        <v>343</v>
      </c>
      <c r="D153" s="198" t="s">
        <v>27</v>
      </c>
      <c r="E153" s="198"/>
      <c r="F153" s="197"/>
      <c r="G153" s="199">
        <v>15</v>
      </c>
      <c r="H153" s="199">
        <v>120</v>
      </c>
      <c r="I153" s="199">
        <v>510</v>
      </c>
      <c r="J153" s="199">
        <v>30</v>
      </c>
      <c r="K153" s="199">
        <v>90</v>
      </c>
      <c r="L153" s="199">
        <v>480</v>
      </c>
      <c r="M153" s="315">
        <v>28.421052631578945</v>
      </c>
      <c r="N153" s="315">
        <v>175.26315789473682</v>
      </c>
      <c r="O153" s="315">
        <v>468.94736842105266</v>
      </c>
      <c r="P153" s="316">
        <f t="shared" si="38"/>
        <v>564.89210526315787</v>
      </c>
      <c r="Q153" s="316">
        <f t="shared" si="39"/>
        <v>1401.6157894736839</v>
      </c>
      <c r="R153" s="316">
        <f t="shared" si="40"/>
        <v>1479.7894736842109</v>
      </c>
      <c r="S153" s="317">
        <f t="shared" si="41"/>
        <v>3446.2973684210529</v>
      </c>
      <c r="T153" s="318">
        <f t="shared" si="32"/>
        <v>1101.75</v>
      </c>
      <c r="U153" s="319">
        <f t="shared" si="36"/>
        <v>1076.3999999999999</v>
      </c>
      <c r="V153" s="319">
        <f t="shared" si="37"/>
        <v>1268.1473684210525</v>
      </c>
      <c r="X153" s="320">
        <f t="shared" si="42"/>
        <v>881.40000000000009</v>
      </c>
      <c r="Y153" s="320">
        <f t="shared" si="42"/>
        <v>861.11999999999989</v>
      </c>
      <c r="Z153" s="320">
        <f t="shared" si="42"/>
        <v>1014.5178947368421</v>
      </c>
      <c r="AB153" s="123" t="s">
        <v>82</v>
      </c>
      <c r="AI153" s="123">
        <v>1663.35</v>
      </c>
      <c r="AJ153" s="320">
        <f t="shared" si="43"/>
        <v>-561.59999999999991</v>
      </c>
    </row>
    <row r="154" spans="1:36" hidden="1" x14ac:dyDescent="0.35">
      <c r="A154" s="197">
        <v>3302471</v>
      </c>
      <c r="B154" s="197">
        <v>2471</v>
      </c>
      <c r="C154" s="197" t="s">
        <v>344</v>
      </c>
      <c r="D154" s="198" t="s">
        <v>49</v>
      </c>
      <c r="E154" s="198"/>
      <c r="F154" s="197"/>
      <c r="G154" s="199">
        <v>0</v>
      </c>
      <c r="H154" s="199">
        <v>285</v>
      </c>
      <c r="I154" s="199">
        <v>195</v>
      </c>
      <c r="J154" s="199">
        <v>0</v>
      </c>
      <c r="K154" s="199">
        <v>270</v>
      </c>
      <c r="L154" s="199">
        <v>225</v>
      </c>
      <c r="M154" s="315">
        <v>0</v>
      </c>
      <c r="N154" s="315">
        <v>293.68421052631578</v>
      </c>
      <c r="O154" s="315">
        <v>213.15789473684211</v>
      </c>
      <c r="P154" s="316">
        <f t="shared" si="38"/>
        <v>0</v>
      </c>
      <c r="Q154" s="316">
        <f t="shared" si="39"/>
        <v>3114.371052631579</v>
      </c>
      <c r="R154" s="316">
        <f t="shared" si="40"/>
        <v>641.43157894736839</v>
      </c>
      <c r="S154" s="317">
        <f t="shared" si="41"/>
        <v>3755.8026315789475</v>
      </c>
      <c r="T154" s="318">
        <f t="shared" si="32"/>
        <v>1277.2499999999998</v>
      </c>
      <c r="U154" s="319">
        <f t="shared" si="36"/>
        <v>1251.9000000000001</v>
      </c>
      <c r="V154" s="319">
        <f t="shared" si="37"/>
        <v>1226.6526315789474</v>
      </c>
      <c r="X154" s="320">
        <f t="shared" si="42"/>
        <v>1021.7999999999998</v>
      </c>
      <c r="Y154" s="320">
        <f t="shared" si="42"/>
        <v>1001.5200000000001</v>
      </c>
      <c r="Z154" s="320">
        <f t="shared" si="42"/>
        <v>981.32210526315794</v>
      </c>
      <c r="AB154" s="123">
        <v>1478.1</v>
      </c>
      <c r="AC154" s="320">
        <f>AB154-T154</f>
        <v>200.85000000000014</v>
      </c>
      <c r="AI154" s="123">
        <v>1478.1</v>
      </c>
      <c r="AJ154" s="320">
        <f t="shared" si="43"/>
        <v>-200.85000000000014</v>
      </c>
    </row>
    <row r="155" spans="1:36" hidden="1" x14ac:dyDescent="0.35">
      <c r="A155" s="197">
        <v>3302478</v>
      </c>
      <c r="B155" s="197">
        <v>2478</v>
      </c>
      <c r="C155" s="197" t="s">
        <v>171</v>
      </c>
      <c r="D155" s="198" t="s">
        <v>27</v>
      </c>
      <c r="E155" s="198"/>
      <c r="F155" s="197"/>
      <c r="G155" s="199">
        <v>0</v>
      </c>
      <c r="H155" s="199">
        <v>0</v>
      </c>
      <c r="I155" s="199">
        <v>30</v>
      </c>
      <c r="J155" s="199">
        <v>0</v>
      </c>
      <c r="K155" s="199">
        <v>0</v>
      </c>
      <c r="L155" s="199">
        <v>15</v>
      </c>
      <c r="M155" s="315">
        <v>0</v>
      </c>
      <c r="N155" s="315">
        <v>0</v>
      </c>
      <c r="O155" s="315">
        <v>33.157894736842103</v>
      </c>
      <c r="P155" s="316">
        <f t="shared" si="38"/>
        <v>0</v>
      </c>
      <c r="Q155" s="316">
        <f t="shared" si="39"/>
        <v>0</v>
      </c>
      <c r="R155" s="316">
        <f t="shared" si="40"/>
        <v>78.631578947368411</v>
      </c>
      <c r="S155" s="317">
        <f t="shared" si="41"/>
        <v>78.631578947368411</v>
      </c>
      <c r="T155" s="318">
        <f t="shared" si="32"/>
        <v>31.2</v>
      </c>
      <c r="U155" s="319">
        <f t="shared" si="36"/>
        <v>15.6</v>
      </c>
      <c r="V155" s="319">
        <f t="shared" si="37"/>
        <v>31.831578947368421</v>
      </c>
      <c r="X155" s="320">
        <f t="shared" si="42"/>
        <v>24.96</v>
      </c>
      <c r="Y155" s="320">
        <f t="shared" si="42"/>
        <v>12.48</v>
      </c>
      <c r="Z155" s="320">
        <f t="shared" si="42"/>
        <v>25.465263157894739</v>
      </c>
      <c r="AB155" s="123" t="s">
        <v>170</v>
      </c>
      <c r="AI155" s="123">
        <v>46.800000000000004</v>
      </c>
      <c r="AJ155" s="320">
        <f t="shared" si="43"/>
        <v>-15.600000000000005</v>
      </c>
    </row>
    <row r="156" spans="1:36" hidden="1" x14ac:dyDescent="0.35">
      <c r="A156" s="197">
        <v>3302479</v>
      </c>
      <c r="B156" s="197">
        <v>2479</v>
      </c>
      <c r="C156" s="197" t="s">
        <v>34</v>
      </c>
      <c r="D156" s="198" t="s">
        <v>27</v>
      </c>
      <c r="E156" s="198"/>
      <c r="F156" s="197"/>
      <c r="G156" s="199">
        <v>270</v>
      </c>
      <c r="H156" s="199">
        <v>690</v>
      </c>
      <c r="I156" s="199">
        <v>150</v>
      </c>
      <c r="J156" s="199">
        <v>225</v>
      </c>
      <c r="K156" s="199">
        <v>525</v>
      </c>
      <c r="L156" s="199">
        <v>75</v>
      </c>
      <c r="M156" s="315">
        <v>303.15789473684208</v>
      </c>
      <c r="N156" s="315">
        <v>630</v>
      </c>
      <c r="O156" s="315">
        <v>71.05263157894737</v>
      </c>
      <c r="P156" s="316">
        <f t="shared" si="38"/>
        <v>6144.4657894736847</v>
      </c>
      <c r="Q156" s="316">
        <f t="shared" si="39"/>
        <v>6772.9499999999989</v>
      </c>
      <c r="R156" s="316">
        <f t="shared" si="40"/>
        <v>302.21052631578948</v>
      </c>
      <c r="S156" s="317">
        <f t="shared" si="41"/>
        <v>13219.626315789472</v>
      </c>
      <c r="T156" s="318">
        <f t="shared" si="32"/>
        <v>4898.3999999999996</v>
      </c>
      <c r="U156" s="319">
        <f t="shared" si="36"/>
        <v>3841.5</v>
      </c>
      <c r="V156" s="319">
        <f t="shared" si="37"/>
        <v>4479.7263157894731</v>
      </c>
      <c r="X156" s="320">
        <f t="shared" si="42"/>
        <v>3918.72</v>
      </c>
      <c r="Y156" s="320">
        <f t="shared" si="42"/>
        <v>3073.2000000000003</v>
      </c>
      <c r="Z156" s="320">
        <f t="shared" si="42"/>
        <v>3583.7810526315789</v>
      </c>
      <c r="AB156" s="123" t="s">
        <v>33</v>
      </c>
      <c r="AI156" s="123">
        <v>5832.45</v>
      </c>
      <c r="AJ156" s="320">
        <f t="shared" si="43"/>
        <v>-934.05000000000018</v>
      </c>
    </row>
    <row r="157" spans="1:36" hidden="1" x14ac:dyDescent="0.35">
      <c r="A157" s="197">
        <v>3302480</v>
      </c>
      <c r="B157" s="197">
        <v>2480</v>
      </c>
      <c r="C157" s="197" t="s">
        <v>345</v>
      </c>
      <c r="D157" s="198" t="s">
        <v>49</v>
      </c>
      <c r="E157" s="198"/>
      <c r="F157" s="197"/>
      <c r="G157" s="199">
        <v>360</v>
      </c>
      <c r="H157" s="199">
        <v>15</v>
      </c>
      <c r="I157" s="199">
        <v>0</v>
      </c>
      <c r="J157" s="199">
        <v>240</v>
      </c>
      <c r="K157" s="199">
        <v>0</v>
      </c>
      <c r="L157" s="199">
        <v>0</v>
      </c>
      <c r="M157" s="315">
        <v>227.36842105263156</v>
      </c>
      <c r="N157" s="315">
        <v>0</v>
      </c>
      <c r="O157" s="315">
        <v>4.7368421052631575</v>
      </c>
      <c r="P157" s="316">
        <f t="shared" si="38"/>
        <v>6422.3368421052628</v>
      </c>
      <c r="Q157" s="316">
        <f t="shared" si="39"/>
        <v>56.55</v>
      </c>
      <c r="R157" s="316">
        <f t="shared" si="40"/>
        <v>4.5473684210526315</v>
      </c>
      <c r="S157" s="317">
        <f t="shared" si="41"/>
        <v>6483.4342105263158</v>
      </c>
      <c r="T157" s="318">
        <f t="shared" si="32"/>
        <v>2911.35</v>
      </c>
      <c r="U157" s="319">
        <f t="shared" si="36"/>
        <v>1903.2</v>
      </c>
      <c r="V157" s="319">
        <f t="shared" si="37"/>
        <v>1668.8842105263154</v>
      </c>
      <c r="X157" s="320">
        <f t="shared" si="42"/>
        <v>2329.08</v>
      </c>
      <c r="Y157" s="320">
        <f t="shared" si="42"/>
        <v>1522.5600000000002</v>
      </c>
      <c r="Z157" s="320">
        <f t="shared" si="42"/>
        <v>1335.1073684210523</v>
      </c>
      <c r="AB157" s="123">
        <v>2513.5500000000002</v>
      </c>
      <c r="AC157" s="320">
        <f t="shared" ref="AC157:AC159" si="46">AB157-T157</f>
        <v>-397.79999999999973</v>
      </c>
      <c r="AI157" s="123">
        <v>2513.5500000000002</v>
      </c>
      <c r="AJ157" s="320">
        <f t="shared" si="43"/>
        <v>397.79999999999973</v>
      </c>
    </row>
    <row r="158" spans="1:36" hidden="1" x14ac:dyDescent="0.35">
      <c r="A158" s="197">
        <v>3302481</v>
      </c>
      <c r="B158" s="197">
        <v>2481</v>
      </c>
      <c r="C158" s="197" t="s">
        <v>346</v>
      </c>
      <c r="D158" s="198" t="s">
        <v>49</v>
      </c>
      <c r="E158" s="198"/>
      <c r="F158" s="197"/>
      <c r="G158" s="199">
        <v>0</v>
      </c>
      <c r="H158" s="199">
        <v>30</v>
      </c>
      <c r="I158" s="199">
        <v>555</v>
      </c>
      <c r="J158" s="199">
        <v>0</v>
      </c>
      <c r="K158" s="199">
        <v>30</v>
      </c>
      <c r="L158" s="199">
        <v>555</v>
      </c>
      <c r="M158" s="315">
        <v>0</v>
      </c>
      <c r="N158" s="315">
        <v>28.421052631578945</v>
      </c>
      <c r="O158" s="315">
        <v>530.52631578947364</v>
      </c>
      <c r="P158" s="316">
        <f t="shared" si="38"/>
        <v>0</v>
      </c>
      <c r="Q158" s="316">
        <f t="shared" si="39"/>
        <v>325.10526315789468</v>
      </c>
      <c r="R158" s="316">
        <f t="shared" si="40"/>
        <v>1663.7052631578945</v>
      </c>
      <c r="S158" s="317">
        <f t="shared" si="41"/>
        <v>1988.810526315789</v>
      </c>
      <c r="T158" s="318">
        <f t="shared" si="32"/>
        <v>690.3</v>
      </c>
      <c r="U158" s="319">
        <f t="shared" si="36"/>
        <v>690.3</v>
      </c>
      <c r="V158" s="319">
        <f t="shared" si="37"/>
        <v>608.21052631578948</v>
      </c>
      <c r="X158" s="320">
        <f t="shared" si="42"/>
        <v>552.24</v>
      </c>
      <c r="Y158" s="320">
        <f t="shared" si="42"/>
        <v>552.24</v>
      </c>
      <c r="Z158" s="320">
        <f t="shared" si="42"/>
        <v>486.56842105263161</v>
      </c>
      <c r="AB158" s="123">
        <v>659.1</v>
      </c>
      <c r="AC158" s="320">
        <f t="shared" si="46"/>
        <v>-31.199999999999932</v>
      </c>
      <c r="AI158" s="123">
        <v>659.1</v>
      </c>
      <c r="AJ158" s="320">
        <f t="shared" si="43"/>
        <v>31.199999999999932</v>
      </c>
    </row>
    <row r="159" spans="1:36" hidden="1" x14ac:dyDescent="0.35">
      <c r="A159" s="197">
        <v>3302221</v>
      </c>
      <c r="B159" s="197">
        <v>2221</v>
      </c>
      <c r="C159" s="197" t="s">
        <v>347</v>
      </c>
      <c r="D159" s="198" t="s">
        <v>49</v>
      </c>
      <c r="E159" s="198"/>
      <c r="F159" s="197"/>
      <c r="G159" s="199">
        <v>0</v>
      </c>
      <c r="H159" s="199">
        <v>15</v>
      </c>
      <c r="I159" s="199">
        <v>555</v>
      </c>
      <c r="J159" s="199">
        <v>0</v>
      </c>
      <c r="K159" s="199">
        <v>15</v>
      </c>
      <c r="L159" s="199">
        <v>405</v>
      </c>
      <c r="M159" s="315">
        <v>0</v>
      </c>
      <c r="N159" s="315">
        <v>4.7368421052631575</v>
      </c>
      <c r="O159" s="315">
        <v>549.47368421052636</v>
      </c>
      <c r="P159" s="316">
        <f t="shared" si="38"/>
        <v>0</v>
      </c>
      <c r="Q159" s="316">
        <f t="shared" si="39"/>
        <v>129.58421052631579</v>
      </c>
      <c r="R159" s="316">
        <f t="shared" si="40"/>
        <v>1525.8947368421052</v>
      </c>
      <c r="S159" s="317">
        <f t="shared" si="41"/>
        <v>1655.4789473684209</v>
      </c>
      <c r="T159" s="318">
        <f t="shared" si="32"/>
        <v>633.74999999999989</v>
      </c>
      <c r="U159" s="319">
        <f t="shared" si="36"/>
        <v>477.75</v>
      </c>
      <c r="V159" s="319">
        <f t="shared" si="37"/>
        <v>543.97894736842113</v>
      </c>
      <c r="X159" s="320">
        <f t="shared" si="42"/>
        <v>506.99999999999994</v>
      </c>
      <c r="Y159" s="320">
        <f t="shared" si="42"/>
        <v>382.20000000000005</v>
      </c>
      <c r="Z159" s="320">
        <f t="shared" si="42"/>
        <v>435.18315789473695</v>
      </c>
      <c r="AB159" s="123">
        <v>670.80000000000007</v>
      </c>
      <c r="AC159" s="320">
        <f t="shared" si="46"/>
        <v>37.050000000000182</v>
      </c>
      <c r="AI159" s="123">
        <v>670.80000000000007</v>
      </c>
      <c r="AJ159" s="320">
        <f t="shared" si="43"/>
        <v>-37.050000000000182</v>
      </c>
    </row>
    <row r="160" spans="1:36" hidden="1" x14ac:dyDescent="0.35">
      <c r="A160" s="197">
        <v>3302486</v>
      </c>
      <c r="B160" s="197">
        <v>2486</v>
      </c>
      <c r="C160" s="197" t="s">
        <v>75</v>
      </c>
      <c r="D160" s="198" t="s">
        <v>27</v>
      </c>
      <c r="E160" s="198"/>
      <c r="F160" s="197"/>
      <c r="G160" s="199">
        <v>240</v>
      </c>
      <c r="H160" s="199">
        <v>30</v>
      </c>
      <c r="I160" s="199">
        <v>0</v>
      </c>
      <c r="J160" s="199">
        <v>180</v>
      </c>
      <c r="K160" s="199">
        <v>15</v>
      </c>
      <c r="L160" s="199">
        <v>0</v>
      </c>
      <c r="M160" s="315">
        <v>194.21052631578948</v>
      </c>
      <c r="N160" s="315">
        <v>33.157894736842103</v>
      </c>
      <c r="O160" s="315">
        <v>0</v>
      </c>
      <c r="P160" s="316">
        <f t="shared" si="38"/>
        <v>4752.2210526315794</v>
      </c>
      <c r="Q160" s="316">
        <f t="shared" si="39"/>
        <v>285.03947368421052</v>
      </c>
      <c r="R160" s="316">
        <f t="shared" si="40"/>
        <v>0</v>
      </c>
      <c r="S160" s="317">
        <f t="shared" si="41"/>
        <v>5037.2605263157902</v>
      </c>
      <c r="T160" s="318">
        <f t="shared" si="32"/>
        <v>2016.3</v>
      </c>
      <c r="U160" s="319">
        <f t="shared" si="36"/>
        <v>1483.9499999999998</v>
      </c>
      <c r="V160" s="319">
        <f t="shared" si="37"/>
        <v>1537.0105263157895</v>
      </c>
      <c r="X160" s="320">
        <f t="shared" si="42"/>
        <v>1613.04</v>
      </c>
      <c r="Y160" s="320">
        <f t="shared" si="42"/>
        <v>1187.1599999999999</v>
      </c>
      <c r="Z160" s="320">
        <f t="shared" si="42"/>
        <v>1229.6084210526317</v>
      </c>
      <c r="AB160" s="123" t="s">
        <v>74</v>
      </c>
      <c r="AI160" s="123">
        <v>1953.9</v>
      </c>
      <c r="AJ160" s="320">
        <f t="shared" si="43"/>
        <v>62.399999999999864</v>
      </c>
    </row>
    <row r="161" spans="1:36" hidden="1" x14ac:dyDescent="0.35">
      <c r="A161" s="197">
        <v>3303002</v>
      </c>
      <c r="B161" s="197">
        <v>3002</v>
      </c>
      <c r="C161" s="197" t="s">
        <v>348</v>
      </c>
      <c r="D161" s="198" t="s">
        <v>27</v>
      </c>
      <c r="E161" s="198"/>
      <c r="F161" s="197"/>
      <c r="G161" s="199">
        <v>180</v>
      </c>
      <c r="H161" s="199">
        <v>15</v>
      </c>
      <c r="I161" s="199">
        <v>30</v>
      </c>
      <c r="J161" s="199">
        <v>120</v>
      </c>
      <c r="K161" s="199">
        <v>0</v>
      </c>
      <c r="L161" s="199">
        <v>45</v>
      </c>
      <c r="M161" s="315">
        <v>197.0526315789474</v>
      </c>
      <c r="N161" s="315">
        <v>14.210526315789473</v>
      </c>
      <c r="O161" s="315">
        <v>42.631578947368425</v>
      </c>
      <c r="P161" s="316">
        <f t="shared" si="38"/>
        <v>3821.4252631578947</v>
      </c>
      <c r="Q161" s="316">
        <f t="shared" si="39"/>
        <v>106.00263157894736</v>
      </c>
      <c r="R161" s="316">
        <f t="shared" si="40"/>
        <v>118.92631578947369</v>
      </c>
      <c r="S161" s="317">
        <f t="shared" si="41"/>
        <v>4046.3542105263159</v>
      </c>
      <c r="T161" s="318">
        <f t="shared" si="32"/>
        <v>1515.1499999999999</v>
      </c>
      <c r="U161" s="319">
        <f t="shared" si="36"/>
        <v>998.4</v>
      </c>
      <c r="V161" s="319">
        <f t="shared" si="37"/>
        <v>1532.8042105263157</v>
      </c>
      <c r="X161" s="320">
        <f t="shared" si="42"/>
        <v>1212.1199999999999</v>
      </c>
      <c r="Y161" s="320">
        <f t="shared" si="42"/>
        <v>798.72</v>
      </c>
      <c r="Z161" s="320">
        <f t="shared" si="42"/>
        <v>1226.2433684210525</v>
      </c>
      <c r="AB161" s="123" t="s">
        <v>58</v>
      </c>
      <c r="AI161" s="123">
        <v>2244.4500000000003</v>
      </c>
      <c r="AJ161" s="320">
        <f t="shared" si="43"/>
        <v>-729.30000000000041</v>
      </c>
    </row>
    <row r="162" spans="1:36" hidden="1" x14ac:dyDescent="0.35">
      <c r="A162" s="197">
        <v>3303015</v>
      </c>
      <c r="B162" s="197">
        <v>3015</v>
      </c>
      <c r="C162" s="197" t="s">
        <v>349</v>
      </c>
      <c r="D162" s="198" t="s">
        <v>49</v>
      </c>
      <c r="E162" s="198"/>
      <c r="F162" s="197"/>
      <c r="G162" s="199">
        <v>15</v>
      </c>
      <c r="H162" s="199">
        <v>135</v>
      </c>
      <c r="I162" s="199">
        <v>45</v>
      </c>
      <c r="J162" s="199">
        <v>15</v>
      </c>
      <c r="K162" s="199">
        <v>135</v>
      </c>
      <c r="L162" s="199">
        <v>45</v>
      </c>
      <c r="M162" s="315">
        <v>4.7368421052631575</v>
      </c>
      <c r="N162" s="315">
        <v>151.57894736842104</v>
      </c>
      <c r="O162" s="315">
        <v>52.10526315789474</v>
      </c>
      <c r="P162" s="316">
        <f t="shared" si="38"/>
        <v>272.57368421052632</v>
      </c>
      <c r="Q162" s="316">
        <f t="shared" si="39"/>
        <v>1545.3947368421052</v>
      </c>
      <c r="R162" s="316">
        <f t="shared" si="40"/>
        <v>143.62105263157895</v>
      </c>
      <c r="S162" s="317">
        <f t="shared" si="41"/>
        <v>1961.5894736842106</v>
      </c>
      <c r="T162" s="318">
        <f t="shared" si="32"/>
        <v>674.69999999999993</v>
      </c>
      <c r="U162" s="319">
        <f t="shared" si="36"/>
        <v>674.69999999999993</v>
      </c>
      <c r="V162" s="319">
        <f t="shared" si="37"/>
        <v>612.1894736842105</v>
      </c>
      <c r="X162" s="320">
        <f t="shared" si="42"/>
        <v>539.76</v>
      </c>
      <c r="Y162" s="320">
        <f t="shared" si="42"/>
        <v>539.76</v>
      </c>
      <c r="Z162" s="320">
        <f t="shared" si="42"/>
        <v>489.75157894736844</v>
      </c>
      <c r="AB162" s="123">
        <v>740.99999999999989</v>
      </c>
      <c r="AC162" s="320">
        <f t="shared" ref="AC162:AC164" si="47">AB162-T162</f>
        <v>66.299999999999955</v>
      </c>
      <c r="AI162" s="123">
        <v>740.99999999999989</v>
      </c>
      <c r="AJ162" s="320">
        <f t="shared" si="43"/>
        <v>-66.299999999999955</v>
      </c>
    </row>
    <row r="163" spans="1:36" hidden="1" x14ac:dyDescent="0.35">
      <c r="A163" s="197">
        <v>3303302</v>
      </c>
      <c r="B163" s="197">
        <v>3302</v>
      </c>
      <c r="C163" s="197" t="s">
        <v>350</v>
      </c>
      <c r="D163" s="198" t="s">
        <v>49</v>
      </c>
      <c r="E163" s="198"/>
      <c r="F163" s="197"/>
      <c r="G163" s="199">
        <v>60</v>
      </c>
      <c r="H163" s="199">
        <v>75</v>
      </c>
      <c r="I163" s="199">
        <v>60</v>
      </c>
      <c r="J163" s="199">
        <v>75</v>
      </c>
      <c r="K163" s="199">
        <v>75</v>
      </c>
      <c r="L163" s="199">
        <v>60</v>
      </c>
      <c r="M163" s="315">
        <v>61.578947368421055</v>
      </c>
      <c r="N163" s="315">
        <v>66.315789473684205</v>
      </c>
      <c r="O163" s="315">
        <v>47.368421052631575</v>
      </c>
      <c r="P163" s="316">
        <f t="shared" si="38"/>
        <v>1521.3078947368422</v>
      </c>
      <c r="Q163" s="316">
        <f t="shared" si="39"/>
        <v>796.27894736842109</v>
      </c>
      <c r="R163" s="316">
        <f t="shared" si="40"/>
        <v>170.27368421052631</v>
      </c>
      <c r="S163" s="317">
        <f t="shared" si="41"/>
        <v>2487.8605263157897</v>
      </c>
      <c r="T163" s="318">
        <f t="shared" si="32"/>
        <v>820.94999999999993</v>
      </c>
      <c r="U163" s="319">
        <f t="shared" si="36"/>
        <v>939.9</v>
      </c>
      <c r="V163" s="319">
        <f t="shared" si="37"/>
        <v>727.01052631578943</v>
      </c>
      <c r="X163" s="320">
        <f t="shared" si="42"/>
        <v>656.76</v>
      </c>
      <c r="Y163" s="320">
        <f t="shared" si="42"/>
        <v>751.92000000000007</v>
      </c>
      <c r="Z163" s="320">
        <f t="shared" si="42"/>
        <v>581.60842105263157</v>
      </c>
      <c r="AB163" s="123">
        <v>805.34999999999991</v>
      </c>
      <c r="AC163" s="320">
        <f t="shared" si="47"/>
        <v>-15.600000000000023</v>
      </c>
      <c r="AI163" s="123">
        <v>805.34999999999991</v>
      </c>
      <c r="AJ163" s="320">
        <f t="shared" si="43"/>
        <v>15.600000000000023</v>
      </c>
    </row>
    <row r="164" spans="1:36" hidden="1" x14ac:dyDescent="0.35">
      <c r="A164" s="197">
        <v>3303306</v>
      </c>
      <c r="B164" s="197">
        <v>3306</v>
      </c>
      <c r="C164" s="197" t="s">
        <v>351</v>
      </c>
      <c r="D164" s="198" t="s">
        <v>49</v>
      </c>
      <c r="E164" s="198"/>
      <c r="F164" s="197"/>
      <c r="G164" s="199">
        <v>0</v>
      </c>
      <c r="H164" s="199">
        <v>30</v>
      </c>
      <c r="I164" s="199">
        <v>420</v>
      </c>
      <c r="J164" s="199">
        <v>0</v>
      </c>
      <c r="K164" s="199">
        <v>15</v>
      </c>
      <c r="L164" s="199">
        <v>435</v>
      </c>
      <c r="M164" s="315">
        <v>0</v>
      </c>
      <c r="N164" s="315">
        <v>14.210526315789473</v>
      </c>
      <c r="O164" s="315">
        <v>530.52631578947364</v>
      </c>
      <c r="P164" s="316">
        <f t="shared" si="38"/>
        <v>0</v>
      </c>
      <c r="Q164" s="316">
        <f t="shared" si="39"/>
        <v>219.10263157894735</v>
      </c>
      <c r="R164" s="316">
        <f t="shared" si="40"/>
        <v>1398.5052631578947</v>
      </c>
      <c r="S164" s="317">
        <f t="shared" si="41"/>
        <v>1617.6078947368419</v>
      </c>
      <c r="T164" s="318">
        <f t="shared" si="32"/>
        <v>549.9</v>
      </c>
      <c r="U164" s="319">
        <f t="shared" si="36"/>
        <v>508.95000000000005</v>
      </c>
      <c r="V164" s="319">
        <f t="shared" si="37"/>
        <v>558.7578947368421</v>
      </c>
      <c r="X164" s="320">
        <f t="shared" si="42"/>
        <v>439.92</v>
      </c>
      <c r="Y164" s="320">
        <f t="shared" si="42"/>
        <v>407.16000000000008</v>
      </c>
      <c r="Z164" s="320">
        <f t="shared" si="42"/>
        <v>447.00631578947372</v>
      </c>
      <c r="AB164" s="123">
        <v>696.15</v>
      </c>
      <c r="AC164" s="320">
        <f t="shared" si="47"/>
        <v>146.25</v>
      </c>
      <c r="AI164" s="123">
        <v>696.15</v>
      </c>
      <c r="AJ164" s="320">
        <f t="shared" si="43"/>
        <v>-146.25</v>
      </c>
    </row>
    <row r="165" spans="1:36" hidden="1" x14ac:dyDescent="0.35">
      <c r="A165" s="197">
        <v>3303310</v>
      </c>
      <c r="B165" s="197">
        <v>3310</v>
      </c>
      <c r="C165" s="197" t="s">
        <v>217</v>
      </c>
      <c r="D165" s="198" t="s">
        <v>245</v>
      </c>
      <c r="E165" s="198"/>
      <c r="F165" s="197"/>
      <c r="G165" s="199">
        <v>270</v>
      </c>
      <c r="H165" s="199">
        <v>30</v>
      </c>
      <c r="I165" s="199">
        <v>15</v>
      </c>
      <c r="J165" s="199">
        <v>180</v>
      </c>
      <c r="K165" s="199">
        <v>15</v>
      </c>
      <c r="L165" s="199">
        <v>30</v>
      </c>
      <c r="M165" s="315">
        <v>170.5263157894737</v>
      </c>
      <c r="N165" s="315">
        <v>71.05263157894737</v>
      </c>
      <c r="O165" s="315">
        <v>9.473684210526315</v>
      </c>
      <c r="P165" s="316">
        <f t="shared" si="38"/>
        <v>4816.7526315789473</v>
      </c>
      <c r="Q165" s="316">
        <f t="shared" si="39"/>
        <v>416.9131578947368</v>
      </c>
      <c r="R165" s="316">
        <f t="shared" si="40"/>
        <v>55.89473684210526</v>
      </c>
      <c r="S165" s="317">
        <f t="shared" si="41"/>
        <v>5289.5605263157895</v>
      </c>
      <c r="T165" s="318">
        <f t="shared" si="32"/>
        <v>2269.7999999999997</v>
      </c>
      <c r="U165" s="319">
        <f t="shared" si="36"/>
        <v>1515.1499999999999</v>
      </c>
      <c r="V165" s="319">
        <f t="shared" si="37"/>
        <v>1504.6105263157895</v>
      </c>
      <c r="X165" s="320">
        <f t="shared" si="42"/>
        <v>1815.84</v>
      </c>
      <c r="Y165" s="320">
        <f t="shared" si="42"/>
        <v>1212.1199999999999</v>
      </c>
      <c r="Z165" s="320">
        <f t="shared" si="42"/>
        <v>1203.6884210526316</v>
      </c>
      <c r="AB165" s="123" t="s">
        <v>216</v>
      </c>
      <c r="AI165" s="123">
        <v>1942.2</v>
      </c>
      <c r="AJ165" s="320">
        <f t="shared" si="43"/>
        <v>327.59999999999968</v>
      </c>
    </row>
    <row r="166" spans="1:36" hidden="1" x14ac:dyDescent="0.35">
      <c r="A166" s="197">
        <v>3303311</v>
      </c>
      <c r="B166" s="197">
        <v>3311</v>
      </c>
      <c r="C166" s="197" t="s">
        <v>352</v>
      </c>
      <c r="D166" s="198" t="s">
        <v>49</v>
      </c>
      <c r="E166" s="198"/>
      <c r="F166" s="197"/>
      <c r="G166" s="199">
        <v>477</v>
      </c>
      <c r="H166" s="199">
        <v>132</v>
      </c>
      <c r="I166" s="199">
        <v>15</v>
      </c>
      <c r="J166" s="199">
        <v>330</v>
      </c>
      <c r="K166" s="199">
        <v>105</v>
      </c>
      <c r="L166" s="199">
        <v>15</v>
      </c>
      <c r="M166" s="315">
        <v>208.42105263157896</v>
      </c>
      <c r="N166" s="315">
        <v>90</v>
      </c>
      <c r="O166" s="315">
        <v>14.210526315789473</v>
      </c>
      <c r="P166" s="316">
        <f t="shared" si="38"/>
        <v>7925.152105263157</v>
      </c>
      <c r="Q166" s="316">
        <f t="shared" si="39"/>
        <v>1206.6899999999998</v>
      </c>
      <c r="R166" s="316">
        <f t="shared" si="40"/>
        <v>44.84210526315789</v>
      </c>
      <c r="S166" s="317">
        <f t="shared" si="41"/>
        <v>9176.6842105263149</v>
      </c>
      <c r="T166" s="318">
        <f t="shared" si="32"/>
        <v>4295.8500000000004</v>
      </c>
      <c r="U166" s="319">
        <f t="shared" si="36"/>
        <v>3028.3499999999995</v>
      </c>
      <c r="V166" s="319">
        <f t="shared" si="37"/>
        <v>1852.4842105263158</v>
      </c>
      <c r="X166" s="320">
        <f t="shared" si="42"/>
        <v>3436.6800000000003</v>
      </c>
      <c r="Y166" s="320">
        <f t="shared" si="42"/>
        <v>2422.6799999999998</v>
      </c>
      <c r="Z166" s="320">
        <f t="shared" si="42"/>
        <v>1481.9873684210527</v>
      </c>
      <c r="AB166" s="123">
        <v>1957.8</v>
      </c>
      <c r="AC166" s="320">
        <f t="shared" ref="AC166:AC167" si="48">AB166-T166</f>
        <v>-2338.0500000000002</v>
      </c>
      <c r="AI166" s="123">
        <v>1957.8</v>
      </c>
      <c r="AJ166" s="320">
        <f t="shared" si="43"/>
        <v>2338.0500000000002</v>
      </c>
    </row>
    <row r="167" spans="1:36" hidden="1" x14ac:dyDescent="0.35">
      <c r="A167" s="197">
        <v>3303314</v>
      </c>
      <c r="B167" s="197">
        <v>3314</v>
      </c>
      <c r="C167" s="197" t="s">
        <v>353</v>
      </c>
      <c r="D167" s="198" t="s">
        <v>49</v>
      </c>
      <c r="E167" s="198"/>
      <c r="F167" s="197"/>
      <c r="G167" s="199">
        <v>195</v>
      </c>
      <c r="H167" s="199">
        <v>15</v>
      </c>
      <c r="I167" s="199">
        <v>45</v>
      </c>
      <c r="J167" s="199">
        <v>195</v>
      </c>
      <c r="K167" s="199">
        <v>15</v>
      </c>
      <c r="L167" s="199">
        <v>45</v>
      </c>
      <c r="M167" s="315">
        <v>194.21052631578948</v>
      </c>
      <c r="N167" s="315">
        <v>23.684210526315788</v>
      </c>
      <c r="O167" s="315">
        <v>18.94736842105263</v>
      </c>
      <c r="P167" s="316">
        <f t="shared" si="38"/>
        <v>4514.3210526315797</v>
      </c>
      <c r="Q167" s="316">
        <f t="shared" si="39"/>
        <v>195.52105263157893</v>
      </c>
      <c r="R167" s="316">
        <f t="shared" si="40"/>
        <v>111.78947368421053</v>
      </c>
      <c r="S167" s="317">
        <f t="shared" si="41"/>
        <v>4821.6315789473692</v>
      </c>
      <c r="T167" s="318">
        <f t="shared" si="32"/>
        <v>1649.7</v>
      </c>
      <c r="U167" s="319">
        <f t="shared" si="36"/>
        <v>1649.7</v>
      </c>
      <c r="V167" s="319">
        <f t="shared" si="37"/>
        <v>1522.2315789473685</v>
      </c>
      <c r="X167" s="320">
        <f t="shared" si="42"/>
        <v>1319.7600000000002</v>
      </c>
      <c r="Y167" s="320">
        <f t="shared" si="42"/>
        <v>1319.7600000000002</v>
      </c>
      <c r="Z167" s="320">
        <f t="shared" si="42"/>
        <v>1217.7852631578949</v>
      </c>
      <c r="AB167" s="123">
        <v>1793.9999999999998</v>
      </c>
      <c r="AC167" s="320">
        <f t="shared" si="48"/>
        <v>144.29999999999973</v>
      </c>
      <c r="AI167" s="123">
        <v>1793.9999999999998</v>
      </c>
      <c r="AJ167" s="320">
        <f t="shared" si="43"/>
        <v>-144.29999999999973</v>
      </c>
    </row>
    <row r="168" spans="1:36" hidden="1" x14ac:dyDescent="0.35">
      <c r="A168" s="197">
        <v>3303317</v>
      </c>
      <c r="B168" s="197">
        <v>3317</v>
      </c>
      <c r="C168" s="197" t="s">
        <v>95</v>
      </c>
      <c r="D168" s="198" t="s">
        <v>27</v>
      </c>
      <c r="E168" s="198"/>
      <c r="F168" s="197"/>
      <c r="G168" s="199">
        <v>15</v>
      </c>
      <c r="H168" s="199">
        <v>15</v>
      </c>
      <c r="I168" s="199">
        <v>210</v>
      </c>
      <c r="J168" s="199">
        <v>0</v>
      </c>
      <c r="K168" s="199">
        <v>15</v>
      </c>
      <c r="L168" s="199">
        <v>165</v>
      </c>
      <c r="M168" s="315">
        <v>0</v>
      </c>
      <c r="N168" s="315">
        <v>4.7368421052631575</v>
      </c>
      <c r="O168" s="315">
        <v>213.15789473684211</v>
      </c>
      <c r="P168" s="316">
        <f t="shared" si="38"/>
        <v>118.95</v>
      </c>
      <c r="Q168" s="316">
        <f t="shared" si="39"/>
        <v>129.58421052631579</v>
      </c>
      <c r="R168" s="316">
        <f t="shared" si="40"/>
        <v>594.63157894736844</v>
      </c>
      <c r="S168" s="317">
        <f t="shared" si="41"/>
        <v>843.1657894736843</v>
      </c>
      <c r="T168" s="318">
        <f t="shared" si="32"/>
        <v>393.9</v>
      </c>
      <c r="U168" s="319">
        <f t="shared" si="36"/>
        <v>228.15000000000003</v>
      </c>
      <c r="V168" s="319">
        <f t="shared" si="37"/>
        <v>221.11578947368423</v>
      </c>
      <c r="X168" s="320">
        <f t="shared" si="42"/>
        <v>315.12</v>
      </c>
      <c r="Y168" s="320">
        <f t="shared" si="42"/>
        <v>182.52000000000004</v>
      </c>
      <c r="Z168" s="320">
        <f t="shared" si="42"/>
        <v>176.8926315789474</v>
      </c>
      <c r="AB168" s="123" t="s">
        <v>94</v>
      </c>
      <c r="AI168" s="123">
        <v>265.20000000000005</v>
      </c>
      <c r="AJ168" s="320">
        <f t="shared" si="43"/>
        <v>128.69999999999993</v>
      </c>
    </row>
    <row r="169" spans="1:36" hidden="1" x14ac:dyDescent="0.35">
      <c r="A169" s="197">
        <v>3303319</v>
      </c>
      <c r="B169" s="197">
        <v>3319</v>
      </c>
      <c r="C169" s="197" t="s">
        <v>61</v>
      </c>
      <c r="D169" s="198" t="s">
        <v>27</v>
      </c>
      <c r="E169" s="198"/>
      <c r="F169" s="197"/>
      <c r="G169" s="199">
        <v>150</v>
      </c>
      <c r="H169" s="199">
        <v>225</v>
      </c>
      <c r="I169" s="199">
        <v>30</v>
      </c>
      <c r="J169" s="199">
        <v>120</v>
      </c>
      <c r="K169" s="199">
        <v>210</v>
      </c>
      <c r="L169" s="199">
        <v>30</v>
      </c>
      <c r="M169" s="315">
        <v>151.57894736842104</v>
      </c>
      <c r="N169" s="315">
        <v>175.26315789473682</v>
      </c>
      <c r="O169" s="315">
        <v>28.421052631578945</v>
      </c>
      <c r="P169" s="316">
        <f t="shared" si="38"/>
        <v>3250.6578947368421</v>
      </c>
      <c r="Q169" s="316">
        <f t="shared" si="39"/>
        <v>2249.8657894736839</v>
      </c>
      <c r="R169" s="316">
        <f t="shared" si="40"/>
        <v>89.68421052631578</v>
      </c>
      <c r="S169" s="317">
        <f t="shared" si="41"/>
        <v>5590.2078947368418</v>
      </c>
      <c r="T169" s="318">
        <f t="shared" si="32"/>
        <v>2068.9499999999998</v>
      </c>
      <c r="U169" s="319">
        <f t="shared" si="36"/>
        <v>1774.5</v>
      </c>
      <c r="V169" s="319">
        <f t="shared" si="37"/>
        <v>1746.757894736842</v>
      </c>
      <c r="X169" s="320">
        <f t="shared" si="42"/>
        <v>1655.1599999999999</v>
      </c>
      <c r="Y169" s="320">
        <f t="shared" si="42"/>
        <v>1419.6000000000001</v>
      </c>
      <c r="Z169" s="320">
        <f t="shared" si="42"/>
        <v>1397.4063157894736</v>
      </c>
      <c r="AB169" s="123" t="s">
        <v>60</v>
      </c>
      <c r="AI169" s="123">
        <v>2080.6499999999996</v>
      </c>
      <c r="AJ169" s="320">
        <f t="shared" si="43"/>
        <v>-11.699999999999818</v>
      </c>
    </row>
    <row r="170" spans="1:36" hidden="1" x14ac:dyDescent="0.35">
      <c r="A170" s="197">
        <v>3303322</v>
      </c>
      <c r="B170" s="197">
        <v>3322</v>
      </c>
      <c r="C170" s="197" t="s">
        <v>111</v>
      </c>
      <c r="D170" s="198" t="s">
        <v>27</v>
      </c>
      <c r="E170" s="198"/>
      <c r="F170" s="197"/>
      <c r="G170" s="199">
        <v>75</v>
      </c>
      <c r="H170" s="199">
        <v>30</v>
      </c>
      <c r="I170" s="199">
        <v>15</v>
      </c>
      <c r="J170" s="199">
        <v>15</v>
      </c>
      <c r="K170" s="199">
        <v>15</v>
      </c>
      <c r="L170" s="199">
        <v>0</v>
      </c>
      <c r="M170" s="315">
        <v>37.89473684210526</v>
      </c>
      <c r="N170" s="315">
        <v>28.421052631578945</v>
      </c>
      <c r="O170" s="315">
        <v>9.473684210526315</v>
      </c>
      <c r="P170" s="316">
        <f t="shared" si="38"/>
        <v>991.08947368421059</v>
      </c>
      <c r="Q170" s="316">
        <f t="shared" si="39"/>
        <v>268.55526315789473</v>
      </c>
      <c r="R170" s="316">
        <f t="shared" si="40"/>
        <v>24.694736842105264</v>
      </c>
      <c r="S170" s="317">
        <f t="shared" si="41"/>
        <v>1284.3394736842106</v>
      </c>
      <c r="T170" s="318">
        <f t="shared" si="32"/>
        <v>723.45</v>
      </c>
      <c r="U170" s="319">
        <f t="shared" si="36"/>
        <v>175.5</v>
      </c>
      <c r="V170" s="319">
        <f t="shared" si="37"/>
        <v>385.38947368421054</v>
      </c>
      <c r="X170" s="320">
        <f t="shared" si="42"/>
        <v>578.7600000000001</v>
      </c>
      <c r="Y170" s="320">
        <f t="shared" si="42"/>
        <v>140.4</v>
      </c>
      <c r="Z170" s="320">
        <f t="shared" si="42"/>
        <v>308.31157894736845</v>
      </c>
      <c r="AB170" s="123" t="s">
        <v>110</v>
      </c>
      <c r="AI170" s="123">
        <v>661.05000000000007</v>
      </c>
      <c r="AJ170" s="320">
        <f t="shared" si="43"/>
        <v>62.399999999999977</v>
      </c>
    </row>
    <row r="171" spans="1:36" hidden="1" x14ac:dyDescent="0.35">
      <c r="A171" s="197">
        <v>3303323</v>
      </c>
      <c r="B171" s="197">
        <v>3323</v>
      </c>
      <c r="C171" s="197" t="s">
        <v>354</v>
      </c>
      <c r="D171" s="198" t="s">
        <v>27</v>
      </c>
      <c r="E171" s="198"/>
      <c r="F171" s="197"/>
      <c r="G171" s="199">
        <v>90</v>
      </c>
      <c r="H171" s="199">
        <v>0</v>
      </c>
      <c r="I171" s="199">
        <v>45</v>
      </c>
      <c r="J171" s="199">
        <v>105</v>
      </c>
      <c r="K171" s="199">
        <v>0</v>
      </c>
      <c r="L171" s="199">
        <v>15</v>
      </c>
      <c r="M171" s="315">
        <v>146.84210526315789</v>
      </c>
      <c r="N171" s="315">
        <v>4.7368421052631575</v>
      </c>
      <c r="O171" s="315">
        <v>28.421052631578945</v>
      </c>
      <c r="P171" s="316">
        <f t="shared" si="38"/>
        <v>2621.2342105263156</v>
      </c>
      <c r="Q171" s="316">
        <f t="shared" si="39"/>
        <v>16.484210526315788</v>
      </c>
      <c r="R171" s="316">
        <f t="shared" si="40"/>
        <v>89.684210526315795</v>
      </c>
      <c r="S171" s="317">
        <f t="shared" si="41"/>
        <v>2727.402631578947</v>
      </c>
      <c r="T171" s="318">
        <f t="shared" si="32"/>
        <v>760.49999999999989</v>
      </c>
      <c r="U171" s="319">
        <f t="shared" si="36"/>
        <v>848.25</v>
      </c>
      <c r="V171" s="319">
        <f t="shared" si="37"/>
        <v>1118.6526315789472</v>
      </c>
      <c r="X171" s="320">
        <f t="shared" si="42"/>
        <v>608.4</v>
      </c>
      <c r="Y171" s="320">
        <f t="shared" si="42"/>
        <v>678.6</v>
      </c>
      <c r="Z171" s="320">
        <f t="shared" si="42"/>
        <v>894.92210526315785</v>
      </c>
      <c r="AB171" s="123" t="s">
        <v>156</v>
      </c>
      <c r="AI171" s="123">
        <v>1530.7499999999998</v>
      </c>
      <c r="AJ171" s="320">
        <f t="shared" si="43"/>
        <v>-770.24999999999989</v>
      </c>
    </row>
    <row r="172" spans="1:36" hidden="1" x14ac:dyDescent="0.35">
      <c r="A172" s="197">
        <v>3303325</v>
      </c>
      <c r="B172" s="197">
        <v>3325</v>
      </c>
      <c r="C172" s="197" t="s">
        <v>355</v>
      </c>
      <c r="D172" s="198" t="s">
        <v>49</v>
      </c>
      <c r="E172" s="198"/>
      <c r="F172" s="197"/>
      <c r="G172" s="199">
        <v>0</v>
      </c>
      <c r="H172" s="199">
        <v>30</v>
      </c>
      <c r="I172" s="199">
        <v>195</v>
      </c>
      <c r="J172" s="199">
        <v>0</v>
      </c>
      <c r="K172" s="199">
        <v>0</v>
      </c>
      <c r="L172" s="199">
        <v>150</v>
      </c>
      <c r="M172" s="315">
        <v>9.473684210526315</v>
      </c>
      <c r="N172" s="315">
        <v>18.94736842105263</v>
      </c>
      <c r="O172" s="315">
        <v>161.05263157894737</v>
      </c>
      <c r="P172" s="316">
        <f t="shared" si="38"/>
        <v>69.347368421052636</v>
      </c>
      <c r="Q172" s="316">
        <f t="shared" si="39"/>
        <v>179.03684210526313</v>
      </c>
      <c r="R172" s="316">
        <f t="shared" si="40"/>
        <v>513.41052631578941</v>
      </c>
      <c r="S172" s="317">
        <f t="shared" si="41"/>
        <v>761.79473684210507</v>
      </c>
      <c r="T172" s="318">
        <f t="shared" si="32"/>
        <v>315.89999999999998</v>
      </c>
      <c r="U172" s="319">
        <f t="shared" si="36"/>
        <v>156</v>
      </c>
      <c r="V172" s="319">
        <f t="shared" si="37"/>
        <v>289.89473684210532</v>
      </c>
      <c r="X172" s="320">
        <f t="shared" si="42"/>
        <v>252.72</v>
      </c>
      <c r="Y172" s="320">
        <f t="shared" si="42"/>
        <v>124.80000000000001</v>
      </c>
      <c r="Z172" s="320">
        <f t="shared" si="42"/>
        <v>231.91578947368427</v>
      </c>
      <c r="AB172" s="123">
        <v>434.85</v>
      </c>
      <c r="AC172" s="320">
        <f>AB172-T172</f>
        <v>118.95000000000005</v>
      </c>
      <c r="AI172" s="123">
        <v>434.85</v>
      </c>
      <c r="AJ172" s="320">
        <f t="shared" si="43"/>
        <v>-118.95000000000005</v>
      </c>
    </row>
    <row r="173" spans="1:36" hidden="1" x14ac:dyDescent="0.35">
      <c r="A173" s="197">
        <v>3303328</v>
      </c>
      <c r="B173" s="197">
        <v>3328</v>
      </c>
      <c r="C173" s="197" t="s">
        <v>356</v>
      </c>
      <c r="D173" s="198" t="s">
        <v>27</v>
      </c>
      <c r="E173" s="198"/>
      <c r="F173" s="197"/>
      <c r="G173" s="199">
        <v>15</v>
      </c>
      <c r="H173" s="199">
        <v>30</v>
      </c>
      <c r="I173" s="199">
        <v>60</v>
      </c>
      <c r="J173" s="199">
        <v>15</v>
      </c>
      <c r="K173" s="199">
        <v>30</v>
      </c>
      <c r="L173" s="199">
        <v>60</v>
      </c>
      <c r="M173" s="315">
        <v>66.315789473684205</v>
      </c>
      <c r="N173" s="315">
        <v>56.84210526315789</v>
      </c>
      <c r="O173" s="315">
        <v>56.84210526315789</v>
      </c>
      <c r="P173" s="316">
        <f t="shared" si="38"/>
        <v>723.33157894736837</v>
      </c>
      <c r="Q173" s="316">
        <f t="shared" si="39"/>
        <v>424.01052631578943</v>
      </c>
      <c r="R173" s="316">
        <f t="shared" si="40"/>
        <v>179.36842105263156</v>
      </c>
      <c r="S173" s="317">
        <f t="shared" si="41"/>
        <v>1326.7105263157894</v>
      </c>
      <c r="T173" s="318">
        <f t="shared" si="32"/>
        <v>294.45</v>
      </c>
      <c r="U173" s="319">
        <f t="shared" si="36"/>
        <v>294.45</v>
      </c>
      <c r="V173" s="319">
        <f t="shared" si="37"/>
        <v>737.81052631578939</v>
      </c>
      <c r="X173" s="320">
        <f t="shared" si="42"/>
        <v>235.56</v>
      </c>
      <c r="Y173" s="320">
        <f t="shared" si="42"/>
        <v>235.56</v>
      </c>
      <c r="Z173" s="320">
        <f t="shared" si="42"/>
        <v>590.24842105263156</v>
      </c>
      <c r="AB173" s="123" t="s">
        <v>120</v>
      </c>
      <c r="AI173" s="123">
        <v>1058.8499999999999</v>
      </c>
      <c r="AJ173" s="320">
        <f t="shared" si="43"/>
        <v>-764.39999999999986</v>
      </c>
    </row>
    <row r="174" spans="1:36" hidden="1" x14ac:dyDescent="0.35">
      <c r="A174" s="197">
        <v>3303329</v>
      </c>
      <c r="B174" s="197">
        <v>3329</v>
      </c>
      <c r="C174" s="197" t="s">
        <v>209</v>
      </c>
      <c r="D174" s="198" t="s">
        <v>245</v>
      </c>
      <c r="E174" s="198"/>
      <c r="F174" s="197"/>
      <c r="G174" s="199">
        <v>15</v>
      </c>
      <c r="H174" s="199">
        <v>45</v>
      </c>
      <c r="I174" s="199">
        <v>285</v>
      </c>
      <c r="J174" s="199">
        <v>0</v>
      </c>
      <c r="K174" s="199">
        <v>60</v>
      </c>
      <c r="L174" s="199">
        <v>270</v>
      </c>
      <c r="M174" s="315">
        <v>0</v>
      </c>
      <c r="N174" s="315">
        <v>75.78947368421052</v>
      </c>
      <c r="O174" s="315">
        <v>260.52631578947364</v>
      </c>
      <c r="P174" s="316">
        <f t="shared" si="38"/>
        <v>118.95</v>
      </c>
      <c r="Q174" s="316">
        <f t="shared" si="39"/>
        <v>659.59736842105258</v>
      </c>
      <c r="R174" s="316">
        <f t="shared" si="40"/>
        <v>827.30526315789473</v>
      </c>
      <c r="S174" s="317">
        <f t="shared" si="41"/>
        <v>1605.8526315789475</v>
      </c>
      <c r="T174" s="318">
        <f t="shared" si="32"/>
        <v>585</v>
      </c>
      <c r="U174" s="319">
        <f t="shared" si="36"/>
        <v>507</v>
      </c>
      <c r="V174" s="319">
        <f t="shared" si="37"/>
        <v>513.85263157894724</v>
      </c>
      <c r="X174" s="320">
        <f t="shared" si="42"/>
        <v>468</v>
      </c>
      <c r="Y174" s="320">
        <f t="shared" si="42"/>
        <v>405.6</v>
      </c>
      <c r="Z174" s="320">
        <f t="shared" si="42"/>
        <v>411.08210526315781</v>
      </c>
      <c r="AB174" s="123" t="s">
        <v>208</v>
      </c>
      <c r="AI174" s="123">
        <v>620.09999999999991</v>
      </c>
      <c r="AJ174" s="320">
        <f t="shared" si="43"/>
        <v>-35.099999999999909</v>
      </c>
    </row>
    <row r="175" spans="1:36" hidden="1" x14ac:dyDescent="0.35">
      <c r="A175" s="197">
        <v>3303330</v>
      </c>
      <c r="B175" s="197">
        <v>3330</v>
      </c>
      <c r="C175" s="197" t="s">
        <v>357</v>
      </c>
      <c r="D175" s="198" t="s">
        <v>49</v>
      </c>
      <c r="E175" s="198"/>
      <c r="F175" s="197"/>
      <c r="G175" s="199">
        <v>150</v>
      </c>
      <c r="H175" s="199">
        <v>105</v>
      </c>
      <c r="I175" s="199">
        <v>45</v>
      </c>
      <c r="J175" s="199">
        <v>135</v>
      </c>
      <c r="K175" s="199">
        <v>75</v>
      </c>
      <c r="L175" s="199">
        <v>45</v>
      </c>
      <c r="M175" s="315">
        <v>118.42105263157895</v>
      </c>
      <c r="N175" s="315">
        <v>71.05263157894737</v>
      </c>
      <c r="O175" s="315">
        <v>28.421052631578945</v>
      </c>
      <c r="P175" s="316">
        <f t="shared" si="38"/>
        <v>3126.8921052631581</v>
      </c>
      <c r="Q175" s="316">
        <f t="shared" si="39"/>
        <v>925.86315789473679</v>
      </c>
      <c r="R175" s="316">
        <f t="shared" si="40"/>
        <v>120.8842105263158</v>
      </c>
      <c r="S175" s="317">
        <f t="shared" si="41"/>
        <v>4173.6394736842103</v>
      </c>
      <c r="T175" s="318">
        <f t="shared" si="32"/>
        <v>1632.1499999999999</v>
      </c>
      <c r="U175" s="319">
        <f t="shared" si="36"/>
        <v>1400.1</v>
      </c>
      <c r="V175" s="319">
        <f t="shared" si="37"/>
        <v>1141.3894736842103</v>
      </c>
      <c r="X175" s="320">
        <f t="shared" si="42"/>
        <v>1305.72</v>
      </c>
      <c r="Y175" s="320">
        <f t="shared" si="42"/>
        <v>1120.08</v>
      </c>
      <c r="Z175" s="320">
        <f t="shared" si="42"/>
        <v>913.11157894736834</v>
      </c>
      <c r="AB175" s="123">
        <v>1146.6000000000001</v>
      </c>
      <c r="AC175" s="320">
        <f>AB175-T175</f>
        <v>-485.54999999999973</v>
      </c>
      <c r="AI175" s="123">
        <v>1146.6000000000001</v>
      </c>
      <c r="AJ175" s="320">
        <f t="shared" si="43"/>
        <v>485.54999999999973</v>
      </c>
    </row>
    <row r="176" spans="1:36" hidden="1" x14ac:dyDescent="0.35">
      <c r="A176" s="197">
        <v>3303331</v>
      </c>
      <c r="B176" s="197">
        <v>3331</v>
      </c>
      <c r="C176" s="197" t="s">
        <v>358</v>
      </c>
      <c r="D176" s="198" t="s">
        <v>27</v>
      </c>
      <c r="E176" s="198"/>
      <c r="F176" s="197"/>
      <c r="G176" s="199">
        <v>225</v>
      </c>
      <c r="H176" s="199">
        <v>15</v>
      </c>
      <c r="I176" s="199">
        <v>15</v>
      </c>
      <c r="J176" s="199">
        <v>120</v>
      </c>
      <c r="K176" s="199">
        <v>0</v>
      </c>
      <c r="L176" s="199">
        <v>30</v>
      </c>
      <c r="M176" s="315">
        <v>189.4736842105263</v>
      </c>
      <c r="N176" s="315">
        <v>9.473684210526315</v>
      </c>
      <c r="O176" s="315">
        <v>28.421052631578945</v>
      </c>
      <c r="P176" s="316">
        <f t="shared" si="38"/>
        <v>4122.7973684210519</v>
      </c>
      <c r="Q176" s="316">
        <f t="shared" si="39"/>
        <v>89.518421052631567</v>
      </c>
      <c r="R176" s="316">
        <f t="shared" si="40"/>
        <v>74.084210526315786</v>
      </c>
      <c r="S176" s="317">
        <f t="shared" si="41"/>
        <v>4286.3999999999996</v>
      </c>
      <c r="T176" s="318">
        <f t="shared" ref="T176:T200" si="49">(G176*$C$2*$F$2)+(H176*$C$3*$F$2)+(I176*$C$4*$F$2)</f>
        <v>1856.3999999999999</v>
      </c>
      <c r="U176" s="319">
        <f t="shared" si="36"/>
        <v>982.80000000000007</v>
      </c>
      <c r="V176" s="319">
        <f t="shared" si="37"/>
        <v>1447.1999999999998</v>
      </c>
      <c r="X176" s="320">
        <f t="shared" si="42"/>
        <v>1485.12</v>
      </c>
      <c r="Y176" s="320">
        <f t="shared" si="42"/>
        <v>786.24000000000012</v>
      </c>
      <c r="Z176" s="320">
        <f t="shared" si="42"/>
        <v>1157.76</v>
      </c>
      <c r="AB176" s="123" t="s">
        <v>140</v>
      </c>
      <c r="AI176" s="123">
        <v>1753.05</v>
      </c>
      <c r="AJ176" s="320">
        <f t="shared" si="43"/>
        <v>103.34999999999991</v>
      </c>
    </row>
    <row r="177" spans="1:36" hidden="1" x14ac:dyDescent="0.35">
      <c r="A177" s="197">
        <v>3303346</v>
      </c>
      <c r="B177" s="197">
        <v>3346</v>
      </c>
      <c r="C177" s="197" t="s">
        <v>213</v>
      </c>
      <c r="D177" s="198" t="s">
        <v>245</v>
      </c>
      <c r="E177" s="198"/>
      <c r="F177" s="197"/>
      <c r="G177" s="199">
        <v>75</v>
      </c>
      <c r="H177" s="199">
        <v>255</v>
      </c>
      <c r="I177" s="199">
        <v>15</v>
      </c>
      <c r="J177" s="199">
        <v>75</v>
      </c>
      <c r="K177" s="199">
        <v>225</v>
      </c>
      <c r="L177" s="199">
        <v>30</v>
      </c>
      <c r="M177" s="315">
        <v>80.526315789473685</v>
      </c>
      <c r="N177" s="315">
        <v>208.42105263157896</v>
      </c>
      <c r="O177" s="315">
        <v>9.473684210526315</v>
      </c>
      <c r="P177" s="316">
        <f t="shared" si="38"/>
        <v>1778.9526315789474</v>
      </c>
      <c r="Q177" s="316">
        <f t="shared" si="39"/>
        <v>2534.9052631578948</v>
      </c>
      <c r="R177" s="316">
        <f t="shared" si="40"/>
        <v>55.89473684210526</v>
      </c>
      <c r="S177" s="317">
        <f t="shared" si="41"/>
        <v>4369.7526315789473</v>
      </c>
      <c r="T177" s="318">
        <f t="shared" si="49"/>
        <v>1571.6999999999998</v>
      </c>
      <c r="U177" s="319">
        <f t="shared" si="36"/>
        <v>1474.2</v>
      </c>
      <c r="V177" s="319">
        <f t="shared" si="37"/>
        <v>1323.8526315789472</v>
      </c>
      <c r="X177" s="320">
        <f t="shared" si="42"/>
        <v>1257.3599999999999</v>
      </c>
      <c r="Y177" s="320">
        <f t="shared" si="42"/>
        <v>1179.3600000000001</v>
      </c>
      <c r="Z177" s="320">
        <f t="shared" si="42"/>
        <v>1059.0821052631579</v>
      </c>
      <c r="AB177" s="123" t="s">
        <v>212</v>
      </c>
      <c r="AI177" s="123">
        <v>1561.9499999999998</v>
      </c>
      <c r="AJ177" s="320">
        <f t="shared" si="43"/>
        <v>9.75</v>
      </c>
    </row>
    <row r="178" spans="1:36" hidden="1" x14ac:dyDescent="0.35">
      <c r="A178" s="197">
        <v>3303351</v>
      </c>
      <c r="B178" s="197">
        <v>3351</v>
      </c>
      <c r="C178" s="197" t="s">
        <v>359</v>
      </c>
      <c r="D178" s="198" t="s">
        <v>27</v>
      </c>
      <c r="E178" s="198"/>
      <c r="F178" s="197"/>
      <c r="G178" s="199">
        <v>45</v>
      </c>
      <c r="H178" s="199">
        <v>165</v>
      </c>
      <c r="I178" s="199">
        <v>75</v>
      </c>
      <c r="J178" s="199">
        <v>60</v>
      </c>
      <c r="K178" s="199">
        <v>135</v>
      </c>
      <c r="L178" s="199">
        <v>60</v>
      </c>
      <c r="M178" s="315">
        <v>47.368421052631575</v>
      </c>
      <c r="N178" s="315">
        <v>137.36842105263159</v>
      </c>
      <c r="O178" s="315">
        <v>56.84210526315789</v>
      </c>
      <c r="P178" s="316">
        <f t="shared" si="38"/>
        <v>1179.386842105263</v>
      </c>
      <c r="Q178" s="316">
        <f t="shared" si="39"/>
        <v>1609.042105263158</v>
      </c>
      <c r="R178" s="316">
        <f t="shared" si="40"/>
        <v>194.96842105263158</v>
      </c>
      <c r="S178" s="317">
        <f t="shared" si="41"/>
        <v>2983.3973684210523</v>
      </c>
      <c r="T178" s="318">
        <f t="shared" si="49"/>
        <v>1056.8999999999999</v>
      </c>
      <c r="U178" s="319">
        <f t="shared" si="36"/>
        <v>1047.1500000000001</v>
      </c>
      <c r="V178" s="319">
        <f t="shared" si="37"/>
        <v>879.34736842105269</v>
      </c>
      <c r="X178" s="320">
        <f t="shared" si="42"/>
        <v>845.52</v>
      </c>
      <c r="Y178" s="320">
        <f t="shared" si="42"/>
        <v>837.72000000000014</v>
      </c>
      <c r="Z178" s="320">
        <f t="shared" si="42"/>
        <v>703.47789473684225</v>
      </c>
      <c r="AB178" s="123" t="s">
        <v>118</v>
      </c>
      <c r="AI178" s="123">
        <v>1041.3</v>
      </c>
      <c r="AJ178" s="320">
        <f t="shared" si="43"/>
        <v>15.599999999999909</v>
      </c>
    </row>
    <row r="179" spans="1:36" hidden="1" x14ac:dyDescent="0.35">
      <c r="A179" s="197">
        <v>3303352</v>
      </c>
      <c r="B179" s="197">
        <v>3352</v>
      </c>
      <c r="C179" s="197" t="s">
        <v>360</v>
      </c>
      <c r="D179" s="198" t="s">
        <v>245</v>
      </c>
      <c r="E179" s="198"/>
      <c r="F179" s="197"/>
      <c r="G179" s="199">
        <v>0</v>
      </c>
      <c r="H179" s="199">
        <v>0</v>
      </c>
      <c r="I179" s="199">
        <v>0</v>
      </c>
      <c r="J179" s="199">
        <v>0</v>
      </c>
      <c r="K179" s="199">
        <v>30</v>
      </c>
      <c r="L179" s="199">
        <v>0</v>
      </c>
      <c r="M179" s="315">
        <v>0</v>
      </c>
      <c r="N179" s="315">
        <v>33.157894736842103</v>
      </c>
      <c r="O179" s="315">
        <v>37.89473684210526</v>
      </c>
      <c r="P179" s="316">
        <f t="shared" si="38"/>
        <v>0</v>
      </c>
      <c r="Q179" s="316">
        <f t="shared" si="39"/>
        <v>228.48947368421051</v>
      </c>
      <c r="R179" s="316">
        <f t="shared" si="40"/>
        <v>36.378947368421052</v>
      </c>
      <c r="S179" s="317">
        <f t="shared" si="41"/>
        <v>264.86842105263156</v>
      </c>
      <c r="T179" s="318">
        <f t="shared" si="49"/>
        <v>0</v>
      </c>
      <c r="U179" s="319">
        <f t="shared" si="36"/>
        <v>113.1</v>
      </c>
      <c r="V179" s="319">
        <f t="shared" si="37"/>
        <v>151.76842105263157</v>
      </c>
      <c r="X179" s="320">
        <f t="shared" si="42"/>
        <v>0</v>
      </c>
      <c r="Y179" s="320">
        <f t="shared" si="42"/>
        <v>90.48</v>
      </c>
      <c r="Z179" s="320">
        <f t="shared" si="42"/>
        <v>121.41473684210526</v>
      </c>
      <c r="AB179" s="123" t="s">
        <v>190</v>
      </c>
      <c r="AI179" s="123">
        <v>232.04999999999998</v>
      </c>
      <c r="AJ179" s="320">
        <f t="shared" si="43"/>
        <v>-232.04999999999998</v>
      </c>
    </row>
    <row r="180" spans="1:36" hidden="1" x14ac:dyDescent="0.35">
      <c r="A180" s="197">
        <v>3303359</v>
      </c>
      <c r="B180" s="197">
        <v>3359</v>
      </c>
      <c r="C180" s="197" t="s">
        <v>403</v>
      </c>
      <c r="D180" s="198" t="s">
        <v>49</v>
      </c>
      <c r="E180" s="198"/>
      <c r="F180" s="197"/>
      <c r="G180" s="199">
        <v>135</v>
      </c>
      <c r="H180" s="199">
        <v>90</v>
      </c>
      <c r="I180" s="199">
        <v>15</v>
      </c>
      <c r="J180" s="199">
        <v>120</v>
      </c>
      <c r="K180" s="199">
        <v>75</v>
      </c>
      <c r="L180" s="199">
        <v>0</v>
      </c>
      <c r="M180" s="315">
        <v>61.578947368421055</v>
      </c>
      <c r="N180" s="315">
        <v>52.10526315789474</v>
      </c>
      <c r="O180" s="315">
        <v>4.7368421052631575</v>
      </c>
      <c r="P180" s="316">
        <f t="shared" si="38"/>
        <v>2472.9078947368421</v>
      </c>
      <c r="Q180" s="316">
        <f t="shared" si="39"/>
        <v>803.37631578947367</v>
      </c>
      <c r="R180" s="316">
        <f t="shared" si="40"/>
        <v>20.147368421052633</v>
      </c>
      <c r="S180" s="317">
        <f t="shared" si="41"/>
        <v>3296.4315789473685</v>
      </c>
      <c r="T180" s="318">
        <f t="shared" si="49"/>
        <v>1425.4499999999998</v>
      </c>
      <c r="U180" s="319">
        <f t="shared" si="36"/>
        <v>1234.3499999999999</v>
      </c>
      <c r="V180" s="319">
        <f t="shared" si="37"/>
        <v>636.63157894736844</v>
      </c>
      <c r="X180" s="320">
        <f t="shared" si="42"/>
        <v>1140.3599999999999</v>
      </c>
      <c r="Y180" s="320">
        <f t="shared" si="42"/>
        <v>987.48</v>
      </c>
      <c r="Z180" s="320">
        <f t="shared" si="42"/>
        <v>509.30526315789479</v>
      </c>
      <c r="AB180" s="123">
        <v>0</v>
      </c>
      <c r="AC180" s="320">
        <f>AB180-T180</f>
        <v>-1425.4499999999998</v>
      </c>
      <c r="AI180" s="123">
        <v>0</v>
      </c>
      <c r="AJ180" s="320">
        <f t="shared" si="43"/>
        <v>1425.4499999999998</v>
      </c>
    </row>
    <row r="181" spans="1:36" hidden="1" x14ac:dyDescent="0.35">
      <c r="A181" s="197">
        <v>3303361</v>
      </c>
      <c r="B181" s="197">
        <v>3361</v>
      </c>
      <c r="C181" s="197" t="s">
        <v>361</v>
      </c>
      <c r="D181" s="198" t="s">
        <v>27</v>
      </c>
      <c r="E181" s="198"/>
      <c r="F181" s="197"/>
      <c r="G181" s="199">
        <v>75</v>
      </c>
      <c r="H181" s="199">
        <v>75</v>
      </c>
      <c r="I181" s="199">
        <v>30</v>
      </c>
      <c r="J181" s="199">
        <v>75</v>
      </c>
      <c r="K181" s="199">
        <v>75</v>
      </c>
      <c r="L181" s="199">
        <v>30</v>
      </c>
      <c r="M181" s="315">
        <v>42.631578947368425</v>
      </c>
      <c r="N181" s="315">
        <v>108.94736842105263</v>
      </c>
      <c r="O181" s="315">
        <v>71.05263157894737</v>
      </c>
      <c r="P181" s="316">
        <f t="shared" si="38"/>
        <v>1501.5631578947368</v>
      </c>
      <c r="Q181" s="316">
        <f t="shared" si="39"/>
        <v>944.6368421052631</v>
      </c>
      <c r="R181" s="316">
        <f t="shared" si="40"/>
        <v>130.61052631578949</v>
      </c>
      <c r="S181" s="317">
        <f t="shared" si="41"/>
        <v>2576.8105263157895</v>
      </c>
      <c r="T181" s="318">
        <f t="shared" si="49"/>
        <v>908.7</v>
      </c>
      <c r="U181" s="319">
        <f t="shared" si="36"/>
        <v>908.7</v>
      </c>
      <c r="V181" s="319">
        <f t="shared" si="37"/>
        <v>759.41052631578941</v>
      </c>
      <c r="X181" s="320">
        <f t="shared" si="42"/>
        <v>726.96</v>
      </c>
      <c r="Y181" s="320">
        <f t="shared" si="42"/>
        <v>726.96</v>
      </c>
      <c r="Z181" s="320">
        <f t="shared" si="42"/>
        <v>607.52842105263153</v>
      </c>
      <c r="AB181" s="123" t="s">
        <v>150</v>
      </c>
      <c r="AI181" s="123">
        <v>840.45</v>
      </c>
      <c r="AJ181" s="320">
        <f t="shared" si="43"/>
        <v>68.25</v>
      </c>
    </row>
    <row r="182" spans="1:36" hidden="1" x14ac:dyDescent="0.35">
      <c r="A182" s="197">
        <v>3303363</v>
      </c>
      <c r="B182" s="197">
        <v>3363</v>
      </c>
      <c r="C182" s="197" t="s">
        <v>362</v>
      </c>
      <c r="D182" s="198" t="s">
        <v>27</v>
      </c>
      <c r="E182" s="198"/>
      <c r="F182" s="197"/>
      <c r="G182" s="199">
        <v>45</v>
      </c>
      <c r="H182" s="199">
        <v>0</v>
      </c>
      <c r="I182" s="199">
        <v>45</v>
      </c>
      <c r="J182" s="199">
        <v>45</v>
      </c>
      <c r="K182" s="199">
        <v>0</v>
      </c>
      <c r="L182" s="199">
        <v>45</v>
      </c>
      <c r="M182" s="315">
        <v>33.157894736842103</v>
      </c>
      <c r="N182" s="315">
        <v>0</v>
      </c>
      <c r="O182" s="315">
        <v>33.157894736842103</v>
      </c>
      <c r="P182" s="316">
        <f t="shared" si="38"/>
        <v>956.41578947368407</v>
      </c>
      <c r="Q182" s="316">
        <f t="shared" si="39"/>
        <v>0</v>
      </c>
      <c r="R182" s="316">
        <f t="shared" si="40"/>
        <v>125.43157894736842</v>
      </c>
      <c r="S182" s="317">
        <f t="shared" si="41"/>
        <v>1081.8473684210526</v>
      </c>
      <c r="T182" s="318">
        <f t="shared" si="49"/>
        <v>403.65</v>
      </c>
      <c r="U182" s="319">
        <f t="shared" si="36"/>
        <v>403.65</v>
      </c>
      <c r="V182" s="319">
        <f t="shared" si="37"/>
        <v>274.54736842105257</v>
      </c>
      <c r="X182" s="320">
        <f t="shared" si="42"/>
        <v>322.92</v>
      </c>
      <c r="Y182" s="320">
        <f t="shared" si="42"/>
        <v>322.92</v>
      </c>
      <c r="Z182" s="320">
        <f t="shared" si="42"/>
        <v>219.63789473684207</v>
      </c>
      <c r="AB182" s="123" t="s">
        <v>144</v>
      </c>
      <c r="AI182" s="123">
        <v>269.10000000000002</v>
      </c>
      <c r="AJ182" s="320">
        <f t="shared" si="43"/>
        <v>134.54999999999995</v>
      </c>
    </row>
    <row r="183" spans="1:36" hidden="1" x14ac:dyDescent="0.35">
      <c r="A183" s="197">
        <v>3303366</v>
      </c>
      <c r="B183" s="197">
        <v>3366</v>
      </c>
      <c r="C183" s="197" t="s">
        <v>363</v>
      </c>
      <c r="D183" s="198" t="s">
        <v>49</v>
      </c>
      <c r="E183" s="198"/>
      <c r="F183" s="197"/>
      <c r="G183" s="199">
        <v>60</v>
      </c>
      <c r="H183" s="199">
        <v>30</v>
      </c>
      <c r="I183" s="199">
        <v>15</v>
      </c>
      <c r="J183" s="199">
        <v>45</v>
      </c>
      <c r="K183" s="199">
        <v>30</v>
      </c>
      <c r="L183" s="199">
        <v>0</v>
      </c>
      <c r="M183" s="315">
        <v>71.05263157894737</v>
      </c>
      <c r="N183" s="315">
        <v>33.157894736842103</v>
      </c>
      <c r="O183" s="315">
        <v>0</v>
      </c>
      <c r="P183" s="316">
        <f t="shared" si="38"/>
        <v>1352.7552631578947</v>
      </c>
      <c r="Q183" s="316">
        <f t="shared" si="39"/>
        <v>341.58947368421047</v>
      </c>
      <c r="R183" s="316">
        <f t="shared" si="40"/>
        <v>15.6</v>
      </c>
      <c r="S183" s="317">
        <f t="shared" si="41"/>
        <v>1709.9447368421052</v>
      </c>
      <c r="T183" s="318">
        <f t="shared" si="49"/>
        <v>604.5</v>
      </c>
      <c r="U183" s="319">
        <f t="shared" si="36"/>
        <v>469.94999999999993</v>
      </c>
      <c r="V183" s="319">
        <f t="shared" si="37"/>
        <v>635.49473684210534</v>
      </c>
      <c r="X183" s="320">
        <f t="shared" si="42"/>
        <v>483.6</v>
      </c>
      <c r="Y183" s="320">
        <f t="shared" si="42"/>
        <v>375.96</v>
      </c>
      <c r="Z183" s="320">
        <f t="shared" si="42"/>
        <v>508.39578947368432</v>
      </c>
      <c r="AB183" s="123">
        <v>883.34999999999991</v>
      </c>
      <c r="AC183" s="320">
        <f>AB183-T183</f>
        <v>278.84999999999991</v>
      </c>
      <c r="AI183" s="123">
        <v>883.34999999999991</v>
      </c>
      <c r="AJ183" s="320">
        <f t="shared" si="43"/>
        <v>-278.84999999999991</v>
      </c>
    </row>
    <row r="184" spans="1:36" hidden="1" x14ac:dyDescent="0.35">
      <c r="A184" s="197">
        <v>3303367</v>
      </c>
      <c r="B184" s="197">
        <v>3367</v>
      </c>
      <c r="C184" s="197" t="s">
        <v>364</v>
      </c>
      <c r="D184" s="198" t="s">
        <v>27</v>
      </c>
      <c r="E184" s="198"/>
      <c r="F184" s="197"/>
      <c r="G184" s="199">
        <v>180</v>
      </c>
      <c r="H184" s="199">
        <v>30</v>
      </c>
      <c r="I184" s="199">
        <v>15</v>
      </c>
      <c r="J184" s="199">
        <v>180</v>
      </c>
      <c r="K184" s="199">
        <v>30</v>
      </c>
      <c r="L184" s="199">
        <v>30</v>
      </c>
      <c r="M184" s="315">
        <v>198.9473684210526</v>
      </c>
      <c r="N184" s="315">
        <v>9.473684210526315</v>
      </c>
      <c r="O184" s="315">
        <v>56.84210526315789</v>
      </c>
      <c r="P184" s="316">
        <f t="shared" si="38"/>
        <v>4311.0947368421048</v>
      </c>
      <c r="Q184" s="316">
        <f t="shared" si="39"/>
        <v>259.16842105263157</v>
      </c>
      <c r="R184" s="316">
        <f t="shared" si="40"/>
        <v>101.36842105263158</v>
      </c>
      <c r="S184" s="317">
        <f t="shared" si="41"/>
        <v>4671.6315789473683</v>
      </c>
      <c r="T184" s="318">
        <f t="shared" si="49"/>
        <v>1556.0999999999997</v>
      </c>
      <c r="U184" s="319">
        <f t="shared" si="36"/>
        <v>1571.6999999999998</v>
      </c>
      <c r="V184" s="319">
        <f t="shared" si="37"/>
        <v>1543.8315789473681</v>
      </c>
      <c r="X184" s="320">
        <f t="shared" si="42"/>
        <v>1244.8799999999999</v>
      </c>
      <c r="Y184" s="320">
        <f t="shared" si="42"/>
        <v>1257.3599999999999</v>
      </c>
      <c r="Z184" s="320">
        <f t="shared" si="42"/>
        <v>1235.0652631578946</v>
      </c>
      <c r="AB184" s="123" t="s">
        <v>146</v>
      </c>
      <c r="AI184" s="123">
        <v>1862.25</v>
      </c>
      <c r="AJ184" s="320">
        <f t="shared" si="43"/>
        <v>-306.15000000000032</v>
      </c>
    </row>
    <row r="185" spans="1:36" hidden="1" x14ac:dyDescent="0.35">
      <c r="A185" s="197">
        <v>3303372</v>
      </c>
      <c r="B185" s="197">
        <v>3372</v>
      </c>
      <c r="C185" s="197" t="s">
        <v>365</v>
      </c>
      <c r="D185" s="198" t="s">
        <v>27</v>
      </c>
      <c r="E185" s="198"/>
      <c r="F185" s="197"/>
      <c r="G185" s="199">
        <v>120</v>
      </c>
      <c r="H185" s="199">
        <v>105</v>
      </c>
      <c r="I185" s="199">
        <v>285</v>
      </c>
      <c r="J185" s="199">
        <v>120</v>
      </c>
      <c r="K185" s="199">
        <v>120</v>
      </c>
      <c r="L185" s="199">
        <v>270</v>
      </c>
      <c r="M185" s="315">
        <v>108.94736842105263</v>
      </c>
      <c r="N185" s="315">
        <v>94.73684210526315</v>
      </c>
      <c r="O185" s="315">
        <v>350.52631578947364</v>
      </c>
      <c r="P185" s="316">
        <f t="shared" si="38"/>
        <v>2700.6947368421052</v>
      </c>
      <c r="Q185" s="316">
        <f t="shared" si="39"/>
        <v>1177.9342105263158</v>
      </c>
      <c r="R185" s="316">
        <f t="shared" si="40"/>
        <v>913.70526315789471</v>
      </c>
      <c r="S185" s="317">
        <f t="shared" si="41"/>
        <v>4792.3342105263155</v>
      </c>
      <c r="T185" s="318">
        <f t="shared" si="49"/>
        <v>1643.8500000000001</v>
      </c>
      <c r="U185" s="319">
        <f t="shared" si="36"/>
        <v>1684.8</v>
      </c>
      <c r="V185" s="319">
        <f t="shared" si="37"/>
        <v>1463.6842105263158</v>
      </c>
      <c r="X185" s="320">
        <f t="shared" si="42"/>
        <v>1315.0800000000002</v>
      </c>
      <c r="Y185" s="320">
        <f t="shared" si="42"/>
        <v>1347.8400000000001</v>
      </c>
      <c r="Z185" s="320">
        <f t="shared" si="42"/>
        <v>1170.9473684210527</v>
      </c>
      <c r="AB185" s="123" t="s">
        <v>138</v>
      </c>
      <c r="AI185" s="123">
        <v>1624.35</v>
      </c>
      <c r="AJ185" s="320">
        <f t="shared" si="43"/>
        <v>19.500000000000227</v>
      </c>
    </row>
    <row r="186" spans="1:36" hidden="1" x14ac:dyDescent="0.35">
      <c r="A186" s="197">
        <v>3303377</v>
      </c>
      <c r="B186" s="197">
        <v>3377</v>
      </c>
      <c r="C186" s="197" t="s">
        <v>366</v>
      </c>
      <c r="D186" s="198" t="s">
        <v>27</v>
      </c>
      <c r="E186" s="198"/>
      <c r="F186" s="197"/>
      <c r="G186" s="199">
        <v>210</v>
      </c>
      <c r="H186" s="199">
        <v>45</v>
      </c>
      <c r="I186" s="199">
        <v>0</v>
      </c>
      <c r="J186" s="199">
        <v>165</v>
      </c>
      <c r="K186" s="199">
        <v>30</v>
      </c>
      <c r="L186" s="199">
        <v>0</v>
      </c>
      <c r="M186" s="315">
        <v>156.31578947368422</v>
      </c>
      <c r="N186" s="315">
        <v>61.578947368421055</v>
      </c>
      <c r="O186" s="315">
        <v>0</v>
      </c>
      <c r="P186" s="316">
        <f t="shared" si="38"/>
        <v>4117.9815789473687</v>
      </c>
      <c r="Q186" s="316">
        <f t="shared" si="39"/>
        <v>497.04473684210529</v>
      </c>
      <c r="R186" s="316">
        <f t="shared" si="40"/>
        <v>0</v>
      </c>
      <c r="S186" s="317">
        <f t="shared" si="41"/>
        <v>4615.0263157894742</v>
      </c>
      <c r="T186" s="318">
        <f t="shared" si="49"/>
        <v>1834.9499999999998</v>
      </c>
      <c r="U186" s="319">
        <f t="shared" si="36"/>
        <v>1421.5499999999997</v>
      </c>
      <c r="V186" s="319">
        <f t="shared" si="37"/>
        <v>1358.5263157894738</v>
      </c>
      <c r="X186" s="320">
        <f t="shared" si="42"/>
        <v>1467.96</v>
      </c>
      <c r="Y186" s="320">
        <f t="shared" si="42"/>
        <v>1137.2399999999998</v>
      </c>
      <c r="Z186" s="320">
        <f t="shared" si="42"/>
        <v>1086.8210526315791</v>
      </c>
      <c r="AB186" s="123" t="s">
        <v>148</v>
      </c>
      <c r="AI186" s="123">
        <v>1885.65</v>
      </c>
      <c r="AJ186" s="320">
        <f t="shared" si="43"/>
        <v>-50.700000000000273</v>
      </c>
    </row>
    <row r="187" spans="1:36" hidden="1" x14ac:dyDescent="0.35">
      <c r="A187" s="197">
        <v>3303386</v>
      </c>
      <c r="B187" s="197">
        <v>3386</v>
      </c>
      <c r="C187" s="197" t="s">
        <v>143</v>
      </c>
      <c r="D187" s="198" t="s">
        <v>27</v>
      </c>
      <c r="E187" s="198"/>
      <c r="F187" s="197"/>
      <c r="G187" s="199">
        <v>30</v>
      </c>
      <c r="H187" s="199">
        <v>270</v>
      </c>
      <c r="I187" s="199">
        <v>60</v>
      </c>
      <c r="J187" s="199">
        <v>15</v>
      </c>
      <c r="K187" s="199">
        <v>255</v>
      </c>
      <c r="L187" s="199">
        <v>30</v>
      </c>
      <c r="M187" s="315">
        <v>47.368421052631575</v>
      </c>
      <c r="N187" s="315">
        <v>222.63157894736844</v>
      </c>
      <c r="O187" s="315">
        <v>56.84210526315789</v>
      </c>
      <c r="P187" s="316">
        <f t="shared" si="38"/>
        <v>703.58684210526314</v>
      </c>
      <c r="Q187" s="316">
        <f t="shared" si="39"/>
        <v>2754.007894736842</v>
      </c>
      <c r="R187" s="316">
        <f t="shared" si="40"/>
        <v>148.16842105263157</v>
      </c>
      <c r="S187" s="317">
        <f t="shared" si="41"/>
        <v>3605.7631578947367</v>
      </c>
      <c r="T187" s="318">
        <f t="shared" si="49"/>
        <v>1318.2</v>
      </c>
      <c r="U187" s="319">
        <f t="shared" si="36"/>
        <v>1111.5</v>
      </c>
      <c r="V187" s="319">
        <f t="shared" si="37"/>
        <v>1176.0631578947368</v>
      </c>
      <c r="X187" s="320">
        <f t="shared" si="42"/>
        <v>1054.5600000000002</v>
      </c>
      <c r="Y187" s="320">
        <f t="shared" si="42"/>
        <v>889.2</v>
      </c>
      <c r="Z187" s="320">
        <f t="shared" si="42"/>
        <v>940.85052631578947</v>
      </c>
      <c r="AB187" s="123" t="s">
        <v>142</v>
      </c>
      <c r="AI187" s="123">
        <v>1577.55</v>
      </c>
      <c r="AJ187" s="320">
        <f t="shared" si="43"/>
        <v>-259.34999999999991</v>
      </c>
    </row>
    <row r="188" spans="1:36" hidden="1" x14ac:dyDescent="0.35">
      <c r="A188" s="197">
        <v>3303406</v>
      </c>
      <c r="B188" s="197">
        <v>3406</v>
      </c>
      <c r="C188" s="197" t="s">
        <v>367</v>
      </c>
      <c r="D188" s="198" t="s">
        <v>245</v>
      </c>
      <c r="E188" s="198"/>
      <c r="F188" s="197"/>
      <c r="G188" s="199">
        <v>15</v>
      </c>
      <c r="H188" s="199">
        <v>195</v>
      </c>
      <c r="I188" s="199">
        <v>75</v>
      </c>
      <c r="J188" s="199">
        <v>15</v>
      </c>
      <c r="K188" s="199">
        <v>180</v>
      </c>
      <c r="L188" s="199">
        <v>45</v>
      </c>
      <c r="M188" s="315">
        <v>9.473684210526315</v>
      </c>
      <c r="N188" s="315">
        <v>137.36842105263159</v>
      </c>
      <c r="O188" s="315">
        <v>52.10526315789474</v>
      </c>
      <c r="P188" s="316">
        <f t="shared" si="38"/>
        <v>307.24736842105267</v>
      </c>
      <c r="Q188" s="316">
        <f t="shared" si="39"/>
        <v>1891.792105263158</v>
      </c>
      <c r="R188" s="316">
        <f t="shared" si="40"/>
        <v>174.82105263157897</v>
      </c>
      <c r="S188" s="317">
        <f t="shared" si="41"/>
        <v>2373.8605263157897</v>
      </c>
      <c r="T188" s="318">
        <f t="shared" si="49"/>
        <v>932.1</v>
      </c>
      <c r="U188" s="319">
        <f t="shared" si="36"/>
        <v>844.34999999999991</v>
      </c>
      <c r="V188" s="319">
        <f t="shared" si="37"/>
        <v>597.41052631578953</v>
      </c>
      <c r="X188" s="320">
        <f t="shared" si="42"/>
        <v>745.68000000000006</v>
      </c>
      <c r="Y188" s="320">
        <f t="shared" si="42"/>
        <v>675.48</v>
      </c>
      <c r="Z188" s="320">
        <f t="shared" si="42"/>
        <v>477.92842105263162</v>
      </c>
      <c r="AB188" s="123" t="s">
        <v>210</v>
      </c>
      <c r="AI188" s="123">
        <v>633.75</v>
      </c>
      <c r="AJ188" s="320">
        <f t="shared" si="43"/>
        <v>298.35000000000002</v>
      </c>
    </row>
    <row r="189" spans="1:36" hidden="1" x14ac:dyDescent="0.35">
      <c r="A189" s="197">
        <v>3303411</v>
      </c>
      <c r="B189" s="197">
        <v>3411</v>
      </c>
      <c r="C189" s="197" t="s">
        <v>368</v>
      </c>
      <c r="D189" s="198" t="s">
        <v>27</v>
      </c>
      <c r="E189" s="198"/>
      <c r="F189" s="197"/>
      <c r="G189" s="199">
        <v>510</v>
      </c>
      <c r="H189" s="199">
        <v>60</v>
      </c>
      <c r="I189" s="199">
        <v>0</v>
      </c>
      <c r="J189" s="199">
        <v>420</v>
      </c>
      <c r="K189" s="199">
        <v>45</v>
      </c>
      <c r="L189" s="199">
        <v>0</v>
      </c>
      <c r="M189" s="315">
        <v>440.52631578947364</v>
      </c>
      <c r="N189" s="315">
        <v>28.421052631578945</v>
      </c>
      <c r="O189" s="315">
        <v>18.94736842105263</v>
      </c>
      <c r="P189" s="316">
        <f t="shared" si="38"/>
        <v>10599.552631578947</v>
      </c>
      <c r="Q189" s="316">
        <f t="shared" si="39"/>
        <v>494.75526315789466</v>
      </c>
      <c r="R189" s="316">
        <f t="shared" si="40"/>
        <v>18.189473684210526</v>
      </c>
      <c r="S189" s="317">
        <f t="shared" si="41"/>
        <v>11112.497368421053</v>
      </c>
      <c r="T189" s="318">
        <f t="shared" si="49"/>
        <v>4270.5</v>
      </c>
      <c r="U189" s="319">
        <f t="shared" si="36"/>
        <v>3500.25</v>
      </c>
      <c r="V189" s="319">
        <f t="shared" si="37"/>
        <v>3341.7473684210522</v>
      </c>
      <c r="X189" s="320">
        <f t="shared" si="42"/>
        <v>3416.4</v>
      </c>
      <c r="Y189" s="320">
        <f t="shared" si="42"/>
        <v>2800.2000000000003</v>
      </c>
      <c r="Z189" s="320">
        <f t="shared" si="42"/>
        <v>2673.3978947368419</v>
      </c>
      <c r="AB189" s="123" t="s">
        <v>92</v>
      </c>
      <c r="AI189" s="123">
        <v>4188.5999999999995</v>
      </c>
      <c r="AJ189" s="320">
        <f t="shared" si="43"/>
        <v>81.900000000000546</v>
      </c>
    </row>
    <row r="190" spans="1:36" hidden="1" x14ac:dyDescent="0.35">
      <c r="A190" s="197">
        <v>3303412</v>
      </c>
      <c r="B190" s="197">
        <v>3412</v>
      </c>
      <c r="C190" s="197" t="s">
        <v>369</v>
      </c>
      <c r="D190" s="198" t="s">
        <v>49</v>
      </c>
      <c r="E190" s="198"/>
      <c r="F190" s="197"/>
      <c r="G190" s="199">
        <v>360</v>
      </c>
      <c r="H190" s="199">
        <v>540</v>
      </c>
      <c r="I190" s="199">
        <v>45</v>
      </c>
      <c r="J190" s="199">
        <v>195</v>
      </c>
      <c r="K190" s="199">
        <v>420</v>
      </c>
      <c r="L190" s="199">
        <v>30</v>
      </c>
      <c r="M190" s="315">
        <v>246.31578947368422</v>
      </c>
      <c r="N190" s="315">
        <v>374.21052631578948</v>
      </c>
      <c r="O190" s="315">
        <v>23.684210526315788</v>
      </c>
      <c r="P190" s="316">
        <f t="shared" si="38"/>
        <v>6204.1815789473676</v>
      </c>
      <c r="Q190" s="316">
        <f t="shared" si="39"/>
        <v>4921.4526315789471</v>
      </c>
      <c r="R190" s="316">
        <f t="shared" si="40"/>
        <v>100.73684210526315</v>
      </c>
      <c r="S190" s="317">
        <f t="shared" si="41"/>
        <v>11226.371052631577</v>
      </c>
      <c r="T190" s="318">
        <f t="shared" si="49"/>
        <v>4937.3999999999996</v>
      </c>
      <c r="U190" s="319">
        <f t="shared" si="36"/>
        <v>3160.95</v>
      </c>
      <c r="V190" s="319">
        <f t="shared" si="37"/>
        <v>3128.0210526315791</v>
      </c>
      <c r="X190" s="320">
        <f t="shared" si="42"/>
        <v>3949.92</v>
      </c>
      <c r="Y190" s="320">
        <f t="shared" si="42"/>
        <v>2528.7600000000002</v>
      </c>
      <c r="Z190" s="320">
        <f t="shared" si="42"/>
        <v>2502.4168421052636</v>
      </c>
      <c r="AB190" s="123">
        <v>3999.45</v>
      </c>
      <c r="AC190" s="320">
        <f>AB190-T190</f>
        <v>-937.94999999999982</v>
      </c>
      <c r="AI190" s="123">
        <v>3999.45</v>
      </c>
      <c r="AJ190" s="320">
        <f t="shared" si="43"/>
        <v>937.94999999999982</v>
      </c>
    </row>
    <row r="191" spans="1:36" hidden="1" x14ac:dyDescent="0.35">
      <c r="A191" s="197">
        <v>3303428</v>
      </c>
      <c r="B191" s="197">
        <v>3428</v>
      </c>
      <c r="C191" s="197" t="s">
        <v>370</v>
      </c>
      <c r="D191" s="198" t="s">
        <v>27</v>
      </c>
      <c r="E191" s="198"/>
      <c r="F191" s="197"/>
      <c r="G191" s="199">
        <v>15</v>
      </c>
      <c r="H191" s="199">
        <v>30</v>
      </c>
      <c r="I191" s="199">
        <v>15</v>
      </c>
      <c r="J191" s="199">
        <v>15</v>
      </c>
      <c r="K191" s="199">
        <v>30</v>
      </c>
      <c r="L191" s="199">
        <v>15</v>
      </c>
      <c r="M191" s="315">
        <v>23.684210526315788</v>
      </c>
      <c r="N191" s="315">
        <v>42.631578947368425</v>
      </c>
      <c r="O191" s="315">
        <v>14.210526315789473</v>
      </c>
      <c r="P191" s="316">
        <f t="shared" si="38"/>
        <v>411.26842105263154</v>
      </c>
      <c r="Q191" s="316">
        <f t="shared" si="39"/>
        <v>374.55789473684206</v>
      </c>
      <c r="R191" s="316">
        <f t="shared" si="40"/>
        <v>44.84210526315789</v>
      </c>
      <c r="S191" s="317">
        <f t="shared" si="41"/>
        <v>830.66842105263152</v>
      </c>
      <c r="T191" s="318">
        <f t="shared" si="49"/>
        <v>247.65</v>
      </c>
      <c r="U191" s="319">
        <f t="shared" si="36"/>
        <v>247.65</v>
      </c>
      <c r="V191" s="319">
        <f t="shared" si="37"/>
        <v>335.36842105263156</v>
      </c>
      <c r="X191" s="320">
        <f t="shared" si="42"/>
        <v>198.12</v>
      </c>
      <c r="Y191" s="320">
        <f t="shared" si="42"/>
        <v>198.12</v>
      </c>
      <c r="Z191" s="320">
        <f t="shared" si="42"/>
        <v>268.29473684210524</v>
      </c>
      <c r="AB191" s="123" t="s">
        <v>152</v>
      </c>
      <c r="AI191" s="123">
        <v>423.15</v>
      </c>
      <c r="AJ191" s="320">
        <f t="shared" si="43"/>
        <v>-175.49999999999997</v>
      </c>
    </row>
    <row r="192" spans="1:36" hidden="1" x14ac:dyDescent="0.35">
      <c r="A192" s="197">
        <v>3303431</v>
      </c>
      <c r="B192" s="197">
        <v>3431</v>
      </c>
      <c r="C192" s="197" t="s">
        <v>199</v>
      </c>
      <c r="D192" s="198" t="s">
        <v>245</v>
      </c>
      <c r="E192" s="198"/>
      <c r="F192" s="197"/>
      <c r="G192" s="199">
        <v>75</v>
      </c>
      <c r="H192" s="199">
        <v>15</v>
      </c>
      <c r="I192" s="199">
        <v>45</v>
      </c>
      <c r="J192" s="199">
        <v>75</v>
      </c>
      <c r="K192" s="199">
        <v>15</v>
      </c>
      <c r="L192" s="199">
        <v>45</v>
      </c>
      <c r="M192" s="315">
        <v>90</v>
      </c>
      <c r="N192" s="315">
        <v>14.210526315789473</v>
      </c>
      <c r="O192" s="315">
        <v>23.684210526315788</v>
      </c>
      <c r="P192" s="316">
        <f t="shared" si="38"/>
        <v>1848.3</v>
      </c>
      <c r="Q192" s="316">
        <f t="shared" si="39"/>
        <v>162.55263157894734</v>
      </c>
      <c r="R192" s="316">
        <f t="shared" si="40"/>
        <v>116.33684210526317</v>
      </c>
      <c r="S192" s="317">
        <f t="shared" si="41"/>
        <v>2127.1894736842105</v>
      </c>
      <c r="T192" s="318">
        <f t="shared" si="49"/>
        <v>698.09999999999991</v>
      </c>
      <c r="U192" s="319">
        <f t="shared" si="36"/>
        <v>698.09999999999991</v>
      </c>
      <c r="V192" s="319">
        <f t="shared" si="37"/>
        <v>730.98947368421045</v>
      </c>
      <c r="X192" s="320">
        <f t="shared" si="42"/>
        <v>558.4799999999999</v>
      </c>
      <c r="Y192" s="320">
        <f t="shared" si="42"/>
        <v>558.4799999999999</v>
      </c>
      <c r="Z192" s="320">
        <f t="shared" si="42"/>
        <v>584.79157894736841</v>
      </c>
      <c r="AB192" s="123" t="s">
        <v>198</v>
      </c>
      <c r="AI192" s="123">
        <v>1023.75</v>
      </c>
      <c r="AJ192" s="320">
        <f t="shared" si="43"/>
        <v>-325.65000000000009</v>
      </c>
    </row>
    <row r="193" spans="1:36" hidden="1" x14ac:dyDescent="0.35">
      <c r="A193" s="197">
        <v>3303432</v>
      </c>
      <c r="B193" s="197">
        <v>3432</v>
      </c>
      <c r="C193" s="197" t="s">
        <v>63</v>
      </c>
      <c r="D193" s="198" t="s">
        <v>27</v>
      </c>
      <c r="E193" s="198"/>
      <c r="F193" s="197"/>
      <c r="G193" s="199">
        <v>435</v>
      </c>
      <c r="H193" s="199">
        <v>765.7</v>
      </c>
      <c r="I193" s="199">
        <v>60</v>
      </c>
      <c r="J193" s="199">
        <v>300</v>
      </c>
      <c r="K193" s="199">
        <v>565</v>
      </c>
      <c r="L193" s="199">
        <v>20</v>
      </c>
      <c r="M193" s="315">
        <v>331.57894736842104</v>
      </c>
      <c r="N193" s="315">
        <v>675.78947368421052</v>
      </c>
      <c r="O193" s="315">
        <v>77.368421052631589</v>
      </c>
      <c r="P193" s="316">
        <f t="shared" si="38"/>
        <v>8255.7078947368409</v>
      </c>
      <c r="Q193" s="316">
        <f t="shared" si="39"/>
        <v>7368.4863684210522</v>
      </c>
      <c r="R193" s="316">
        <f t="shared" si="40"/>
        <v>157.47368421052633</v>
      </c>
      <c r="S193" s="317">
        <f t="shared" si="41"/>
        <v>15781.66794736842</v>
      </c>
      <c r="T193" s="318">
        <f t="shared" si="49"/>
        <v>6398.6389999999992</v>
      </c>
      <c r="U193" s="319">
        <f t="shared" si="36"/>
        <v>4529.8499999999995</v>
      </c>
      <c r="V193" s="319">
        <f t="shared" si="37"/>
        <v>4853.1789473684203</v>
      </c>
      <c r="X193" s="320">
        <f t="shared" si="42"/>
        <v>5118.9111999999996</v>
      </c>
      <c r="Y193" s="320">
        <f t="shared" si="42"/>
        <v>3623.8799999999997</v>
      </c>
      <c r="Z193" s="320">
        <f t="shared" si="42"/>
        <v>3882.5431578947364</v>
      </c>
      <c r="AB193" s="123" t="s">
        <v>62</v>
      </c>
      <c r="AI193" s="123">
        <v>6405.7499999999991</v>
      </c>
      <c r="AJ193" s="320">
        <f t="shared" si="43"/>
        <v>-7.1109999999998763</v>
      </c>
    </row>
    <row r="194" spans="1:36" hidden="1" x14ac:dyDescent="0.35">
      <c r="A194" s="197">
        <v>3303433</v>
      </c>
      <c r="B194" s="197">
        <v>3433</v>
      </c>
      <c r="C194" s="197" t="s">
        <v>371</v>
      </c>
      <c r="D194" s="198" t="s">
        <v>49</v>
      </c>
      <c r="E194" s="198"/>
      <c r="F194" s="197"/>
      <c r="G194" s="199">
        <v>105</v>
      </c>
      <c r="H194" s="199">
        <v>45</v>
      </c>
      <c r="I194" s="199">
        <v>120</v>
      </c>
      <c r="J194" s="199">
        <v>120</v>
      </c>
      <c r="K194" s="199">
        <v>45</v>
      </c>
      <c r="L194" s="199">
        <v>135</v>
      </c>
      <c r="M194" s="315">
        <v>161.05263157894737</v>
      </c>
      <c r="N194" s="315">
        <v>52.10526315789474</v>
      </c>
      <c r="O194" s="315">
        <v>104.21052631578948</v>
      </c>
      <c r="P194" s="316">
        <f t="shared" si="38"/>
        <v>2963.1552631578948</v>
      </c>
      <c r="Q194" s="316">
        <f t="shared" si="39"/>
        <v>520.62631578947367</v>
      </c>
      <c r="R194" s="316">
        <f t="shared" si="40"/>
        <v>365.2421052631579</v>
      </c>
      <c r="S194" s="317">
        <f t="shared" si="41"/>
        <v>3849.0236842105264</v>
      </c>
      <c r="T194" s="318">
        <f t="shared" si="49"/>
        <v>1127.0999999999999</v>
      </c>
      <c r="U194" s="319">
        <f t="shared" si="36"/>
        <v>1261.6500000000001</v>
      </c>
      <c r="V194" s="319">
        <f t="shared" si="37"/>
        <v>1460.2736842105264</v>
      </c>
      <c r="X194" s="320">
        <f t="shared" si="42"/>
        <v>901.68</v>
      </c>
      <c r="Y194" s="320">
        <f t="shared" si="42"/>
        <v>1009.3200000000002</v>
      </c>
      <c r="Z194" s="320">
        <f t="shared" si="42"/>
        <v>1168.2189473684211</v>
      </c>
      <c r="AB194" s="123">
        <v>1866.15</v>
      </c>
      <c r="AC194" s="320">
        <f t="shared" ref="AC194:AC198" si="50">AB194-T194</f>
        <v>739.05000000000018</v>
      </c>
      <c r="AI194" s="123">
        <v>1866.15</v>
      </c>
      <c r="AJ194" s="320">
        <f t="shared" si="43"/>
        <v>-739.05000000000018</v>
      </c>
    </row>
    <row r="195" spans="1:36" hidden="1" x14ac:dyDescent="0.35">
      <c r="A195" s="197">
        <v>3304001</v>
      </c>
      <c r="B195" s="197">
        <v>4001</v>
      </c>
      <c r="C195" s="197" t="s">
        <v>372</v>
      </c>
      <c r="D195" s="198" t="s">
        <v>49</v>
      </c>
      <c r="E195" s="198"/>
      <c r="F195" s="197"/>
      <c r="G195" s="199">
        <v>210</v>
      </c>
      <c r="H195" s="199">
        <v>135</v>
      </c>
      <c r="I195" s="199">
        <v>0</v>
      </c>
      <c r="J195" s="199">
        <v>180</v>
      </c>
      <c r="K195" s="199">
        <v>105</v>
      </c>
      <c r="L195" s="199">
        <v>0</v>
      </c>
      <c r="M195" s="315">
        <v>222.63157894736844</v>
      </c>
      <c r="N195" s="315">
        <v>85.26315789473685</v>
      </c>
      <c r="O195" s="315">
        <v>0</v>
      </c>
      <c r="P195" s="316">
        <f t="shared" si="38"/>
        <v>4722.363157894737</v>
      </c>
      <c r="Q195" s="316">
        <f t="shared" si="39"/>
        <v>1201.5157894736842</v>
      </c>
      <c r="R195" s="316">
        <f t="shared" si="40"/>
        <v>0</v>
      </c>
      <c r="S195" s="317">
        <f t="shared" si="41"/>
        <v>5923.878947368421</v>
      </c>
      <c r="T195" s="318">
        <f t="shared" si="49"/>
        <v>2174.25</v>
      </c>
      <c r="U195" s="319">
        <f t="shared" si="36"/>
        <v>1823.2499999999998</v>
      </c>
      <c r="V195" s="319">
        <f t="shared" si="37"/>
        <v>1926.3789473684214</v>
      </c>
      <c r="X195" s="320">
        <f t="shared" si="42"/>
        <v>1739.4</v>
      </c>
      <c r="Y195" s="320">
        <f t="shared" si="42"/>
        <v>1458.6</v>
      </c>
      <c r="Z195" s="320">
        <f t="shared" si="42"/>
        <v>1541.1031578947373</v>
      </c>
      <c r="AB195" s="123">
        <v>2480.3999999999996</v>
      </c>
      <c r="AC195" s="320">
        <f t="shared" si="50"/>
        <v>306.14999999999964</v>
      </c>
      <c r="AI195" s="123">
        <v>2480.3999999999996</v>
      </c>
      <c r="AJ195" s="320">
        <f t="shared" si="43"/>
        <v>-306.14999999999964</v>
      </c>
    </row>
    <row r="196" spans="1:36" hidden="1" x14ac:dyDescent="0.35">
      <c r="A196" s="197">
        <v>3304019</v>
      </c>
      <c r="B196" s="197">
        <v>4019</v>
      </c>
      <c r="C196" s="197" t="s">
        <v>373</v>
      </c>
      <c r="D196" s="198" t="s">
        <v>49</v>
      </c>
      <c r="E196" s="198"/>
      <c r="F196" s="197"/>
      <c r="G196" s="199">
        <v>15</v>
      </c>
      <c r="H196" s="199">
        <v>75</v>
      </c>
      <c r="I196" s="199">
        <v>915</v>
      </c>
      <c r="J196" s="199">
        <v>0</v>
      </c>
      <c r="K196" s="199">
        <v>15</v>
      </c>
      <c r="L196" s="199">
        <v>600</v>
      </c>
      <c r="M196" s="315">
        <v>4.7368421052631575</v>
      </c>
      <c r="N196" s="315">
        <v>4.7368421052631575</v>
      </c>
      <c r="O196" s="315">
        <v>696.31578947368416</v>
      </c>
      <c r="P196" s="316">
        <f t="shared" si="38"/>
        <v>153.62368421052633</v>
      </c>
      <c r="Q196" s="316">
        <f t="shared" si="39"/>
        <v>355.7842105263158</v>
      </c>
      <c r="R196" s="316">
        <f t="shared" si="40"/>
        <v>2244.0631578947368</v>
      </c>
      <c r="S196" s="317">
        <f t="shared" si="41"/>
        <v>2753.4710526315789</v>
      </c>
      <c r="T196" s="318">
        <f t="shared" si="49"/>
        <v>1353.3</v>
      </c>
      <c r="U196" s="319">
        <f t="shared" si="36"/>
        <v>680.55</v>
      </c>
      <c r="V196" s="319">
        <f t="shared" si="37"/>
        <v>719.62105263157889</v>
      </c>
      <c r="X196" s="320">
        <f t="shared" si="42"/>
        <v>1082.6400000000001</v>
      </c>
      <c r="Y196" s="320">
        <f t="shared" si="42"/>
        <v>544.43999999999994</v>
      </c>
      <c r="Z196" s="320">
        <f t="shared" si="42"/>
        <v>575.69684210526316</v>
      </c>
      <c r="AB196" s="123">
        <v>982.80000000000007</v>
      </c>
      <c r="AC196" s="320">
        <f t="shared" si="50"/>
        <v>-370.49999999999989</v>
      </c>
      <c r="AI196" s="123">
        <v>982.80000000000007</v>
      </c>
      <c r="AJ196" s="320">
        <f t="shared" si="43"/>
        <v>370.49999999999989</v>
      </c>
    </row>
    <row r="197" spans="1:36" hidden="1" x14ac:dyDescent="0.35">
      <c r="A197" s="197">
        <v>3304038</v>
      </c>
      <c r="B197" s="197">
        <v>4038</v>
      </c>
      <c r="C197" s="197" t="s">
        <v>374</v>
      </c>
      <c r="D197" s="198" t="s">
        <v>49</v>
      </c>
      <c r="E197" s="198"/>
      <c r="F197" s="197"/>
      <c r="G197" s="199">
        <v>165</v>
      </c>
      <c r="H197" s="199">
        <v>450</v>
      </c>
      <c r="I197" s="199">
        <v>1020</v>
      </c>
      <c r="J197" s="199">
        <v>120</v>
      </c>
      <c r="K197" s="199">
        <v>360</v>
      </c>
      <c r="L197" s="199">
        <v>855</v>
      </c>
      <c r="M197" s="315">
        <v>170.5263157894737</v>
      </c>
      <c r="N197" s="315">
        <v>369.47368421052636</v>
      </c>
      <c r="O197" s="315">
        <v>947.36842105263156</v>
      </c>
      <c r="P197" s="316">
        <f t="shared" si="38"/>
        <v>3508.3026315789471</v>
      </c>
      <c r="Q197" s="316">
        <f t="shared" si="39"/>
        <v>4339.4684210526311</v>
      </c>
      <c r="R197" s="316">
        <f t="shared" si="40"/>
        <v>2859.4736842105267</v>
      </c>
      <c r="S197" s="317">
        <f t="shared" si="41"/>
        <v>10707.244736842105</v>
      </c>
      <c r="T197" s="318">
        <f t="shared" si="49"/>
        <v>4065.75</v>
      </c>
      <c r="U197" s="319">
        <f t="shared" si="36"/>
        <v>3198</v>
      </c>
      <c r="V197" s="319">
        <f t="shared" si="37"/>
        <v>3443.4947368421049</v>
      </c>
      <c r="X197" s="320">
        <f t="shared" si="42"/>
        <v>3252.6000000000004</v>
      </c>
      <c r="Y197" s="320">
        <f t="shared" si="42"/>
        <v>2558.4</v>
      </c>
      <c r="Z197" s="320">
        <f t="shared" si="42"/>
        <v>2754.7957894736842</v>
      </c>
      <c r="AB197" s="123">
        <v>4377.75</v>
      </c>
      <c r="AC197" s="320">
        <f t="shared" si="50"/>
        <v>312</v>
      </c>
      <c r="AI197" s="123">
        <v>4377.75</v>
      </c>
      <c r="AJ197" s="320">
        <f t="shared" si="43"/>
        <v>-312</v>
      </c>
    </row>
    <row r="198" spans="1:36" hidden="1" x14ac:dyDescent="0.35">
      <c r="A198" s="197">
        <v>3305201</v>
      </c>
      <c r="B198" s="197">
        <v>5201</v>
      </c>
      <c r="C198" s="197" t="s">
        <v>375</v>
      </c>
      <c r="D198" s="198" t="s">
        <v>49</v>
      </c>
      <c r="E198" s="198"/>
      <c r="F198" s="197"/>
      <c r="G198" s="199">
        <v>0</v>
      </c>
      <c r="H198" s="199">
        <v>0</v>
      </c>
      <c r="I198" s="199">
        <v>15</v>
      </c>
      <c r="J198" s="199">
        <v>0</v>
      </c>
      <c r="K198" s="199">
        <v>0</v>
      </c>
      <c r="L198" s="199">
        <v>15</v>
      </c>
      <c r="M198" s="315">
        <v>0</v>
      </c>
      <c r="N198" s="315">
        <v>0</v>
      </c>
      <c r="O198" s="315">
        <v>4.7368421052631575</v>
      </c>
      <c r="P198" s="316">
        <f t="shared" si="38"/>
        <v>0</v>
      </c>
      <c r="Q198" s="316">
        <f t="shared" si="39"/>
        <v>0</v>
      </c>
      <c r="R198" s="316">
        <f t="shared" si="40"/>
        <v>35.747368421052627</v>
      </c>
      <c r="S198" s="317">
        <f t="shared" si="41"/>
        <v>35.747368421052627</v>
      </c>
      <c r="T198" s="318">
        <f t="shared" si="49"/>
        <v>15.6</v>
      </c>
      <c r="U198" s="319">
        <f t="shared" si="36"/>
        <v>15.6</v>
      </c>
      <c r="V198" s="319">
        <f t="shared" si="37"/>
        <v>4.5473684210526315</v>
      </c>
      <c r="X198" s="320">
        <f t="shared" si="42"/>
        <v>12.48</v>
      </c>
      <c r="Y198" s="320">
        <f t="shared" si="42"/>
        <v>12.48</v>
      </c>
      <c r="Z198" s="320">
        <f t="shared" si="42"/>
        <v>3.6378947368421053</v>
      </c>
      <c r="AB198" s="123">
        <v>0</v>
      </c>
      <c r="AC198" s="320">
        <f t="shared" si="50"/>
        <v>-15.6</v>
      </c>
      <c r="AI198" s="123">
        <v>0</v>
      </c>
      <c r="AJ198" s="320">
        <f t="shared" si="43"/>
        <v>15.6</v>
      </c>
    </row>
    <row r="199" spans="1:36" hidden="1" x14ac:dyDescent="0.35">
      <c r="A199" s="197">
        <v>3305203</v>
      </c>
      <c r="B199" s="197">
        <v>5203</v>
      </c>
      <c r="C199" s="197" t="s">
        <v>159</v>
      </c>
      <c r="D199" s="198" t="s">
        <v>27</v>
      </c>
      <c r="E199" s="198"/>
      <c r="F199" s="197"/>
      <c r="G199" s="199">
        <v>0</v>
      </c>
      <c r="H199" s="199">
        <v>0</v>
      </c>
      <c r="I199" s="199">
        <v>30</v>
      </c>
      <c r="J199" s="199">
        <v>0</v>
      </c>
      <c r="K199" s="199">
        <v>0</v>
      </c>
      <c r="L199" s="199">
        <v>30</v>
      </c>
      <c r="M199" s="315">
        <v>18.94736842105263</v>
      </c>
      <c r="N199" s="315">
        <v>0</v>
      </c>
      <c r="O199" s="315">
        <v>28.421052631578945</v>
      </c>
      <c r="P199" s="316">
        <f t="shared" si="38"/>
        <v>138.69473684210527</v>
      </c>
      <c r="Q199" s="316">
        <f t="shared" si="39"/>
        <v>0</v>
      </c>
      <c r="R199" s="316">
        <f t="shared" si="40"/>
        <v>89.68421052631578</v>
      </c>
      <c r="S199" s="317">
        <f t="shared" si="41"/>
        <v>228.37894736842105</v>
      </c>
      <c r="T199" s="318">
        <f t="shared" si="49"/>
        <v>31.2</v>
      </c>
      <c r="U199" s="319">
        <f t="shared" si="36"/>
        <v>31.2</v>
      </c>
      <c r="V199" s="319">
        <f t="shared" si="37"/>
        <v>165.97894736842107</v>
      </c>
      <c r="X199" s="320">
        <f t="shared" si="42"/>
        <v>24.96</v>
      </c>
      <c r="Y199" s="320">
        <f t="shared" si="42"/>
        <v>24.96</v>
      </c>
      <c r="Z199" s="320">
        <f t="shared" si="42"/>
        <v>132.78315789473686</v>
      </c>
      <c r="AB199" s="123" t="s">
        <v>158</v>
      </c>
      <c r="AI199" s="123">
        <v>269.10000000000002</v>
      </c>
      <c r="AJ199" s="320">
        <f t="shared" si="43"/>
        <v>-237.90000000000003</v>
      </c>
    </row>
    <row r="200" spans="1:36" hidden="1" x14ac:dyDescent="0.35">
      <c r="A200" s="197">
        <v>3305205</v>
      </c>
      <c r="B200" s="197">
        <v>5205</v>
      </c>
      <c r="C200" s="197" t="s">
        <v>376</v>
      </c>
      <c r="D200" s="198" t="s">
        <v>49</v>
      </c>
      <c r="E200" s="198"/>
      <c r="F200" s="197"/>
      <c r="G200" s="199">
        <v>43</v>
      </c>
      <c r="H200" s="199">
        <v>15</v>
      </c>
      <c r="I200" s="199">
        <v>45</v>
      </c>
      <c r="J200" s="199">
        <v>30</v>
      </c>
      <c r="K200" s="199">
        <v>15</v>
      </c>
      <c r="L200" s="199">
        <v>45</v>
      </c>
      <c r="M200" s="315">
        <v>18.94736842105263</v>
      </c>
      <c r="N200" s="315">
        <v>14.210526315789473</v>
      </c>
      <c r="O200" s="315">
        <v>42.631578947368425</v>
      </c>
      <c r="P200" s="316">
        <f t="shared" si="38"/>
        <v>717.58473684210526</v>
      </c>
      <c r="Q200" s="316">
        <f t="shared" si="39"/>
        <v>162.55263157894734</v>
      </c>
      <c r="R200" s="316">
        <f t="shared" si="40"/>
        <v>134.5263157894737</v>
      </c>
      <c r="S200" s="317">
        <f t="shared" si="41"/>
        <v>1014.6636842105263</v>
      </c>
      <c r="T200" s="318">
        <f t="shared" si="49"/>
        <v>444.34000000000003</v>
      </c>
      <c r="U200" s="319">
        <f t="shared" si="36"/>
        <v>341.25</v>
      </c>
      <c r="V200" s="319">
        <f t="shared" si="37"/>
        <v>229.07368421052632</v>
      </c>
      <c r="X200" s="320">
        <f t="shared" si="42"/>
        <v>355.47200000000004</v>
      </c>
      <c r="Y200" s="320">
        <f t="shared" si="42"/>
        <v>273</v>
      </c>
      <c r="Z200" s="320">
        <f t="shared" si="42"/>
        <v>183.25894736842108</v>
      </c>
      <c r="AB200" s="123">
        <v>222.3</v>
      </c>
      <c r="AC200" s="320">
        <f>AB200-T200</f>
        <v>-222.04000000000002</v>
      </c>
      <c r="AI200" s="123">
        <v>222.3</v>
      </c>
      <c r="AJ200" s="320">
        <f t="shared" si="43"/>
        <v>222.04000000000002</v>
      </c>
    </row>
    <row r="201" spans="1:36" hidden="1" x14ac:dyDescent="0.35">
      <c r="A201" s="208">
        <v>200</v>
      </c>
      <c r="B201" s="197">
        <v>200</v>
      </c>
      <c r="C201" s="209" t="s">
        <v>536</v>
      </c>
      <c r="D201" s="198"/>
      <c r="E201" s="209"/>
      <c r="F201" s="209"/>
      <c r="G201" s="209">
        <f t="shared" ref="G201:O201" si="51">SUM(G11:G200)</f>
        <v>30488</v>
      </c>
      <c r="H201" s="209">
        <f t="shared" si="51"/>
        <v>27387.7</v>
      </c>
      <c r="I201" s="209">
        <f t="shared" si="51"/>
        <v>35310</v>
      </c>
      <c r="J201" s="209">
        <f t="shared" si="51"/>
        <v>24465</v>
      </c>
      <c r="K201" s="209">
        <f t="shared" si="51"/>
        <v>21970</v>
      </c>
      <c r="L201" s="209">
        <f t="shared" si="51"/>
        <v>28739</v>
      </c>
      <c r="M201" s="209">
        <f t="shared" si="51"/>
        <v>25924.105263157911</v>
      </c>
      <c r="N201" s="209">
        <f t="shared" si="51"/>
        <v>23306.526315789491</v>
      </c>
      <c r="O201" s="209">
        <f t="shared" si="51"/>
        <v>30007.263157894758</v>
      </c>
      <c r="P201" s="321">
        <f>SUM(P11:P200)</f>
        <v>625541.74052631564</v>
      </c>
      <c r="Q201" s="321">
        <f t="shared" ref="Q201:S201" si="52">SUM(Q11:Q200)</f>
        <v>267185.2405789473</v>
      </c>
      <c r="R201" s="321">
        <f t="shared" si="52"/>
        <v>95417.932631579009</v>
      </c>
      <c r="S201" s="321">
        <f t="shared" si="52"/>
        <v>988144.91373684222</v>
      </c>
      <c r="T201" s="321">
        <f>SUM(T11:T200)</f>
        <v>381743.86900000012</v>
      </c>
      <c r="U201" s="321">
        <f>SUM(U11:U200)</f>
        <v>306722.90999999997</v>
      </c>
      <c r="V201" s="321">
        <f>SUM(V11:V200)</f>
        <v>299678.13473684213</v>
      </c>
      <c r="X201" s="321">
        <f>SUM(X11:X200)</f>
        <v>305395.09519999992</v>
      </c>
      <c r="Y201" s="321">
        <f>SUM(Y11:Y200)</f>
        <v>245378.32800000015</v>
      </c>
      <c r="Z201" s="321">
        <f>SUM(Z11:Z200)</f>
        <v>239742.50778947363</v>
      </c>
      <c r="AB201" s="123">
        <v>0</v>
      </c>
    </row>
    <row r="202" spans="1:36" hidden="1" x14ac:dyDescent="0.35">
      <c r="D202" s="198"/>
      <c r="G202" s="323">
        <v>32264</v>
      </c>
      <c r="H202" s="323">
        <v>28167</v>
      </c>
      <c r="I202" s="323">
        <v>35362</v>
      </c>
      <c r="M202" s="315"/>
      <c r="T202" s="318"/>
      <c r="U202" s="325"/>
      <c r="V202" s="325"/>
      <c r="AB202" s="123">
        <v>0</v>
      </c>
    </row>
    <row r="203" spans="1:36" x14ac:dyDescent="0.35">
      <c r="AI203" s="326"/>
    </row>
    <row r="204" spans="1:36" x14ac:dyDescent="0.35">
      <c r="T204" s="327">
        <f>SUMIFS(T11:T200,$D$11:$D$200,"Chq Bk")+SUMIFS(T11:T200,$D$11:$D$200,"Non Chq Bk")+SUMIFS(T11:T200,$D$11:$D$200,"EPA")-T111</f>
        <v>247453.73900000003</v>
      </c>
      <c r="W204" s="123" t="s">
        <v>384</v>
      </c>
      <c r="X204" s="320">
        <f>SUMIFS(X11:X200,$D$11:$D$200,"Chq Bk")+SUMIFS(X11:X200,$D$11:$D$200,"Non Chq Bk")+SUMIFS(X11:X200,$D$11:$D$200,"EPA")-X111</f>
        <v>197962.99119999996</v>
      </c>
      <c r="Y204" s="320">
        <f t="shared" ref="Y204:Z204" si="53">SUMIFS(Y11:Y200,$D$11:$D$200,"Chq Bk")+SUMIFS(Y11:Y200,$D$11:$D$200,"Non Chq Bk")+SUMIFS(Y11:Y200,$D$11:$D$200,"EPA")</f>
        <v>158973.35999999999</v>
      </c>
      <c r="Z204" s="320">
        <f t="shared" si="53"/>
        <v>152989.78357894733</v>
      </c>
      <c r="AI204" s="326">
        <f>SUMIFS(AI11:AI200,$D$11:$D$200,"Chq Bk")+SUMIFS(AI11:AI200,$D$11:$D$200,"Non Chq Bk")+SUMIFS(AI11:AI200,$D$11:$D$200,"EPA")-AI111</f>
        <v>259787.06</v>
      </c>
    </row>
    <row r="205" spans="1:36" x14ac:dyDescent="0.35">
      <c r="T205" s="327">
        <f>SUMIFS(T11:T200,$D$11:$D$200,$W$205)</f>
        <v>134290.12999999995</v>
      </c>
      <c r="U205" s="326">
        <f>SUMIFS(U11:U200,$D$11:$D$200,$W$205)</f>
        <v>108006.21000000004</v>
      </c>
      <c r="V205" s="326">
        <f>SUMIFS(V11:V200,$D$11:$D$200,$W$205)</f>
        <v>108440.9052631579</v>
      </c>
      <c r="W205" s="123" t="s">
        <v>49</v>
      </c>
      <c r="X205" s="328">
        <f>SUMIFS(X11:X200,$D$11:$D$200,$W$205)</f>
        <v>107432.10399999996</v>
      </c>
      <c r="Y205" s="320">
        <f>SUMIFS(Y11:Y200,$D$11:$D$200,$W$205)</f>
        <v>86404.967999999993</v>
      </c>
      <c r="Z205" s="320">
        <f>SUMIFS(Z11:Z200,$D$11:$D$200,$W$205)</f>
        <v>86752.724210526314</v>
      </c>
      <c r="AI205" s="326">
        <f>SUMIFS(AI11:AI200,$D$11:$D$200,$W$205)</f>
        <v>138004.88000000003</v>
      </c>
    </row>
    <row r="206" spans="1:36" x14ac:dyDescent="0.35">
      <c r="T206" s="327">
        <f>SUM(T204:T205)</f>
        <v>381743.86899999995</v>
      </c>
      <c r="X206" s="320">
        <f>SUM(X204:X205)</f>
        <v>305395.09519999992</v>
      </c>
      <c r="Y206" s="320">
        <f t="shared" ref="Y206:Z206" si="54">SUM(Y204:Y205)</f>
        <v>245378.32799999998</v>
      </c>
      <c r="Z206" s="320">
        <f t="shared" si="54"/>
        <v>239742.50778947363</v>
      </c>
      <c r="AI206" s="326">
        <f>SUM(AI204:AI205)</f>
        <v>397791.94000000006</v>
      </c>
    </row>
    <row r="207" spans="1:36" x14ac:dyDescent="0.35">
      <c r="X207" s="320">
        <f>X206-X201</f>
        <v>0</v>
      </c>
      <c r="Y207" s="320">
        <f t="shared" ref="Y207:Z207" si="55">Y206-Y201</f>
        <v>0</v>
      </c>
      <c r="Z207" s="320">
        <f t="shared" si="55"/>
        <v>0</v>
      </c>
    </row>
    <row r="210" spans="20:26" x14ac:dyDescent="0.35">
      <c r="W210" s="123" t="s">
        <v>537</v>
      </c>
    </row>
    <row r="212" spans="20:26" x14ac:dyDescent="0.35">
      <c r="X212" s="320">
        <f>X205-X139-X159</f>
        <v>105992.22399999996</v>
      </c>
    </row>
    <row r="215" spans="20:26" x14ac:dyDescent="0.35">
      <c r="T215" s="304" t="s">
        <v>538</v>
      </c>
      <c r="U215" s="123">
        <v>1131</v>
      </c>
      <c r="V215" s="123">
        <v>1011.2210526315788</v>
      </c>
      <c r="Y215" s="123">
        <v>904.80000000000007</v>
      </c>
      <c r="Z215" s="123">
        <v>808.97684210526313</v>
      </c>
    </row>
    <row r="216" spans="20:26" x14ac:dyDescent="0.35">
      <c r="T216" s="304" t="s">
        <v>539</v>
      </c>
      <c r="U216" s="329">
        <f>U205+U215</f>
        <v>109137.21000000004</v>
      </c>
      <c r="V216" s="329">
        <f>V205+V215</f>
        <v>109452.12631578947</v>
      </c>
      <c r="Y216" s="320">
        <f>Y205+Y215</f>
        <v>87309.767999999996</v>
      </c>
      <c r="Z216" s="320">
        <f>Z205+Z215</f>
        <v>87561.701052631572</v>
      </c>
    </row>
  </sheetData>
  <autoFilter ref="A10:AJ202" xr:uid="{CBBC8E73-9B07-4795-AB58-15AE22373807}">
    <filterColumn colId="2">
      <filters>
        <filter val="Broadmeadow Infant &amp; Nursery School"/>
      </filters>
    </filterColumn>
  </autoFilter>
  <mergeCells count="8">
    <mergeCell ref="R9:R10"/>
    <mergeCell ref="S9:S10"/>
    <mergeCell ref="A9:F9"/>
    <mergeCell ref="G9:I9"/>
    <mergeCell ref="J9:L9"/>
    <mergeCell ref="M9:O9"/>
    <mergeCell ref="P9:P10"/>
    <mergeCell ref="Q9:Q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573BB-DAF9-433D-AF76-0C6CC4EC524B}">
  <sheetPr codeName="Sheet2">
    <tabColor theme="1"/>
  </sheetPr>
  <dimension ref="B1:W51"/>
  <sheetViews>
    <sheetView showGridLines="0" tabSelected="1" zoomScale="90" zoomScaleNormal="90" workbookViewId="0">
      <selection activeCell="F6" sqref="F6"/>
    </sheetView>
  </sheetViews>
  <sheetFormatPr defaultColWidth="8.81640625" defaultRowHeight="14.5" x14ac:dyDescent="0.35"/>
  <cols>
    <col min="1" max="1" width="1.7265625" style="1" customWidth="1"/>
    <col min="2" max="2" width="5.7265625" style="1" customWidth="1"/>
    <col min="3" max="3" width="26.54296875" style="1" customWidth="1"/>
    <col min="4" max="4" width="14.7265625" style="1" customWidth="1"/>
    <col min="5" max="5" width="15.7265625" style="1" customWidth="1"/>
    <col min="6" max="7" width="15.26953125" style="1" customWidth="1"/>
    <col min="8" max="8" width="13.54296875" style="1" bestFit="1" customWidth="1"/>
    <col min="9" max="9" width="5.7265625" style="1" customWidth="1"/>
    <col min="10" max="10" width="23.54296875" style="1" bestFit="1" customWidth="1"/>
    <col min="11" max="11" width="12.7265625" style="1" customWidth="1"/>
    <col min="12" max="12" width="13.7265625" style="1" customWidth="1"/>
    <col min="13" max="14" width="12.7265625" style="1" customWidth="1"/>
    <col min="15" max="15" width="13.54296875" style="1" bestFit="1" customWidth="1"/>
    <col min="16" max="16" width="5.7265625" style="1" customWidth="1"/>
    <col min="17" max="17" width="21.1796875" style="1" bestFit="1" customWidth="1"/>
    <col min="18" max="18" width="13.453125" style="1" bestFit="1" customWidth="1"/>
    <col min="19" max="19" width="13.1796875" style="1" bestFit="1" customWidth="1"/>
    <col min="20" max="22" width="12.7265625" style="1" bestFit="1" customWidth="1"/>
    <col min="23" max="23" width="5.7265625" style="1" customWidth="1"/>
    <col min="24" max="16384" width="8.81640625" style="1"/>
  </cols>
  <sheetData>
    <row r="1" spans="2:23" customFormat="1" ht="18.5" x14ac:dyDescent="0.45">
      <c r="B1" s="498"/>
      <c r="C1" s="132" t="s">
        <v>747</v>
      </c>
      <c r="D1" s="133"/>
      <c r="E1" s="133"/>
      <c r="F1" s="134"/>
      <c r="G1" s="134"/>
      <c r="H1" s="134"/>
      <c r="I1" s="134"/>
      <c r="J1" s="134"/>
      <c r="K1" s="134"/>
      <c r="L1" s="346"/>
      <c r="M1" s="346"/>
      <c r="N1" s="135"/>
      <c r="O1" s="135"/>
      <c r="P1" s="135"/>
      <c r="Q1" s="135"/>
      <c r="R1" s="135"/>
      <c r="S1" s="135"/>
      <c r="T1" s="135"/>
      <c r="U1" s="135"/>
      <c r="V1" s="135"/>
      <c r="W1" s="492"/>
    </row>
    <row r="2" spans="2:23" customFormat="1" ht="18.5" x14ac:dyDescent="0.45">
      <c r="B2" s="499"/>
      <c r="C2" s="496"/>
      <c r="D2" s="485"/>
      <c r="E2" s="485"/>
      <c r="F2" s="486"/>
      <c r="G2" s="486"/>
      <c r="H2" s="486"/>
      <c r="I2" s="486"/>
      <c r="J2" s="486"/>
      <c r="K2" s="486"/>
      <c r="L2" s="487"/>
      <c r="M2" s="487"/>
      <c r="N2" s="487"/>
      <c r="O2" s="487"/>
      <c r="P2" s="487"/>
      <c r="Q2" s="487"/>
      <c r="R2" s="487"/>
      <c r="S2" s="487"/>
      <c r="T2" s="487"/>
      <c r="U2" s="487"/>
      <c r="V2" s="487"/>
      <c r="W2" s="493"/>
    </row>
    <row r="3" spans="2:23" customFormat="1" x14ac:dyDescent="0.35">
      <c r="B3" s="499"/>
      <c r="C3" s="485"/>
      <c r="D3" s="485"/>
      <c r="E3" s="485"/>
      <c r="F3" s="486"/>
      <c r="G3" s="486"/>
      <c r="H3" s="486"/>
      <c r="I3" s="486"/>
      <c r="J3" s="486"/>
      <c r="K3" s="486"/>
      <c r="L3" s="487"/>
      <c r="M3" s="487"/>
      <c r="N3" s="487"/>
      <c r="O3" s="487"/>
      <c r="P3" s="487"/>
      <c r="Q3" s="487"/>
      <c r="R3" s="487"/>
      <c r="S3" s="487"/>
      <c r="T3" s="487"/>
      <c r="U3" s="487"/>
      <c r="V3" s="487"/>
      <c r="W3" s="493"/>
    </row>
    <row r="4" spans="2:23" customFormat="1" ht="18.5" x14ac:dyDescent="0.45">
      <c r="B4" s="499"/>
      <c r="C4" s="496" t="s">
        <v>495</v>
      </c>
      <c r="D4" s="488">
        <f>VLOOKUP($D$6,Lookup!D:G,4,FALSE)</f>
        <v>0</v>
      </c>
      <c r="E4" s="485"/>
      <c r="F4" s="486"/>
      <c r="G4" s="486"/>
      <c r="H4" s="486"/>
      <c r="I4" s="486"/>
      <c r="J4" s="486"/>
      <c r="K4" s="486"/>
      <c r="L4" s="487"/>
      <c r="M4" s="487"/>
      <c r="N4" s="487"/>
      <c r="O4" s="487"/>
      <c r="P4" s="487"/>
      <c r="Q4" s="487"/>
      <c r="R4" s="487"/>
      <c r="S4" s="487"/>
      <c r="T4" s="487"/>
      <c r="U4" s="487"/>
      <c r="V4" s="487"/>
      <c r="W4" s="493"/>
    </row>
    <row r="5" spans="2:23" customFormat="1" ht="18.5" x14ac:dyDescent="0.45">
      <c r="B5" s="499"/>
      <c r="C5" s="496" t="s">
        <v>496</v>
      </c>
      <c r="D5" s="488">
        <f>_xlfn.IFNA(VLOOKUP($D$4,Lookup!A:G,3,FALSE),0)</f>
        <v>0</v>
      </c>
      <c r="E5" s="485"/>
      <c r="F5" s="486"/>
      <c r="G5" s="486"/>
      <c r="H5" s="486"/>
      <c r="I5" s="486"/>
      <c r="J5" s="486"/>
      <c r="K5" s="486"/>
      <c r="L5" s="487"/>
      <c r="M5" s="487"/>
      <c r="N5" s="487"/>
      <c r="O5" s="487"/>
      <c r="P5" s="487"/>
      <c r="Q5" s="487"/>
      <c r="R5" s="487"/>
      <c r="S5" s="487"/>
      <c r="T5" s="487"/>
      <c r="U5" s="487"/>
      <c r="V5" s="487"/>
      <c r="W5" s="493"/>
    </row>
    <row r="6" spans="2:23" customFormat="1" ht="18.5" x14ac:dyDescent="0.45">
      <c r="B6" s="499"/>
      <c r="C6" s="496" t="s">
        <v>497</v>
      </c>
      <c r="D6" s="489" t="s">
        <v>498</v>
      </c>
      <c r="E6" s="490"/>
      <c r="F6" s="491"/>
      <c r="G6" s="486"/>
      <c r="H6" s="486"/>
      <c r="I6" s="486"/>
      <c r="J6" s="486"/>
      <c r="K6" s="486"/>
      <c r="L6" s="487"/>
      <c r="M6" s="487"/>
      <c r="N6" s="487"/>
      <c r="O6" s="487"/>
      <c r="P6" s="487"/>
      <c r="Q6" s="487"/>
      <c r="R6" s="487"/>
      <c r="S6" s="487"/>
      <c r="T6" s="487"/>
      <c r="U6" s="487"/>
      <c r="V6" s="487"/>
      <c r="W6" s="493"/>
    </row>
    <row r="7" spans="2:23" customFormat="1" ht="15" thickBot="1" x14ac:dyDescent="0.4">
      <c r="B7" s="500"/>
      <c r="C7" s="136"/>
      <c r="D7" s="137"/>
      <c r="E7" s="137"/>
      <c r="F7" s="137"/>
      <c r="G7" s="137"/>
      <c r="H7" s="137"/>
      <c r="I7" s="137"/>
      <c r="J7" s="137"/>
      <c r="K7" s="137"/>
      <c r="L7" s="137"/>
      <c r="M7" s="137"/>
      <c r="N7" s="137"/>
      <c r="O7" s="137"/>
      <c r="P7" s="137"/>
      <c r="Q7" s="137"/>
      <c r="R7" s="137"/>
      <c r="S7" s="137"/>
      <c r="T7" s="137"/>
      <c r="U7" s="137"/>
      <c r="V7" s="137"/>
      <c r="W7" s="494"/>
    </row>
    <row r="9" spans="2:23" ht="15" thickBot="1" x14ac:dyDescent="0.4">
      <c r="E9" s="10"/>
    </row>
    <row r="10" spans="2:23" ht="15" thickBot="1" x14ac:dyDescent="0.4">
      <c r="B10" s="470"/>
      <c r="C10" s="217"/>
      <c r="D10" s="217"/>
      <c r="E10" s="217"/>
      <c r="F10" s="217"/>
      <c r="G10" s="217"/>
      <c r="H10" s="217"/>
      <c r="I10" s="217"/>
      <c r="J10" s="217"/>
      <c r="K10" s="217"/>
      <c r="L10" s="217"/>
      <c r="M10" s="217"/>
      <c r="N10" s="217"/>
      <c r="O10" s="217"/>
      <c r="P10" s="217"/>
      <c r="Q10" s="217"/>
      <c r="R10" s="217"/>
      <c r="S10" s="217"/>
      <c r="T10" s="217"/>
      <c r="U10" s="217"/>
      <c r="V10" s="217"/>
      <c r="W10" s="471"/>
    </row>
    <row r="11" spans="2:23" ht="15" thickBot="1" x14ac:dyDescent="0.4">
      <c r="B11" s="473"/>
      <c r="C11" s="224" t="s">
        <v>221</v>
      </c>
      <c r="D11" s="143"/>
      <c r="E11" s="143"/>
      <c r="F11" s="143"/>
      <c r="G11" s="143"/>
      <c r="H11" s="144"/>
      <c r="J11" s="224" t="s">
        <v>744</v>
      </c>
      <c r="K11" s="143"/>
      <c r="L11" s="143"/>
      <c r="M11" s="143"/>
      <c r="N11" s="143"/>
      <c r="O11" s="144"/>
      <c r="Q11" s="224" t="s">
        <v>543</v>
      </c>
      <c r="R11" s="143"/>
      <c r="S11" s="143"/>
      <c r="T11" s="143"/>
      <c r="U11" s="143"/>
      <c r="V11" s="144"/>
      <c r="W11" s="472"/>
    </row>
    <row r="12" spans="2:23" x14ac:dyDescent="0.35">
      <c r="B12" s="473"/>
      <c r="C12" s="1" t="s">
        <v>0</v>
      </c>
      <c r="D12">
        <v>3</v>
      </c>
      <c r="J12" s="1" t="s">
        <v>0</v>
      </c>
      <c r="K12">
        <v>3</v>
      </c>
      <c r="W12" s="472"/>
    </row>
    <row r="13" spans="2:23" x14ac:dyDescent="0.35">
      <c r="B13" s="473"/>
      <c r="D13"/>
      <c r="K13"/>
      <c r="W13" s="472"/>
    </row>
    <row r="14" spans="2:23" x14ac:dyDescent="0.35">
      <c r="B14" s="473"/>
      <c r="C14" s="344" t="s">
        <v>499</v>
      </c>
      <c r="D14" s="225"/>
      <c r="E14" s="343">
        <v>13</v>
      </c>
      <c r="F14" s="4">
        <v>13</v>
      </c>
      <c r="G14" s="4">
        <v>12</v>
      </c>
      <c r="H14" s="3">
        <f>SUM(E14:G14)</f>
        <v>38</v>
      </c>
      <c r="J14" s="344" t="s">
        <v>499</v>
      </c>
      <c r="K14" s="225"/>
      <c r="L14" s="351">
        <v>13</v>
      </c>
      <c r="M14" s="352">
        <v>13</v>
      </c>
      <c r="N14" s="352">
        <v>12</v>
      </c>
      <c r="O14" s="3">
        <f>SUM(L14:N14)</f>
        <v>38</v>
      </c>
      <c r="W14" s="472"/>
    </row>
    <row r="15" spans="2:23" x14ac:dyDescent="0.35">
      <c r="B15" s="473"/>
      <c r="D15"/>
      <c r="K15"/>
      <c r="W15" s="472"/>
    </row>
    <row r="16" spans="2:23" x14ac:dyDescent="0.35">
      <c r="B16" s="473"/>
      <c r="C16" s="216"/>
      <c r="D16" s="216"/>
      <c r="E16" s="216"/>
      <c r="F16" s="216"/>
      <c r="G16" s="216"/>
      <c r="H16" s="216"/>
      <c r="J16" s="355" t="s">
        <v>751</v>
      </c>
      <c r="K16" s="216"/>
      <c r="L16" s="216"/>
      <c r="M16" s="216"/>
      <c r="N16" s="216"/>
      <c r="O16" s="216"/>
      <c r="S16" s="481" t="s">
        <v>542</v>
      </c>
      <c r="T16" s="481" t="s">
        <v>542</v>
      </c>
      <c r="U16" s="481" t="s">
        <v>541</v>
      </c>
      <c r="W16" s="472"/>
    </row>
    <row r="17" spans="2:23" x14ac:dyDescent="0.35">
      <c r="B17" s="473"/>
      <c r="C17" s="2" t="s">
        <v>2</v>
      </c>
      <c r="D17" s="332" t="s">
        <v>3</v>
      </c>
      <c r="E17" s="332" t="s">
        <v>4</v>
      </c>
      <c r="F17" s="332" t="s">
        <v>5</v>
      </c>
      <c r="G17" s="332" t="s">
        <v>6</v>
      </c>
      <c r="H17" s="332" t="s">
        <v>7</v>
      </c>
      <c r="I17" s="474"/>
      <c r="J17" s="2" t="s">
        <v>8</v>
      </c>
      <c r="K17" s="332" t="s">
        <v>3</v>
      </c>
      <c r="L17" s="332" t="s">
        <v>540</v>
      </c>
      <c r="M17" s="332" t="s">
        <v>5</v>
      </c>
      <c r="N17" s="332" t="s">
        <v>6</v>
      </c>
      <c r="O17" s="332" t="s">
        <v>7</v>
      </c>
      <c r="Q17" s="2" t="s">
        <v>734</v>
      </c>
      <c r="R17" s="332" t="s">
        <v>3</v>
      </c>
      <c r="S17" s="332" t="s">
        <v>540</v>
      </c>
      <c r="T17" s="332" t="s">
        <v>5</v>
      </c>
      <c r="U17" s="332" t="s">
        <v>6</v>
      </c>
      <c r="V17" s="332" t="s">
        <v>7</v>
      </c>
      <c r="W17" s="472"/>
    </row>
    <row r="18" spans="2:23" x14ac:dyDescent="0.35">
      <c r="B18" s="473"/>
      <c r="C18" s="347" t="s">
        <v>9</v>
      </c>
      <c r="D18" s="6">
        <v>5.66</v>
      </c>
      <c r="E18" s="517">
        <f>_xlfn.IFNA((VLOOKUP($D$4,'Indic Summer'!$A:$AE,11,FALSE)*$E$14),0)</f>
        <v>0</v>
      </c>
      <c r="F18" s="517">
        <f>_xlfn.IFNA((VLOOKUP($D$4,'Indic Autumn'!A:AE,11,FALSE)*$F$14),0)</f>
        <v>0</v>
      </c>
      <c r="G18" s="517">
        <f>_xlfn.IFNA((VLOOKUP($D$4,'Indic Spring'!A:AB,11,FALSE)*$G$14),0)</f>
        <v>0</v>
      </c>
      <c r="H18" s="517">
        <f t="shared" ref="H18:H29" si="0">SUM(E18:G18)</f>
        <v>0</v>
      </c>
      <c r="J18" s="333" t="s">
        <v>9</v>
      </c>
      <c r="K18" s="6">
        <v>5.66</v>
      </c>
      <c r="L18" s="518">
        <f>_xlfn.IFNA(VLOOKUP($D$4,'Actuals Summer'!$A:$AG,23,FALSE),0)</f>
        <v>0</v>
      </c>
      <c r="M18" s="518"/>
      <c r="N18" s="518"/>
      <c r="O18" s="7">
        <f>SUM(L18:N18)</f>
        <v>0</v>
      </c>
      <c r="Q18" s="333" t="s">
        <v>9</v>
      </c>
      <c r="R18" s="6">
        <v>5.66</v>
      </c>
      <c r="S18" s="341">
        <f t="shared" ref="S18:U25" si="1">E34*80%</f>
        <v>0</v>
      </c>
      <c r="T18" s="341">
        <f t="shared" si="1"/>
        <v>0</v>
      </c>
      <c r="U18" s="341">
        <f t="shared" si="1"/>
        <v>0</v>
      </c>
      <c r="V18" s="341">
        <f>SUM(S18:U18)</f>
        <v>0</v>
      </c>
      <c r="W18" s="472"/>
    </row>
    <row r="19" spans="2:23" x14ac:dyDescent="0.35">
      <c r="B19" s="473"/>
      <c r="C19" s="347" t="s">
        <v>10</v>
      </c>
      <c r="D19" s="6">
        <v>5.66</v>
      </c>
      <c r="E19" s="517">
        <f>_xlfn.IFNA((VLOOKUP($D$4,'Indic Summer'!$A:$AE,13,FALSE)*E14),0)</f>
        <v>0</v>
      </c>
      <c r="F19" s="517">
        <f>_xlfn.IFNA((VLOOKUP($D$4,'Indic Autumn'!A:AE,13,FALSE)*$F$14),0)</f>
        <v>0</v>
      </c>
      <c r="G19" s="517">
        <f>_xlfn.IFNA((VLOOKUP($D$4,'Indic Spring'!A:AB,12,FALSE)*$G$14),0)</f>
        <v>0</v>
      </c>
      <c r="H19" s="517">
        <f t="shared" si="0"/>
        <v>0</v>
      </c>
      <c r="J19" s="333" t="s">
        <v>10</v>
      </c>
      <c r="K19" s="6">
        <v>5.66</v>
      </c>
      <c r="L19" s="518">
        <f>_xlfn.IFNA(VLOOKUP($D$4,'Actuals Summer'!$A:$AG,24,FALSE),0)</f>
        <v>0</v>
      </c>
      <c r="M19" s="518"/>
      <c r="N19" s="518"/>
      <c r="O19" s="7">
        <f t="shared" ref="O19:O29" si="2">SUM(L19:N19)</f>
        <v>0</v>
      </c>
      <c r="Q19" s="333" t="s">
        <v>10</v>
      </c>
      <c r="R19" s="6">
        <v>5.66</v>
      </c>
      <c r="S19" s="341">
        <f t="shared" si="1"/>
        <v>0</v>
      </c>
      <c r="T19" s="341">
        <f t="shared" si="1"/>
        <v>0</v>
      </c>
      <c r="U19" s="341">
        <f t="shared" si="1"/>
        <v>0</v>
      </c>
      <c r="V19" s="341">
        <f t="shared" ref="V19:V29" si="3">SUM(S19:U19)</f>
        <v>0</v>
      </c>
      <c r="W19" s="472"/>
    </row>
    <row r="20" spans="2:23" x14ac:dyDescent="0.35">
      <c r="B20" s="473"/>
      <c r="C20" s="347" t="s">
        <v>11</v>
      </c>
      <c r="D20" s="6">
        <v>8.51</v>
      </c>
      <c r="E20" s="517">
        <f>_xlfn.IFNA((VLOOKUP($D$4,'Indic Summer'!$A:$AE,8,FALSE)*$E$14),0)</f>
        <v>0</v>
      </c>
      <c r="F20" s="517">
        <f>_xlfn.IFNA((VLOOKUP($D$4,'Indic Autumn'!A:AE,8,FALSE)*$F$14),0)</f>
        <v>0</v>
      </c>
      <c r="G20" s="517">
        <f>_xlfn.IFNA((VLOOKUP($D$4,'Indic Spring'!A:AB,7,FALSE)*$G$14),0)</f>
        <v>0</v>
      </c>
      <c r="H20" s="517">
        <f t="shared" si="0"/>
        <v>0</v>
      </c>
      <c r="J20" s="333" t="s">
        <v>11</v>
      </c>
      <c r="K20" s="6">
        <v>8.51</v>
      </c>
      <c r="L20" s="518">
        <f>_xlfn.IFNA(VLOOKUP($D$4,'Actuals Summer'!$A:$AG,25,FALSE),0)</f>
        <v>0</v>
      </c>
      <c r="M20" s="518"/>
      <c r="N20" s="518"/>
      <c r="O20" s="7">
        <f t="shared" si="2"/>
        <v>0</v>
      </c>
      <c r="Q20" s="333" t="s">
        <v>11</v>
      </c>
      <c r="R20" s="6">
        <v>8.51</v>
      </c>
      <c r="S20" s="341">
        <f t="shared" si="1"/>
        <v>0</v>
      </c>
      <c r="T20" s="341">
        <f t="shared" si="1"/>
        <v>0</v>
      </c>
      <c r="U20" s="341">
        <f t="shared" si="1"/>
        <v>0</v>
      </c>
      <c r="V20" s="341">
        <f t="shared" si="3"/>
        <v>0</v>
      </c>
      <c r="W20" s="472"/>
    </row>
    <row r="21" spans="2:23" x14ac:dyDescent="0.35">
      <c r="B21" s="473"/>
      <c r="C21" s="347" t="s">
        <v>220</v>
      </c>
      <c r="D21" s="6">
        <v>8.51</v>
      </c>
      <c r="E21" s="517">
        <v>0</v>
      </c>
      <c r="F21" s="517">
        <v>0</v>
      </c>
      <c r="G21" s="517">
        <v>0</v>
      </c>
      <c r="H21" s="517">
        <f>SUM(E21:G21)</f>
        <v>0</v>
      </c>
      <c r="J21" s="333" t="s">
        <v>220</v>
      </c>
      <c r="K21" s="6">
        <v>8.51</v>
      </c>
      <c r="L21" s="518">
        <f>_xlfn.IFNA(VLOOKUP($D$4,'Actuals Summer'!$A:$AG,26,FALSE),0)</f>
        <v>0</v>
      </c>
      <c r="M21" s="518"/>
      <c r="N21" s="518"/>
      <c r="O21" s="7">
        <f t="shared" si="2"/>
        <v>0</v>
      </c>
      <c r="Q21" s="333" t="s">
        <v>220</v>
      </c>
      <c r="R21" s="6">
        <v>8.51</v>
      </c>
      <c r="S21" s="341">
        <f t="shared" si="1"/>
        <v>0</v>
      </c>
      <c r="T21" s="341">
        <f t="shared" si="1"/>
        <v>0</v>
      </c>
      <c r="U21" s="341">
        <f t="shared" si="1"/>
        <v>0</v>
      </c>
      <c r="V21" s="341">
        <f t="shared" si="3"/>
        <v>0</v>
      </c>
      <c r="W21" s="472"/>
    </row>
    <row r="22" spans="2:23" x14ac:dyDescent="0.35">
      <c r="B22" s="473"/>
      <c r="C22" s="347" t="s">
        <v>12</v>
      </c>
      <c r="D22" s="6">
        <v>11.92</v>
      </c>
      <c r="E22" s="517">
        <f>_xlfn.IFNA(VLOOKUP($D$4,'Indic Summer'!$A:$AE,5,FALSE)*$E$14,0)</f>
        <v>0</v>
      </c>
      <c r="F22" s="517">
        <f>_xlfn.IFNA((VLOOKUP($D$4,'Indic Autumn'!A:AE,5,FALSE)*$F$14),0)</f>
        <v>0</v>
      </c>
      <c r="G22" s="517">
        <f>_xlfn.IFNA((VLOOKUP($D$4,'Indic Autumn'!A:AE,5,FALSE)*$G$14),0)</f>
        <v>0</v>
      </c>
      <c r="H22" s="517">
        <f t="shared" si="0"/>
        <v>0</v>
      </c>
      <c r="J22" s="333" t="s">
        <v>12</v>
      </c>
      <c r="K22" s="6">
        <v>11.92</v>
      </c>
      <c r="L22" s="518">
        <f>_xlfn.IFNA(VLOOKUP($D$4,'Actuals Summer'!$A:$AG,27,FALSE),0)</f>
        <v>0</v>
      </c>
      <c r="M22" s="518"/>
      <c r="N22" s="518"/>
      <c r="O22" s="7">
        <f t="shared" si="2"/>
        <v>0</v>
      </c>
      <c r="Q22" s="333" t="s">
        <v>12</v>
      </c>
      <c r="R22" s="6">
        <v>11.92</v>
      </c>
      <c r="S22" s="341">
        <f t="shared" si="1"/>
        <v>0</v>
      </c>
      <c r="T22" s="341">
        <f t="shared" si="1"/>
        <v>0</v>
      </c>
      <c r="U22" s="341">
        <f t="shared" si="1"/>
        <v>0</v>
      </c>
      <c r="V22" s="341">
        <f t="shared" si="3"/>
        <v>0</v>
      </c>
      <c r="W22" s="472"/>
    </row>
    <row r="23" spans="2:23" x14ac:dyDescent="0.35">
      <c r="B23" s="473"/>
      <c r="C23" s="347" t="s">
        <v>492</v>
      </c>
      <c r="D23" s="6">
        <v>0.61</v>
      </c>
      <c r="E23" s="517">
        <f>_xlfn.IFNA((VLOOKUP($D$4,'Indic Deprivation'!$B:$X,6,FALSE)*$E$14),0)</f>
        <v>0</v>
      </c>
      <c r="F23" s="517">
        <f>_xlfn.IFNA((VLOOKUP($D$4,'Indic Deprivation'!$B:$X,9,FALSE)*$F$14),0)</f>
        <v>0</v>
      </c>
      <c r="G23" s="517">
        <f>_xlfn.IFNA((VLOOKUP($D$4,'Indic Deprivation'!$B:$X,12,FALSE)*$G$14),0)</f>
        <v>0</v>
      </c>
      <c r="H23" s="517">
        <f t="shared" si="0"/>
        <v>0</v>
      </c>
      <c r="J23" s="333" t="s">
        <v>492</v>
      </c>
      <c r="K23" s="6">
        <v>0.61</v>
      </c>
      <c r="L23" s="518">
        <f>_xlfn.IFNA(VLOOKUP($D$4,'Actuals Dep Summer'!B:O,6,FALSE)*$L$14,0)</f>
        <v>0</v>
      </c>
      <c r="M23" s="518"/>
      <c r="N23" s="518"/>
      <c r="O23" s="7">
        <f>SUM(L23:N23)</f>
        <v>0</v>
      </c>
      <c r="Q23" s="333" t="s">
        <v>492</v>
      </c>
      <c r="R23" s="6">
        <v>0.61</v>
      </c>
      <c r="S23" s="341">
        <f t="shared" si="1"/>
        <v>0</v>
      </c>
      <c r="T23" s="341">
        <f t="shared" si="1"/>
        <v>0</v>
      </c>
      <c r="U23" s="341">
        <f t="shared" si="1"/>
        <v>0</v>
      </c>
      <c r="V23" s="341">
        <f t="shared" si="3"/>
        <v>0</v>
      </c>
      <c r="W23" s="472"/>
    </row>
    <row r="24" spans="2:23" x14ac:dyDescent="0.35">
      <c r="B24" s="473"/>
      <c r="C24" s="347" t="s">
        <v>493</v>
      </c>
      <c r="D24" s="6">
        <v>0.28999999999999998</v>
      </c>
      <c r="E24" s="517">
        <f>_xlfn.IFNA((VLOOKUP($D$4,'Indic Deprivation'!$B:$X,7,FALSE)*$E$14),0)</f>
        <v>0</v>
      </c>
      <c r="F24" s="517">
        <f>_xlfn.IFNA((VLOOKUP($D$4,'Indic Deprivation'!$B:$X,10,FALSE)*$F$14),0)</f>
        <v>0</v>
      </c>
      <c r="G24" s="517">
        <f>_xlfn.IFNA((VLOOKUP($D$4,'Indic Deprivation'!$B:$X,13,FALSE)*$G$14),0)</f>
        <v>0</v>
      </c>
      <c r="H24" s="517">
        <f t="shared" si="0"/>
        <v>0</v>
      </c>
      <c r="J24" s="333" t="s">
        <v>493</v>
      </c>
      <c r="K24" s="6">
        <v>0.28999999999999998</v>
      </c>
      <c r="L24" s="518">
        <f>_xlfn.IFNA(VLOOKUP($D$4,'Actuals Dep Summer'!B:O,7,FALSE)*$L$14,0)</f>
        <v>0</v>
      </c>
      <c r="M24" s="518"/>
      <c r="N24" s="518"/>
      <c r="O24" s="7">
        <f>SUM(L24:N24)</f>
        <v>0</v>
      </c>
      <c r="Q24" s="333" t="s">
        <v>493</v>
      </c>
      <c r="R24" s="6">
        <v>0.28999999999999998</v>
      </c>
      <c r="S24" s="341">
        <f t="shared" si="1"/>
        <v>0</v>
      </c>
      <c r="T24" s="341">
        <f t="shared" si="1"/>
        <v>0</v>
      </c>
      <c r="U24" s="341">
        <f t="shared" si="1"/>
        <v>0</v>
      </c>
      <c r="V24" s="341">
        <f t="shared" si="3"/>
        <v>0</v>
      </c>
      <c r="W24" s="472"/>
    </row>
    <row r="25" spans="2:23" x14ac:dyDescent="0.35">
      <c r="B25" s="473"/>
      <c r="C25" s="331" t="s">
        <v>494</v>
      </c>
      <c r="D25" s="8">
        <v>0.08</v>
      </c>
      <c r="E25" s="517">
        <f>_xlfn.IFNA((VLOOKUP($D$4,'Indic Deprivation'!$B:$X,8,FALSE)*$E$14),0)</f>
        <v>0</v>
      </c>
      <c r="F25" s="517">
        <f>_xlfn.IFNA((VLOOKUP($D$4,'Indic Deprivation'!$B:$X,11,FALSE)*$F$14),0)</f>
        <v>0</v>
      </c>
      <c r="G25" s="517">
        <f>_xlfn.IFNA((VLOOKUP($D$4,'Indic Deprivation'!$B:$X,14,FALSE)*$G$14),0)</f>
        <v>0</v>
      </c>
      <c r="H25" s="517">
        <f t="shared" si="0"/>
        <v>0</v>
      </c>
      <c r="J25" s="334" t="s">
        <v>494</v>
      </c>
      <c r="K25" s="8">
        <v>0.08</v>
      </c>
      <c r="L25" s="518">
        <f>_xlfn.IFNA(VLOOKUP($D$4,'Actuals Dep Summer'!B:O,8,FALSE)*$L$14,0)</f>
        <v>0</v>
      </c>
      <c r="M25" s="518"/>
      <c r="N25" s="518"/>
      <c r="O25" s="7">
        <f t="shared" si="2"/>
        <v>0</v>
      </c>
      <c r="Q25" s="334" t="s">
        <v>494</v>
      </c>
      <c r="R25" s="8">
        <v>0.08</v>
      </c>
      <c r="S25" s="341">
        <f t="shared" si="1"/>
        <v>0</v>
      </c>
      <c r="T25" s="341">
        <f t="shared" si="1"/>
        <v>0</v>
      </c>
      <c r="U25" s="341">
        <f t="shared" si="1"/>
        <v>0</v>
      </c>
      <c r="V25" s="341">
        <f t="shared" si="3"/>
        <v>0</v>
      </c>
      <c r="W25" s="472"/>
    </row>
    <row r="26" spans="2:23" x14ac:dyDescent="0.35">
      <c r="B26" s="473"/>
      <c r="C26" s="331" t="s">
        <v>1094</v>
      </c>
      <c r="D26" s="8">
        <v>5.74</v>
      </c>
      <c r="E26" s="517">
        <f>_xlfn.IFNA(VLOOKUP($D$4,'Indic Summer'!$A:$AE,19,FALSE),0)/E14/$D$26</f>
        <v>0</v>
      </c>
      <c r="F26" s="517">
        <f>_xlfn.IFNA(VLOOKUP($D$4,'Indic Autumn'!A:AE,19,FALSE),0)/F14/$D$26</f>
        <v>0</v>
      </c>
      <c r="G26" s="517">
        <f>_xlfn.IFNA(VLOOKUP($D$4,'Indic Spring'!A:AB,18,FALSE),0)/G14/$D$26</f>
        <v>0</v>
      </c>
      <c r="H26" s="517">
        <f t="shared" ref="H26" si="4">SUM(E26:G26)</f>
        <v>0</v>
      </c>
      <c r="J26" s="331" t="s">
        <v>1094</v>
      </c>
      <c r="K26" s="8">
        <v>5.74</v>
      </c>
      <c r="L26" s="518">
        <f>_xlfn.IFNA(VLOOKUP($D$4,'Actuals Summer'!$A:$AG,31,FALSE),0)</f>
        <v>0</v>
      </c>
      <c r="M26" s="518"/>
      <c r="N26" s="518"/>
      <c r="O26" s="7">
        <f t="shared" ref="O26" si="5">SUM(L26:N26)</f>
        <v>0</v>
      </c>
      <c r="Q26" s="334" t="s">
        <v>1094</v>
      </c>
      <c r="R26" s="8">
        <v>5.74</v>
      </c>
      <c r="S26" s="341">
        <f t="shared" ref="S26:U26" si="6">E42*80%</f>
        <v>0</v>
      </c>
      <c r="T26" s="341">
        <f t="shared" si="6"/>
        <v>0</v>
      </c>
      <c r="U26" s="341">
        <f t="shared" si="6"/>
        <v>0</v>
      </c>
      <c r="V26" s="341">
        <f t="shared" ref="V26:V27" si="7">SUM(S26:U26)</f>
        <v>0</v>
      </c>
      <c r="W26" s="472"/>
    </row>
    <row r="27" spans="2:23" x14ac:dyDescent="0.35">
      <c r="B27" s="473"/>
      <c r="C27" s="331" t="s">
        <v>1095</v>
      </c>
      <c r="D27" s="8">
        <f>((545/38))</f>
        <v>14.342105263157896</v>
      </c>
      <c r="E27" s="517"/>
      <c r="F27" s="517"/>
      <c r="G27" s="517"/>
      <c r="H27" s="517">
        <f t="shared" si="0"/>
        <v>0</v>
      </c>
      <c r="J27" s="331" t="s">
        <v>1095</v>
      </c>
      <c r="K27" s="8">
        <f>((545/38))</f>
        <v>14.342105263157896</v>
      </c>
      <c r="L27" s="518"/>
      <c r="M27" s="518"/>
      <c r="N27" s="518"/>
      <c r="O27" s="7">
        <f t="shared" si="2"/>
        <v>0</v>
      </c>
      <c r="Q27" s="334" t="s">
        <v>1095</v>
      </c>
      <c r="R27" s="8">
        <f>((545/38))</f>
        <v>14.342105263157896</v>
      </c>
      <c r="S27" s="341">
        <f t="shared" ref="S27:U27" si="8">E43*80%</f>
        <v>0</v>
      </c>
      <c r="T27" s="341">
        <f t="shared" si="8"/>
        <v>0</v>
      </c>
      <c r="U27" s="341">
        <f t="shared" si="8"/>
        <v>0</v>
      </c>
      <c r="V27" s="341">
        <f t="shared" si="7"/>
        <v>0</v>
      </c>
      <c r="W27" s="472"/>
    </row>
    <row r="28" spans="2:23" x14ac:dyDescent="0.35">
      <c r="B28" s="473"/>
      <c r="C28" s="347" t="s">
        <v>13</v>
      </c>
      <c r="D28" s="6">
        <v>1</v>
      </c>
      <c r="E28" s="517">
        <f>_xlfn.IFNA((VLOOKUP($D$4,'Indic Summer'!$A:$AE,16,FALSE)*$E$14),0)</f>
        <v>0</v>
      </c>
      <c r="F28" s="517">
        <f>_xlfn.IFNA((VLOOKUP($D$4,'Indic Autumn'!A:AE,16,FALSE)*$F$14),0)</f>
        <v>0</v>
      </c>
      <c r="G28" s="517">
        <f>_xlfn.IFNA((VLOOKUP($D$4,'Indic Spring'!A:AB,15,FALSE)*$G$14),0)</f>
        <v>0</v>
      </c>
      <c r="H28" s="517">
        <f t="shared" si="0"/>
        <v>0</v>
      </c>
      <c r="J28" s="333" t="s">
        <v>13</v>
      </c>
      <c r="K28" s="6">
        <v>1</v>
      </c>
      <c r="L28" s="518">
        <f>_xlfn.IFNA(VLOOKUP($D$4,'Actuals Summer'!$A:$AG,32,FALSE),0)</f>
        <v>0</v>
      </c>
      <c r="M28" s="518"/>
      <c r="N28" s="518"/>
      <c r="O28" s="7">
        <f t="shared" si="2"/>
        <v>0</v>
      </c>
      <c r="Q28" s="333" t="s">
        <v>13</v>
      </c>
      <c r="R28" s="6">
        <v>1</v>
      </c>
      <c r="S28" s="341">
        <f t="shared" ref="S28:U29" si="9">E44*80%</f>
        <v>0</v>
      </c>
      <c r="T28" s="341">
        <f t="shared" si="9"/>
        <v>0</v>
      </c>
      <c r="U28" s="341">
        <f t="shared" si="9"/>
        <v>0</v>
      </c>
      <c r="V28" s="341">
        <f t="shared" si="3"/>
        <v>0</v>
      </c>
      <c r="W28" s="472"/>
    </row>
    <row r="29" spans="2:23" x14ac:dyDescent="0.35">
      <c r="B29" s="473"/>
      <c r="C29" s="347" t="s">
        <v>545</v>
      </c>
      <c r="D29" s="9">
        <v>938</v>
      </c>
      <c r="E29" s="517">
        <f>_xlfn.IFNA(VLOOKUP($D$4,'Indic Summer'!$A:$AE,21,FALSE),0)</f>
        <v>0</v>
      </c>
      <c r="F29" s="517">
        <f>_xlfn.IFNA(VLOOKUP($D$4,'Indic Autumn'!A:AE,21,FALSE),0)</f>
        <v>0</v>
      </c>
      <c r="G29" s="517">
        <f>_xlfn.IFNA(VLOOKUP(D4,'Indic Spring'!A:AJ,20,FALSE),0)</f>
        <v>0</v>
      </c>
      <c r="H29" s="517">
        <f t="shared" si="0"/>
        <v>0</v>
      </c>
      <c r="J29" s="333" t="s">
        <v>14</v>
      </c>
      <c r="K29" s="9">
        <v>938</v>
      </c>
      <c r="L29" s="518">
        <f>_xlfn.IFNA(VLOOKUP($D$4,'Actuals Summer'!$A:$AG,33,FALSE),0)</f>
        <v>0</v>
      </c>
      <c r="M29" s="518"/>
      <c r="N29" s="518"/>
      <c r="O29" s="7">
        <f t="shared" si="2"/>
        <v>0</v>
      </c>
      <c r="Q29" s="333" t="s">
        <v>14</v>
      </c>
      <c r="R29" s="9">
        <v>938</v>
      </c>
      <c r="S29" s="341">
        <f t="shared" si="9"/>
        <v>0</v>
      </c>
      <c r="T29" s="341">
        <f t="shared" si="9"/>
        <v>0</v>
      </c>
      <c r="U29" s="341">
        <f t="shared" si="9"/>
        <v>0</v>
      </c>
      <c r="V29" s="341">
        <f t="shared" si="3"/>
        <v>0</v>
      </c>
      <c r="W29" s="472"/>
    </row>
    <row r="30" spans="2:23" x14ac:dyDescent="0.35">
      <c r="B30" s="473"/>
      <c r="C30" s="479"/>
      <c r="D30" s="220"/>
      <c r="E30" s="221"/>
      <c r="F30" s="221"/>
      <c r="G30" s="221"/>
      <c r="H30" s="330"/>
      <c r="J30" s="222"/>
      <c r="K30" s="223"/>
      <c r="L30" s="475"/>
      <c r="M30" s="475"/>
      <c r="N30" s="475"/>
      <c r="Q30" s="333" t="s">
        <v>7</v>
      </c>
      <c r="R30" s="9"/>
      <c r="S30" s="341">
        <f>SUM(S18:S29)</f>
        <v>0</v>
      </c>
      <c r="T30" s="341">
        <f>SUM(T18:T29)</f>
        <v>0</v>
      </c>
      <c r="U30" s="341">
        <f t="shared" ref="U30:V30" si="10">SUM(U18:U29)</f>
        <v>0</v>
      </c>
      <c r="V30" s="341">
        <f t="shared" si="10"/>
        <v>0</v>
      </c>
      <c r="W30" s="472"/>
    </row>
    <row r="31" spans="2:23" customFormat="1" x14ac:dyDescent="0.35">
      <c r="B31" s="497"/>
      <c r="C31" s="479"/>
      <c r="D31" s="223"/>
      <c r="E31" s="221"/>
      <c r="F31" s="221"/>
      <c r="G31" s="221"/>
      <c r="H31" s="475"/>
      <c r="J31" s="222"/>
      <c r="K31" s="223"/>
      <c r="O31" s="475"/>
      <c r="Q31" s="222"/>
      <c r="R31" s="223"/>
      <c r="S31" s="476"/>
      <c r="T31" s="476"/>
      <c r="U31" s="476"/>
      <c r="V31" s="476"/>
      <c r="W31" s="495"/>
    </row>
    <row r="32" spans="2:23" x14ac:dyDescent="0.35">
      <c r="B32" s="473"/>
      <c r="C32" s="480"/>
      <c r="D32" s="218"/>
      <c r="J32" s="355" t="s">
        <v>752</v>
      </c>
      <c r="K32" s="216"/>
      <c r="L32" s="216"/>
      <c r="M32" s="216"/>
      <c r="N32" s="216"/>
      <c r="O32" s="216"/>
      <c r="S32" s="481" t="s">
        <v>542</v>
      </c>
      <c r="T32" s="481" t="s">
        <v>541</v>
      </c>
      <c r="U32" s="481" t="s">
        <v>541</v>
      </c>
      <c r="W32" s="472"/>
    </row>
    <row r="33" spans="2:23" x14ac:dyDescent="0.35">
      <c r="B33" s="473"/>
      <c r="C33" s="2" t="s">
        <v>15</v>
      </c>
      <c r="D33" s="332" t="s">
        <v>3</v>
      </c>
      <c r="E33" s="332" t="s">
        <v>4</v>
      </c>
      <c r="F33" s="332" t="s">
        <v>5</v>
      </c>
      <c r="G33" s="332" t="s">
        <v>6</v>
      </c>
      <c r="H33" s="332" t="s">
        <v>7</v>
      </c>
      <c r="I33" s="474"/>
      <c r="J33" s="2" t="s">
        <v>15</v>
      </c>
      <c r="K33" s="332" t="s">
        <v>3</v>
      </c>
      <c r="L33" s="332" t="s">
        <v>4</v>
      </c>
      <c r="M33" s="332" t="s">
        <v>5</v>
      </c>
      <c r="N33" s="332" t="s">
        <v>6</v>
      </c>
      <c r="O33" s="332" t="s">
        <v>7</v>
      </c>
      <c r="Q33" s="2" t="s">
        <v>735</v>
      </c>
      <c r="R33" s="337" t="s">
        <v>3</v>
      </c>
      <c r="S33" s="337" t="s">
        <v>540</v>
      </c>
      <c r="T33" s="337" t="s">
        <v>5</v>
      </c>
      <c r="U33" s="337" t="s">
        <v>6</v>
      </c>
      <c r="V33" s="337" t="s">
        <v>7</v>
      </c>
      <c r="W33" s="472"/>
    </row>
    <row r="34" spans="2:23" x14ac:dyDescent="0.35">
      <c r="B34" s="473"/>
      <c r="C34" s="348" t="s">
        <v>9</v>
      </c>
      <c r="D34" s="6">
        <v>5.66</v>
      </c>
      <c r="E34" s="341">
        <f t="shared" ref="E34:E41" si="11">D34*E18</f>
        <v>0</v>
      </c>
      <c r="F34" s="341">
        <f t="shared" ref="F34:F41" si="12">D34*F18</f>
        <v>0</v>
      </c>
      <c r="G34" s="341">
        <f t="shared" ref="G34:G41" si="13">D34*G18</f>
        <v>0</v>
      </c>
      <c r="H34" s="341">
        <f>SUM(E34:G34)</f>
        <v>0</v>
      </c>
      <c r="I34" s="10"/>
      <c r="J34" s="333" t="s">
        <v>9</v>
      </c>
      <c r="K34" s="6">
        <v>5.66</v>
      </c>
      <c r="L34" s="341">
        <f t="shared" ref="L34:L41" si="14">K34*L18</f>
        <v>0</v>
      </c>
      <c r="M34" s="341">
        <f t="shared" ref="M34:M41" si="15">K34*M18</f>
        <v>0</v>
      </c>
      <c r="N34" s="341">
        <f t="shared" ref="N34:N41" si="16">K34*N18</f>
        <v>0</v>
      </c>
      <c r="O34" s="341">
        <f>SUM(L34:N34)</f>
        <v>0</v>
      </c>
      <c r="Q34" s="333" t="s">
        <v>9</v>
      </c>
      <c r="R34" s="6">
        <v>5.66</v>
      </c>
      <c r="S34" s="341">
        <f>L34-S18</f>
        <v>0</v>
      </c>
      <c r="T34" s="341">
        <f>M34-T18</f>
        <v>0</v>
      </c>
      <c r="U34" s="341">
        <f>N34-U18</f>
        <v>0</v>
      </c>
      <c r="V34" s="341">
        <f>SUM(S34:U34)</f>
        <v>0</v>
      </c>
      <c r="W34" s="472"/>
    </row>
    <row r="35" spans="2:23" x14ac:dyDescent="0.35">
      <c r="B35" s="473"/>
      <c r="C35" s="348" t="s">
        <v>10</v>
      </c>
      <c r="D35" s="6">
        <v>5.66</v>
      </c>
      <c r="E35" s="341">
        <f t="shared" si="11"/>
        <v>0</v>
      </c>
      <c r="F35" s="341">
        <f t="shared" si="12"/>
        <v>0</v>
      </c>
      <c r="G35" s="341">
        <f t="shared" si="13"/>
        <v>0</v>
      </c>
      <c r="H35" s="341">
        <f t="shared" ref="H35:H44" si="17">SUM(E35:G35)</f>
        <v>0</v>
      </c>
      <c r="I35" s="10"/>
      <c r="J35" s="333" t="s">
        <v>10</v>
      </c>
      <c r="K35" s="6">
        <v>5.66</v>
      </c>
      <c r="L35" s="341">
        <f t="shared" si="14"/>
        <v>0</v>
      </c>
      <c r="M35" s="341">
        <f t="shared" si="15"/>
        <v>0</v>
      </c>
      <c r="N35" s="341">
        <f t="shared" si="16"/>
        <v>0</v>
      </c>
      <c r="O35" s="341">
        <f t="shared" ref="O35:O44" si="18">SUM(L35:N35)</f>
        <v>0</v>
      </c>
      <c r="Q35" s="333" t="s">
        <v>10</v>
      </c>
      <c r="R35" s="6">
        <v>5.66</v>
      </c>
      <c r="S35" s="341">
        <f t="shared" ref="S35:S41" si="19">L35-S19</f>
        <v>0</v>
      </c>
      <c r="T35" s="341">
        <f t="shared" ref="T35:U35" si="20">M35-T19</f>
        <v>0</v>
      </c>
      <c r="U35" s="341">
        <f t="shared" si="20"/>
        <v>0</v>
      </c>
      <c r="V35" s="341">
        <f t="shared" ref="V35:V45" si="21">SUM(S35:U35)</f>
        <v>0</v>
      </c>
      <c r="W35" s="472"/>
    </row>
    <row r="36" spans="2:23" x14ac:dyDescent="0.35">
      <c r="B36" s="473"/>
      <c r="C36" s="348" t="s">
        <v>11</v>
      </c>
      <c r="D36" s="6">
        <v>8.51</v>
      </c>
      <c r="E36" s="341">
        <f t="shared" si="11"/>
        <v>0</v>
      </c>
      <c r="F36" s="341">
        <f t="shared" si="12"/>
        <v>0</v>
      </c>
      <c r="G36" s="341">
        <f t="shared" si="13"/>
        <v>0</v>
      </c>
      <c r="H36" s="341">
        <f t="shared" si="17"/>
        <v>0</v>
      </c>
      <c r="I36" s="10"/>
      <c r="J36" s="333" t="s">
        <v>11</v>
      </c>
      <c r="K36" s="6">
        <v>8.51</v>
      </c>
      <c r="L36" s="341">
        <f t="shared" si="14"/>
        <v>0</v>
      </c>
      <c r="M36" s="341">
        <f t="shared" si="15"/>
        <v>0</v>
      </c>
      <c r="N36" s="341">
        <f t="shared" si="16"/>
        <v>0</v>
      </c>
      <c r="O36" s="341">
        <f t="shared" si="18"/>
        <v>0</v>
      </c>
      <c r="Q36" s="333" t="s">
        <v>11</v>
      </c>
      <c r="R36" s="6">
        <v>8.51</v>
      </c>
      <c r="S36" s="341">
        <f t="shared" si="19"/>
        <v>0</v>
      </c>
      <c r="T36" s="341">
        <f t="shared" ref="T36:U36" si="22">M36-T20</f>
        <v>0</v>
      </c>
      <c r="U36" s="341">
        <f t="shared" si="22"/>
        <v>0</v>
      </c>
      <c r="V36" s="341">
        <f t="shared" si="21"/>
        <v>0</v>
      </c>
      <c r="W36" s="472"/>
    </row>
    <row r="37" spans="2:23" x14ac:dyDescent="0.35">
      <c r="B37" s="473"/>
      <c r="C37" s="348" t="s">
        <v>220</v>
      </c>
      <c r="D37" s="6">
        <v>8.51</v>
      </c>
      <c r="E37" s="341">
        <f t="shared" si="11"/>
        <v>0</v>
      </c>
      <c r="F37" s="341">
        <f t="shared" si="12"/>
        <v>0</v>
      </c>
      <c r="G37" s="341">
        <f t="shared" si="13"/>
        <v>0</v>
      </c>
      <c r="H37" s="341">
        <f t="shared" ref="H37" si="23">SUM(E37:G37)</f>
        <v>0</v>
      </c>
      <c r="I37" s="10"/>
      <c r="J37" s="333" t="s">
        <v>220</v>
      </c>
      <c r="K37" s="6">
        <v>8.51</v>
      </c>
      <c r="L37" s="341">
        <f t="shared" si="14"/>
        <v>0</v>
      </c>
      <c r="M37" s="341">
        <f t="shared" si="15"/>
        <v>0</v>
      </c>
      <c r="N37" s="341">
        <f t="shared" si="16"/>
        <v>0</v>
      </c>
      <c r="O37" s="341">
        <f>SUM(L37:N37)</f>
        <v>0</v>
      </c>
      <c r="Q37" s="333" t="s">
        <v>220</v>
      </c>
      <c r="R37" s="6">
        <v>8.51</v>
      </c>
      <c r="S37" s="341">
        <f t="shared" si="19"/>
        <v>0</v>
      </c>
      <c r="T37" s="341">
        <f t="shared" ref="T37:U37" si="24">M37-T21</f>
        <v>0</v>
      </c>
      <c r="U37" s="341">
        <f t="shared" si="24"/>
        <v>0</v>
      </c>
      <c r="V37" s="341">
        <f t="shared" si="21"/>
        <v>0</v>
      </c>
      <c r="W37" s="472"/>
    </row>
    <row r="38" spans="2:23" x14ac:dyDescent="0.35">
      <c r="B38" s="473"/>
      <c r="C38" s="348" t="s">
        <v>12</v>
      </c>
      <c r="D38" s="6">
        <v>11.92</v>
      </c>
      <c r="E38" s="341">
        <f t="shared" si="11"/>
        <v>0</v>
      </c>
      <c r="F38" s="341">
        <f t="shared" si="12"/>
        <v>0</v>
      </c>
      <c r="G38" s="341">
        <f t="shared" si="13"/>
        <v>0</v>
      </c>
      <c r="H38" s="341">
        <f>SUM(E38:G38)</f>
        <v>0</v>
      </c>
      <c r="I38" s="10"/>
      <c r="J38" s="333" t="s">
        <v>12</v>
      </c>
      <c r="K38" s="6">
        <v>11.92</v>
      </c>
      <c r="L38" s="341">
        <f t="shared" si="14"/>
        <v>0</v>
      </c>
      <c r="M38" s="341">
        <f t="shared" si="15"/>
        <v>0</v>
      </c>
      <c r="N38" s="341">
        <f t="shared" si="16"/>
        <v>0</v>
      </c>
      <c r="O38" s="341">
        <f t="shared" si="18"/>
        <v>0</v>
      </c>
      <c r="Q38" s="333" t="s">
        <v>12</v>
      </c>
      <c r="R38" s="6">
        <v>11.92</v>
      </c>
      <c r="S38" s="341">
        <f t="shared" si="19"/>
        <v>0</v>
      </c>
      <c r="T38" s="341">
        <f t="shared" ref="T38:U38" si="25">M38-T22</f>
        <v>0</v>
      </c>
      <c r="U38" s="341">
        <f t="shared" si="25"/>
        <v>0</v>
      </c>
      <c r="V38" s="341">
        <f t="shared" si="21"/>
        <v>0</v>
      </c>
      <c r="W38" s="472"/>
    </row>
    <row r="39" spans="2:23" x14ac:dyDescent="0.35">
      <c r="B39" s="473"/>
      <c r="C39" s="348" t="s">
        <v>492</v>
      </c>
      <c r="D39" s="6">
        <v>0.61</v>
      </c>
      <c r="E39" s="341">
        <f t="shared" si="11"/>
        <v>0</v>
      </c>
      <c r="F39" s="341">
        <f t="shared" si="12"/>
        <v>0</v>
      </c>
      <c r="G39" s="341">
        <f t="shared" si="13"/>
        <v>0</v>
      </c>
      <c r="H39" s="341">
        <f>SUM(E39:G39)</f>
        <v>0</v>
      </c>
      <c r="I39" s="10"/>
      <c r="J39" s="333" t="s">
        <v>492</v>
      </c>
      <c r="K39" s="6">
        <v>0.61</v>
      </c>
      <c r="L39" s="341">
        <f t="shared" si="14"/>
        <v>0</v>
      </c>
      <c r="M39" s="341">
        <f t="shared" si="15"/>
        <v>0</v>
      </c>
      <c r="N39" s="341">
        <f t="shared" si="16"/>
        <v>0</v>
      </c>
      <c r="O39" s="341">
        <f>SUM(L39:N39)</f>
        <v>0</v>
      </c>
      <c r="Q39" s="333" t="s">
        <v>492</v>
      </c>
      <c r="R39" s="6">
        <v>0.61</v>
      </c>
      <c r="S39" s="341">
        <f t="shared" si="19"/>
        <v>0</v>
      </c>
      <c r="T39" s="341">
        <f t="shared" ref="T39:U39" si="26">M39-T23</f>
        <v>0</v>
      </c>
      <c r="U39" s="341">
        <f t="shared" si="26"/>
        <v>0</v>
      </c>
      <c r="V39" s="341">
        <f t="shared" si="21"/>
        <v>0</v>
      </c>
      <c r="W39" s="472"/>
    </row>
    <row r="40" spans="2:23" x14ac:dyDescent="0.35">
      <c r="B40" s="473"/>
      <c r="C40" s="348" t="s">
        <v>493</v>
      </c>
      <c r="D40" s="6">
        <v>0.28999999999999998</v>
      </c>
      <c r="E40" s="341">
        <f t="shared" si="11"/>
        <v>0</v>
      </c>
      <c r="F40" s="341">
        <f t="shared" si="12"/>
        <v>0</v>
      </c>
      <c r="G40" s="341">
        <f t="shared" si="13"/>
        <v>0</v>
      </c>
      <c r="H40" s="341">
        <f>SUM(E40:G40)</f>
        <v>0</v>
      </c>
      <c r="I40" s="10"/>
      <c r="J40" s="333" t="s">
        <v>493</v>
      </c>
      <c r="K40" s="6">
        <v>0.28999999999999998</v>
      </c>
      <c r="L40" s="341">
        <f t="shared" si="14"/>
        <v>0</v>
      </c>
      <c r="M40" s="341">
        <f t="shared" si="15"/>
        <v>0</v>
      </c>
      <c r="N40" s="341">
        <f t="shared" si="16"/>
        <v>0</v>
      </c>
      <c r="O40" s="341">
        <f>SUM(L40:N40)</f>
        <v>0</v>
      </c>
      <c r="Q40" s="333" t="s">
        <v>493</v>
      </c>
      <c r="R40" s="6">
        <v>0.28999999999999998</v>
      </c>
      <c r="S40" s="341">
        <f t="shared" si="19"/>
        <v>0</v>
      </c>
      <c r="T40" s="341">
        <f t="shared" ref="T40:U40" si="27">M40-T24</f>
        <v>0</v>
      </c>
      <c r="U40" s="341">
        <f t="shared" si="27"/>
        <v>0</v>
      </c>
      <c r="V40" s="341">
        <f t="shared" si="21"/>
        <v>0</v>
      </c>
      <c r="W40" s="472"/>
    </row>
    <row r="41" spans="2:23" x14ac:dyDescent="0.35">
      <c r="B41" s="473"/>
      <c r="C41" s="349" t="s">
        <v>494</v>
      </c>
      <c r="D41" s="8">
        <v>0.08</v>
      </c>
      <c r="E41" s="341">
        <f t="shared" si="11"/>
        <v>0</v>
      </c>
      <c r="F41" s="341">
        <f t="shared" si="12"/>
        <v>0</v>
      </c>
      <c r="G41" s="341">
        <f t="shared" si="13"/>
        <v>0</v>
      </c>
      <c r="H41" s="341">
        <f t="shared" si="17"/>
        <v>0</v>
      </c>
      <c r="I41" s="10"/>
      <c r="J41" s="334" t="s">
        <v>494</v>
      </c>
      <c r="K41" s="8">
        <v>0.08</v>
      </c>
      <c r="L41" s="341">
        <f t="shared" si="14"/>
        <v>0</v>
      </c>
      <c r="M41" s="341">
        <f t="shared" si="15"/>
        <v>0</v>
      </c>
      <c r="N41" s="341">
        <f t="shared" si="16"/>
        <v>0</v>
      </c>
      <c r="O41" s="341">
        <f t="shared" si="18"/>
        <v>0</v>
      </c>
      <c r="Q41" s="334" t="s">
        <v>494</v>
      </c>
      <c r="R41" s="8">
        <v>0.08</v>
      </c>
      <c r="S41" s="341">
        <f t="shared" si="19"/>
        <v>0</v>
      </c>
      <c r="T41" s="341">
        <f t="shared" ref="T41:U41" si="28">M41-T25</f>
        <v>0</v>
      </c>
      <c r="U41" s="341">
        <f t="shared" si="28"/>
        <v>0</v>
      </c>
      <c r="V41" s="341">
        <f t="shared" si="21"/>
        <v>0</v>
      </c>
      <c r="W41" s="472"/>
    </row>
    <row r="42" spans="2:23" x14ac:dyDescent="0.35">
      <c r="B42" s="473"/>
      <c r="C42" s="349" t="s">
        <v>1094</v>
      </c>
      <c r="D42" s="8">
        <v>5.74</v>
      </c>
      <c r="E42" s="341">
        <f>($D$42)*E26*E14</f>
        <v>0</v>
      </c>
      <c r="F42" s="341">
        <f t="shared" ref="F42:G42" si="29">($D$42)*F26*F14</f>
        <v>0</v>
      </c>
      <c r="G42" s="341">
        <f t="shared" si="29"/>
        <v>0</v>
      </c>
      <c r="H42" s="341">
        <f>SUM(E42:G42)</f>
        <v>0</v>
      </c>
      <c r="I42" s="10"/>
      <c r="J42" s="334" t="s">
        <v>1094</v>
      </c>
      <c r="K42" s="8">
        <v>5.74</v>
      </c>
      <c r="L42" s="341">
        <f>($K$42)*L26*L14</f>
        <v>0</v>
      </c>
      <c r="M42" s="341">
        <f t="shared" ref="M42:N42" si="30">($K$42)*M26*M14</f>
        <v>0</v>
      </c>
      <c r="N42" s="341">
        <f t="shared" si="30"/>
        <v>0</v>
      </c>
      <c r="O42" s="341">
        <f>SUM(L42:N42)</f>
        <v>0</v>
      </c>
      <c r="Q42" s="334" t="s">
        <v>1094</v>
      </c>
      <c r="R42" s="8">
        <v>5.74</v>
      </c>
      <c r="S42" s="341">
        <f t="shared" ref="S42" si="31">L42-S26</f>
        <v>0</v>
      </c>
      <c r="T42" s="341">
        <f t="shared" ref="T42:T43" si="32">M42-T26</f>
        <v>0</v>
      </c>
      <c r="U42" s="341">
        <f t="shared" ref="U42:U43" si="33">N42-U26</f>
        <v>0</v>
      </c>
      <c r="V42" s="341">
        <f t="shared" ref="V42:V43" si="34">SUM(S42:U42)</f>
        <v>0</v>
      </c>
      <c r="W42" s="472"/>
    </row>
    <row r="43" spans="2:23" x14ac:dyDescent="0.35">
      <c r="B43" s="473"/>
      <c r="C43" s="349" t="s">
        <v>1095</v>
      </c>
      <c r="D43" s="8">
        <f>((545/38))</f>
        <v>14.342105263157896</v>
      </c>
      <c r="E43" s="341">
        <f>$D$43*E27</f>
        <v>0</v>
      </c>
      <c r="F43" s="341">
        <f t="shared" ref="F43:G43" si="35">$D$43*F27</f>
        <v>0</v>
      </c>
      <c r="G43" s="341">
        <f t="shared" si="35"/>
        <v>0</v>
      </c>
      <c r="H43" s="341">
        <f>SUM(E43:G43)</f>
        <v>0</v>
      </c>
      <c r="I43" s="10"/>
      <c r="J43" s="334" t="s">
        <v>1095</v>
      </c>
      <c r="K43" s="8">
        <f>((545/38))</f>
        <v>14.342105263157896</v>
      </c>
      <c r="L43" s="341">
        <f>$K$42*L27</f>
        <v>0</v>
      </c>
      <c r="M43" s="341">
        <f t="shared" ref="M43:N43" si="36">$K$42*M27</f>
        <v>0</v>
      </c>
      <c r="N43" s="341">
        <f t="shared" si="36"/>
        <v>0</v>
      </c>
      <c r="O43" s="341">
        <f>SUM(L43:N43)</f>
        <v>0</v>
      </c>
      <c r="Q43" s="334" t="s">
        <v>1095</v>
      </c>
      <c r="R43" s="8">
        <f>((545/38))</f>
        <v>14.342105263157896</v>
      </c>
      <c r="S43" s="341">
        <f>L43-S27</f>
        <v>0</v>
      </c>
      <c r="T43" s="341">
        <f t="shared" si="32"/>
        <v>0</v>
      </c>
      <c r="U43" s="341">
        <f t="shared" si="33"/>
        <v>0</v>
      </c>
      <c r="V43" s="341">
        <f t="shared" si="34"/>
        <v>0</v>
      </c>
      <c r="W43" s="472"/>
    </row>
    <row r="44" spans="2:23" x14ac:dyDescent="0.35">
      <c r="B44" s="473"/>
      <c r="C44" s="348" t="s">
        <v>13</v>
      </c>
      <c r="D44" s="6">
        <v>1</v>
      </c>
      <c r="E44" s="341">
        <f>D44*E28</f>
        <v>0</v>
      </c>
      <c r="F44" s="341">
        <f>D44*F28</f>
        <v>0</v>
      </c>
      <c r="G44" s="341">
        <f>D44*G28</f>
        <v>0</v>
      </c>
      <c r="H44" s="341">
        <f t="shared" si="17"/>
        <v>0</v>
      </c>
      <c r="I44" s="10"/>
      <c r="J44" s="333" t="s">
        <v>13</v>
      </c>
      <c r="K44" s="6">
        <v>1</v>
      </c>
      <c r="L44" s="341">
        <f>K44*L28</f>
        <v>0</v>
      </c>
      <c r="M44" s="341">
        <f>K44*M28</f>
        <v>0</v>
      </c>
      <c r="N44" s="341">
        <f>K44*N28</f>
        <v>0</v>
      </c>
      <c r="O44" s="341">
        <f t="shared" si="18"/>
        <v>0</v>
      </c>
      <c r="Q44" s="333" t="s">
        <v>13</v>
      </c>
      <c r="R44" s="6">
        <v>1</v>
      </c>
      <c r="S44" s="341">
        <f>L44-S28</f>
        <v>0</v>
      </c>
      <c r="T44" s="341">
        <f t="shared" ref="T44:U44" si="37">M44-T28</f>
        <v>0</v>
      </c>
      <c r="U44" s="341">
        <f t="shared" si="37"/>
        <v>0</v>
      </c>
      <c r="V44" s="341">
        <f t="shared" si="21"/>
        <v>0</v>
      </c>
      <c r="W44" s="472"/>
    </row>
    <row r="45" spans="2:23" x14ac:dyDescent="0.35">
      <c r="B45" s="473"/>
      <c r="C45" s="348" t="s">
        <v>544</v>
      </c>
      <c r="D45" s="9">
        <v>938</v>
      </c>
      <c r="E45" s="341">
        <f>((($D$29/$H$14)*$E$14)*E29)</f>
        <v>0</v>
      </c>
      <c r="F45" s="341">
        <f>((($D$29/$H$14)*$F$14)*F29)</f>
        <v>0</v>
      </c>
      <c r="G45" s="341">
        <f>((($D$29/$H$14)*$G$14)*G29)</f>
        <v>0</v>
      </c>
      <c r="H45" s="341">
        <f>SUM(E45:G45)</f>
        <v>0</v>
      </c>
      <c r="I45" s="10"/>
      <c r="J45" s="333" t="s">
        <v>14</v>
      </c>
      <c r="K45" s="9">
        <v>938</v>
      </c>
      <c r="L45" s="341">
        <f>((($K$29/$O$14)*$L$14)*L29)</f>
        <v>0</v>
      </c>
      <c r="M45" s="341">
        <f>((($K$29/$O$14)*$M$14)*M29)</f>
        <v>0</v>
      </c>
      <c r="N45" s="341">
        <f>((($K$29/$O$14)*$N$14)*N29)</f>
        <v>0</v>
      </c>
      <c r="O45" s="341">
        <f>SUM(L45:N45)</f>
        <v>0</v>
      </c>
      <c r="Q45" s="333" t="s">
        <v>14</v>
      </c>
      <c r="R45" s="9">
        <v>938</v>
      </c>
      <c r="S45" s="341">
        <f>L45-S29</f>
        <v>0</v>
      </c>
      <c r="T45" s="341">
        <f t="shared" ref="T45:U45" si="38">M45-T29</f>
        <v>0</v>
      </c>
      <c r="U45" s="341">
        <f t="shared" si="38"/>
        <v>0</v>
      </c>
      <c r="V45" s="341">
        <f t="shared" si="21"/>
        <v>0</v>
      </c>
      <c r="W45" s="472"/>
    </row>
    <row r="46" spans="2:23" x14ac:dyDescent="0.35">
      <c r="B46" s="473"/>
      <c r="C46" s="348" t="s">
        <v>7</v>
      </c>
      <c r="D46" s="9"/>
      <c r="E46" s="341">
        <f>SUM(E34:E45)</f>
        <v>0</v>
      </c>
      <c r="F46" s="341">
        <f t="shared" ref="F46:H46" si="39">SUM(F34:F45)</f>
        <v>0</v>
      </c>
      <c r="G46" s="341">
        <f t="shared" si="39"/>
        <v>0</v>
      </c>
      <c r="H46" s="341">
        <f t="shared" si="39"/>
        <v>0</v>
      </c>
      <c r="I46" s="10"/>
      <c r="J46" s="333" t="s">
        <v>7</v>
      </c>
      <c r="K46" s="9"/>
      <c r="L46" s="341">
        <f>SUM(L34:L45)</f>
        <v>0</v>
      </c>
      <c r="M46" s="341">
        <f t="shared" ref="M46:O46" si="40">SUM(M34:M45)</f>
        <v>0</v>
      </c>
      <c r="N46" s="341">
        <f t="shared" si="40"/>
        <v>0</v>
      </c>
      <c r="O46" s="341">
        <f t="shared" si="40"/>
        <v>0</v>
      </c>
      <c r="Q46" s="333" t="s">
        <v>7</v>
      </c>
      <c r="R46" s="9"/>
      <c r="S46" s="341">
        <f>SUM(S34:S45)</f>
        <v>0</v>
      </c>
      <c r="T46" s="341">
        <f t="shared" ref="T46:V46" si="41">SUM(T34:T45)</f>
        <v>0</v>
      </c>
      <c r="U46" s="341">
        <f t="shared" si="41"/>
        <v>0</v>
      </c>
      <c r="V46" s="341">
        <f t="shared" si="41"/>
        <v>0</v>
      </c>
      <c r="W46" s="472"/>
    </row>
    <row r="47" spans="2:23" x14ac:dyDescent="0.35">
      <c r="B47" s="473"/>
      <c r="W47" s="472"/>
    </row>
    <row r="48" spans="2:23" x14ac:dyDescent="0.35">
      <c r="B48" s="473"/>
      <c r="G48" s="333" t="s">
        <v>16</v>
      </c>
      <c r="H48" s="341">
        <f>_xlfn.IFNA(VLOOKUP(D4,MNS!A:H,8,FALSE),0)</f>
        <v>0</v>
      </c>
      <c r="N48" s="333" t="s">
        <v>16</v>
      </c>
      <c r="O48" s="341">
        <f>H48</f>
        <v>0</v>
      </c>
      <c r="U48" s="333" t="s">
        <v>16</v>
      </c>
      <c r="V48" s="519">
        <f>H48</f>
        <v>0</v>
      </c>
      <c r="W48" s="472"/>
    </row>
    <row r="49" spans="2:23" x14ac:dyDescent="0.35">
      <c r="B49" s="473"/>
      <c r="G49" s="333" t="s">
        <v>17</v>
      </c>
      <c r="H49" s="341">
        <f>H46+H48</f>
        <v>0</v>
      </c>
      <c r="I49" s="10"/>
      <c r="N49" s="333" t="s">
        <v>17</v>
      </c>
      <c r="O49" s="341">
        <f>O46+O48</f>
        <v>0</v>
      </c>
      <c r="U49" s="333" t="s">
        <v>17</v>
      </c>
      <c r="V49" s="519">
        <f>V46+V48</f>
        <v>0</v>
      </c>
      <c r="W49" s="472"/>
    </row>
    <row r="50" spans="2:23" x14ac:dyDescent="0.35">
      <c r="B50" s="473"/>
      <c r="W50" s="472"/>
    </row>
    <row r="51" spans="2:23" ht="15" thickBot="1" x14ac:dyDescent="0.4">
      <c r="B51" s="483"/>
      <c r="C51" s="219"/>
      <c r="D51" s="219"/>
      <c r="E51" s="219"/>
      <c r="F51" s="219"/>
      <c r="G51" s="219"/>
      <c r="H51" s="219"/>
      <c r="I51" s="219"/>
      <c r="J51" s="219"/>
      <c r="K51" s="219"/>
      <c r="L51" s="219"/>
      <c r="M51" s="219"/>
      <c r="N51" s="219"/>
      <c r="O51" s="219"/>
      <c r="P51" s="219"/>
      <c r="Q51" s="219"/>
      <c r="R51" s="219"/>
      <c r="S51" s="219"/>
      <c r="T51" s="219"/>
      <c r="U51" s="219"/>
      <c r="V51" s="219"/>
      <c r="W51" s="484"/>
    </row>
  </sheetData>
  <sheetProtection algorithmName="SHA-512" hashValue="AcoZh3o8bSwoVEFB03kRpmZWa7OdeLGV9Lj99pmGv4MZt1HM9N5UP1SaigZUrRNiHmikoACwzVOIuckcfQ7wNg==" saltValue="c9x9dfccvsfefRORGPfGBw==" spinCount="100000" sheet="1" objects="1" scenarios="1"/>
  <phoneticPr fontId="38" type="noConversion"/>
  <conditionalFormatting sqref="S34:V46">
    <cfRule type="cellIs" dxfId="6" priority="1" operator="lessThan">
      <formula>0</formula>
    </cfRule>
  </conditionalFormatting>
  <pageMargins left="0.7" right="0.7" top="0.75" bottom="0.75" header="0.3" footer="0.3"/>
  <headerFooter>
    <oddFooter>&amp;C_x000D_&amp;1#&amp;"Calibri"&amp;10&amp;K000000 OFFICIAL</oddFooter>
  </headerFooter>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1FE3C3D-726A-41FA-9235-DD50B090DE68}">
          <x14:formula1>
            <xm:f>Lookup!$D$2:$D$91</xm:f>
          </x14:formula1>
          <xm:sqref>D6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EBBFC-7827-49D0-8019-E0408AB3FA82}">
  <sheetPr>
    <tabColor theme="1"/>
  </sheetPr>
  <dimension ref="B1:W51"/>
  <sheetViews>
    <sheetView showGridLines="0" zoomScale="90" zoomScaleNormal="90" workbookViewId="0">
      <selection activeCell="J5" sqref="J5"/>
    </sheetView>
  </sheetViews>
  <sheetFormatPr defaultColWidth="8.81640625" defaultRowHeight="14.5" x14ac:dyDescent="0.35"/>
  <cols>
    <col min="1" max="1" width="0.54296875" style="1" customWidth="1"/>
    <col min="2" max="2" width="5.7265625" style="1" customWidth="1"/>
    <col min="3" max="3" width="26.54296875" style="1" customWidth="1"/>
    <col min="4" max="4" width="14.7265625" style="1" customWidth="1"/>
    <col min="5" max="5" width="15.7265625" style="1" customWidth="1"/>
    <col min="6" max="7" width="15.26953125" style="1" customWidth="1"/>
    <col min="8" max="8" width="12" style="1" bestFit="1" customWidth="1"/>
    <col min="9" max="9" width="5.7265625" style="1" customWidth="1"/>
    <col min="10" max="10" width="23.54296875" style="1" bestFit="1" customWidth="1"/>
    <col min="11" max="11" width="12.7265625" style="1" customWidth="1"/>
    <col min="12" max="12" width="13.7265625" style="1" customWidth="1"/>
    <col min="13" max="14" width="12.7265625" style="1" customWidth="1"/>
    <col min="15" max="15" width="16.7265625" style="1" customWidth="1"/>
    <col min="16" max="16" width="2.81640625" style="1" customWidth="1"/>
    <col min="17" max="17" width="21.1796875" style="1" bestFit="1" customWidth="1"/>
    <col min="18" max="18" width="13.453125" style="1" bestFit="1" customWidth="1"/>
    <col min="19" max="19" width="13.1796875" style="1" bestFit="1" customWidth="1"/>
    <col min="20" max="21" width="12.7265625" style="1" bestFit="1" customWidth="1"/>
    <col min="22" max="22" width="12" style="1" bestFit="1" customWidth="1"/>
    <col min="23" max="23" width="5.7265625" style="1" customWidth="1"/>
    <col min="24" max="16384" width="8.81640625" style="1"/>
  </cols>
  <sheetData>
    <row r="1" spans="2:23" ht="18.5" x14ac:dyDescent="0.45">
      <c r="B1" s="498"/>
      <c r="C1" s="132" t="s">
        <v>746</v>
      </c>
      <c r="D1" s="133"/>
      <c r="E1" s="133"/>
      <c r="F1" s="134"/>
      <c r="G1" s="134"/>
      <c r="H1" s="134"/>
      <c r="I1" s="134"/>
      <c r="J1" s="134"/>
      <c r="K1" s="134"/>
      <c r="L1" s="346"/>
      <c r="M1" s="346"/>
      <c r="N1" s="135"/>
      <c r="O1" s="135"/>
      <c r="P1" s="135"/>
      <c r="Q1" s="135"/>
      <c r="R1" s="134"/>
      <c r="S1" s="134"/>
      <c r="T1" s="134"/>
      <c r="U1" s="134"/>
      <c r="V1" s="134"/>
      <c r="W1" s="492"/>
    </row>
    <row r="2" spans="2:23" ht="18.5" x14ac:dyDescent="0.45">
      <c r="B2" s="499"/>
      <c r="C2" s="496" t="s">
        <v>764</v>
      </c>
      <c r="D2" s="485"/>
      <c r="E2" s="485"/>
      <c r="F2" s="486"/>
      <c r="G2" s="486"/>
      <c r="H2" s="486"/>
      <c r="I2" s="486"/>
      <c r="J2" s="486"/>
      <c r="K2" s="486"/>
      <c r="L2" s="487"/>
      <c r="M2" s="487"/>
      <c r="N2" s="487"/>
      <c r="O2" s="487"/>
      <c r="P2" s="487"/>
      <c r="Q2" s="487"/>
      <c r="R2" s="486"/>
      <c r="S2" s="486"/>
      <c r="T2" s="486"/>
      <c r="U2" s="486"/>
      <c r="V2" s="486"/>
      <c r="W2" s="493"/>
    </row>
    <row r="3" spans="2:23" x14ac:dyDescent="0.35">
      <c r="B3" s="499"/>
      <c r="C3" s="485"/>
      <c r="D3" s="485"/>
      <c r="E3" s="485"/>
      <c r="F3" s="486"/>
      <c r="G3" s="486"/>
      <c r="H3" s="486"/>
      <c r="I3" s="486"/>
      <c r="J3" s="486"/>
      <c r="K3" s="486"/>
      <c r="L3" s="487"/>
      <c r="M3" s="487"/>
      <c r="N3" s="487"/>
      <c r="O3" s="487"/>
      <c r="P3" s="487"/>
      <c r="Q3" s="487"/>
      <c r="R3" s="486"/>
      <c r="S3" s="486"/>
      <c r="T3" s="486"/>
      <c r="U3" s="486"/>
      <c r="V3" s="486"/>
      <c r="W3" s="493"/>
    </row>
    <row r="4" spans="2:23" ht="18.5" x14ac:dyDescent="0.45">
      <c r="B4" s="499"/>
      <c r="C4" s="496" t="s">
        <v>495</v>
      </c>
      <c r="D4" s="488">
        <f>'EY Funding Notification'!D4</f>
        <v>0</v>
      </c>
      <c r="E4" s="485"/>
      <c r="F4" s="486"/>
      <c r="G4" s="486"/>
      <c r="H4" s="486"/>
      <c r="I4" s="486"/>
      <c r="J4" s="486"/>
      <c r="K4" s="486"/>
      <c r="L4" s="487"/>
      <c r="M4" s="487"/>
      <c r="N4" s="487"/>
      <c r="O4" s="487"/>
      <c r="P4" s="487"/>
      <c r="Q4" s="487"/>
      <c r="R4" s="486"/>
      <c r="S4" s="486"/>
      <c r="T4" s="486"/>
      <c r="U4" s="486"/>
      <c r="V4" s="486"/>
      <c r="W4" s="493"/>
    </row>
    <row r="5" spans="2:23" ht="18.5" x14ac:dyDescent="0.45">
      <c r="B5" s="499"/>
      <c r="C5" s="496" t="s">
        <v>496</v>
      </c>
      <c r="D5" s="488">
        <f>'EY Funding Notification'!D5</f>
        <v>0</v>
      </c>
      <c r="E5" s="485"/>
      <c r="F5" s="486"/>
      <c r="G5" s="486"/>
      <c r="H5" s="486"/>
      <c r="I5" s="486"/>
      <c r="J5" s="486"/>
      <c r="K5" s="486"/>
      <c r="L5" s="487"/>
      <c r="M5" s="487"/>
      <c r="N5" s="487"/>
      <c r="O5" s="487"/>
      <c r="P5" s="487"/>
      <c r="Q5" s="487"/>
      <c r="R5" s="486"/>
      <c r="S5" s="486"/>
      <c r="T5" s="486"/>
      <c r="U5" s="486"/>
      <c r="V5" s="486"/>
      <c r="W5" s="493"/>
    </row>
    <row r="6" spans="2:23" ht="18.5" x14ac:dyDescent="0.45">
      <c r="B6" s="499"/>
      <c r="C6" s="496" t="s">
        <v>497</v>
      </c>
      <c r="D6" s="489" t="str">
        <f>'EY Funding Notification'!D6</f>
        <v>Select School</v>
      </c>
      <c r="E6" s="490"/>
      <c r="F6" s="491"/>
      <c r="G6" s="486"/>
      <c r="H6" s="486"/>
      <c r="I6" s="486"/>
      <c r="J6" s="486"/>
      <c r="K6" s="486"/>
      <c r="L6" s="487"/>
      <c r="M6" s="487"/>
      <c r="N6" s="487"/>
      <c r="O6" s="487"/>
      <c r="P6" s="487"/>
      <c r="Q6" s="487"/>
      <c r="R6" s="486"/>
      <c r="S6" s="486"/>
      <c r="T6" s="486"/>
      <c r="U6" s="486"/>
      <c r="V6" s="486"/>
      <c r="W6" s="493"/>
    </row>
    <row r="7" spans="2:23" ht="15" thickBot="1" x14ac:dyDescent="0.4">
      <c r="B7" s="500"/>
      <c r="C7" s="136"/>
      <c r="D7" s="137"/>
      <c r="E7" s="137"/>
      <c r="F7" s="137"/>
      <c r="G7" s="137"/>
      <c r="H7" s="137"/>
      <c r="I7" s="137"/>
      <c r="J7" s="137"/>
      <c r="K7" s="137"/>
      <c r="L7" s="137"/>
      <c r="M7" s="137"/>
      <c r="N7" s="137"/>
      <c r="O7" s="137"/>
      <c r="P7" s="137"/>
      <c r="Q7" s="137"/>
      <c r="R7" s="137"/>
      <c r="S7" s="137"/>
      <c r="T7" s="137"/>
      <c r="U7" s="137"/>
      <c r="V7" s="137"/>
      <c r="W7" s="494"/>
    </row>
    <row r="9" spans="2:23" ht="15" thickBot="1" x14ac:dyDescent="0.4">
      <c r="E9" s="10"/>
    </row>
    <row r="10" spans="2:23" ht="15" thickBot="1" x14ac:dyDescent="0.4">
      <c r="B10" s="470"/>
      <c r="C10" s="217"/>
      <c r="D10" s="217"/>
      <c r="E10" s="217"/>
      <c r="F10" s="217"/>
      <c r="G10" s="217"/>
      <c r="H10" s="217"/>
      <c r="I10" s="217"/>
      <c r="J10" s="217"/>
      <c r="K10" s="217"/>
      <c r="L10" s="217"/>
      <c r="M10" s="217"/>
      <c r="N10" s="217"/>
      <c r="O10" s="217"/>
      <c r="P10" s="217"/>
      <c r="Q10" s="217"/>
      <c r="R10" s="217"/>
      <c r="S10" s="217"/>
      <c r="T10" s="217"/>
      <c r="U10" s="217"/>
      <c r="V10" s="217"/>
      <c r="W10" s="471"/>
    </row>
    <row r="11" spans="2:23" ht="15" thickBot="1" x14ac:dyDescent="0.4">
      <c r="B11" s="473"/>
      <c r="C11" s="224" t="s">
        <v>1097</v>
      </c>
      <c r="D11" s="143"/>
      <c r="E11" s="143"/>
      <c r="F11" s="143"/>
      <c r="G11" s="143"/>
      <c r="H11" s="144"/>
      <c r="J11" s="224" t="s">
        <v>1098</v>
      </c>
      <c r="K11" s="143"/>
      <c r="L11" s="143"/>
      <c r="M11" s="143"/>
      <c r="N11" s="143"/>
      <c r="O11" s="144"/>
      <c r="Q11" s="224" t="s">
        <v>760</v>
      </c>
      <c r="R11" s="143"/>
      <c r="S11" s="143"/>
      <c r="T11" s="143"/>
      <c r="U11" s="143"/>
      <c r="V11" s="144"/>
      <c r="W11" s="472"/>
    </row>
    <row r="12" spans="2:23" x14ac:dyDescent="0.35">
      <c r="B12" s="473"/>
      <c r="C12" s="1" t="s">
        <v>0</v>
      </c>
      <c r="D12">
        <v>3</v>
      </c>
      <c r="J12" s="1" t="s">
        <v>0</v>
      </c>
      <c r="K12">
        <v>3</v>
      </c>
      <c r="W12" s="472"/>
    </row>
    <row r="13" spans="2:23" x14ac:dyDescent="0.35">
      <c r="B13" s="473"/>
      <c r="D13"/>
      <c r="K13"/>
      <c r="W13" s="472"/>
    </row>
    <row r="14" spans="2:23" x14ac:dyDescent="0.35">
      <c r="B14" s="473"/>
      <c r="C14" s="2" t="s">
        <v>499</v>
      </c>
      <c r="D14" s="3"/>
      <c r="E14" s="4">
        <v>13</v>
      </c>
      <c r="F14" s="4">
        <v>13</v>
      </c>
      <c r="G14" s="4">
        <v>12</v>
      </c>
      <c r="H14" s="3">
        <f>SUM(E14:G14)</f>
        <v>38</v>
      </c>
      <c r="J14" s="344" t="s">
        <v>499</v>
      </c>
      <c r="K14" s="225"/>
      <c r="L14" s="345">
        <v>13</v>
      </c>
      <c r="M14" s="335">
        <v>13</v>
      </c>
      <c r="N14" s="335">
        <v>12</v>
      </c>
      <c r="O14" s="3">
        <f>SUM(L14:N14)</f>
        <v>38</v>
      </c>
      <c r="W14" s="472"/>
    </row>
    <row r="15" spans="2:23" x14ac:dyDescent="0.35">
      <c r="B15" s="473"/>
      <c r="D15"/>
      <c r="K15"/>
      <c r="W15" s="472"/>
    </row>
    <row r="16" spans="2:23" x14ac:dyDescent="0.35">
      <c r="B16" s="473"/>
      <c r="C16" s="355" t="s">
        <v>751</v>
      </c>
      <c r="D16" s="216"/>
      <c r="E16" s="216"/>
      <c r="F16" s="216"/>
      <c r="G16" s="216"/>
      <c r="H16" s="216"/>
      <c r="J16" s="216" t="s">
        <v>1</v>
      </c>
      <c r="K16" s="216"/>
      <c r="L16" s="216"/>
      <c r="M16" s="216"/>
      <c r="N16" s="216"/>
      <c r="O16" s="216"/>
      <c r="W16" s="472"/>
    </row>
    <row r="17" spans="2:23" x14ac:dyDescent="0.35">
      <c r="B17" s="473"/>
      <c r="C17" s="2" t="s">
        <v>2</v>
      </c>
      <c r="D17" s="332" t="s">
        <v>3</v>
      </c>
      <c r="E17" s="332" t="s">
        <v>4</v>
      </c>
      <c r="F17" s="332" t="s">
        <v>5</v>
      </c>
      <c r="G17" s="332" t="s">
        <v>6</v>
      </c>
      <c r="H17" s="332" t="s">
        <v>7</v>
      </c>
      <c r="I17" s="474"/>
      <c r="J17" s="2" t="s">
        <v>8</v>
      </c>
      <c r="K17" s="332" t="s">
        <v>3</v>
      </c>
      <c r="L17" s="332" t="s">
        <v>540</v>
      </c>
      <c r="M17" s="332" t="s">
        <v>5</v>
      </c>
      <c r="N17" s="332" t="s">
        <v>6</v>
      </c>
      <c r="O17" s="332" t="s">
        <v>7</v>
      </c>
      <c r="Q17" s="2" t="s">
        <v>742</v>
      </c>
      <c r="R17" s="332" t="s">
        <v>3</v>
      </c>
      <c r="S17" s="332" t="s">
        <v>540</v>
      </c>
      <c r="T17" s="332" t="s">
        <v>5</v>
      </c>
      <c r="U17" s="332" t="s">
        <v>6</v>
      </c>
      <c r="V17" s="332" t="s">
        <v>7</v>
      </c>
      <c r="W17" s="472"/>
    </row>
    <row r="18" spans="2:23" x14ac:dyDescent="0.35">
      <c r="B18" s="473"/>
      <c r="C18" s="347" t="s">
        <v>9</v>
      </c>
      <c r="D18" s="6">
        <v>5.66</v>
      </c>
      <c r="E18" s="340">
        <f>'EY Funding Notification'!L18</f>
        <v>0</v>
      </c>
      <c r="F18" s="340">
        <f>'EY Funding Notification'!M18</f>
        <v>0</v>
      </c>
      <c r="G18" s="340">
        <f>'EY Funding Notification'!N18</f>
        <v>0</v>
      </c>
      <c r="H18" s="340">
        <f t="shared" ref="H18:H29" si="0">SUM(E18:G18)</f>
        <v>0</v>
      </c>
      <c r="J18" s="348" t="s">
        <v>9</v>
      </c>
      <c r="K18" s="6">
        <v>5.66</v>
      </c>
      <c r="L18" s="336"/>
      <c r="M18" s="336"/>
      <c r="N18" s="336"/>
      <c r="O18" s="7">
        <f t="shared" ref="O18:O29" si="1">SUM(L18:N18)</f>
        <v>0</v>
      </c>
      <c r="Q18" s="348" t="s">
        <v>9</v>
      </c>
      <c r="R18" s="6">
        <v>5.66</v>
      </c>
      <c r="S18" s="350">
        <f t="shared" ref="S18:U29" si="2">E18-L18</f>
        <v>0</v>
      </c>
      <c r="T18" s="350">
        <f t="shared" si="2"/>
        <v>0</v>
      </c>
      <c r="U18" s="350">
        <f t="shared" si="2"/>
        <v>0</v>
      </c>
      <c r="V18" s="350">
        <f t="shared" ref="V18:V29" si="3">SUM(S18:U18)</f>
        <v>0</v>
      </c>
      <c r="W18" s="472"/>
    </row>
    <row r="19" spans="2:23" x14ac:dyDescent="0.35">
      <c r="B19" s="473"/>
      <c r="C19" s="347" t="s">
        <v>10</v>
      </c>
      <c r="D19" s="6">
        <v>5.66</v>
      </c>
      <c r="E19" s="340">
        <f>'EY Funding Notification'!L19</f>
        <v>0</v>
      </c>
      <c r="F19" s="340">
        <f>'EY Funding Notification'!M19</f>
        <v>0</v>
      </c>
      <c r="G19" s="340">
        <f>'EY Funding Notification'!N19</f>
        <v>0</v>
      </c>
      <c r="H19" s="340">
        <f t="shared" si="0"/>
        <v>0</v>
      </c>
      <c r="J19" s="348" t="s">
        <v>10</v>
      </c>
      <c r="K19" s="6">
        <v>5.66</v>
      </c>
      <c r="L19" s="336"/>
      <c r="M19" s="336"/>
      <c r="N19" s="336"/>
      <c r="O19" s="7">
        <f t="shared" si="1"/>
        <v>0</v>
      </c>
      <c r="Q19" s="348" t="s">
        <v>10</v>
      </c>
      <c r="R19" s="6">
        <v>5.66</v>
      </c>
      <c r="S19" s="350">
        <f t="shared" si="2"/>
        <v>0</v>
      </c>
      <c r="T19" s="350">
        <f t="shared" si="2"/>
        <v>0</v>
      </c>
      <c r="U19" s="350">
        <f t="shared" si="2"/>
        <v>0</v>
      </c>
      <c r="V19" s="350">
        <f t="shared" si="3"/>
        <v>0</v>
      </c>
      <c r="W19" s="472"/>
    </row>
    <row r="20" spans="2:23" x14ac:dyDescent="0.35">
      <c r="B20" s="473"/>
      <c r="C20" s="347" t="s">
        <v>11</v>
      </c>
      <c r="D20" s="6">
        <v>8.51</v>
      </c>
      <c r="E20" s="340">
        <f>'EY Funding Notification'!L20</f>
        <v>0</v>
      </c>
      <c r="F20" s="340">
        <f>'EY Funding Notification'!M20</f>
        <v>0</v>
      </c>
      <c r="G20" s="340">
        <f>'EY Funding Notification'!N20</f>
        <v>0</v>
      </c>
      <c r="H20" s="340">
        <f t="shared" si="0"/>
        <v>0</v>
      </c>
      <c r="J20" s="348" t="s">
        <v>11</v>
      </c>
      <c r="K20" s="6">
        <v>8.51</v>
      </c>
      <c r="L20" s="336"/>
      <c r="M20" s="336"/>
      <c r="N20" s="336"/>
      <c r="O20" s="7">
        <f t="shared" si="1"/>
        <v>0</v>
      </c>
      <c r="Q20" s="348" t="s">
        <v>11</v>
      </c>
      <c r="R20" s="6">
        <v>8.51</v>
      </c>
      <c r="S20" s="350">
        <f t="shared" si="2"/>
        <v>0</v>
      </c>
      <c r="T20" s="350">
        <f t="shared" si="2"/>
        <v>0</v>
      </c>
      <c r="U20" s="350">
        <f t="shared" si="2"/>
        <v>0</v>
      </c>
      <c r="V20" s="350">
        <f t="shared" si="3"/>
        <v>0</v>
      </c>
      <c r="W20" s="472"/>
    </row>
    <row r="21" spans="2:23" x14ac:dyDescent="0.35">
      <c r="B21" s="473"/>
      <c r="C21" s="347" t="s">
        <v>220</v>
      </c>
      <c r="D21" s="6">
        <v>8.51</v>
      </c>
      <c r="E21" s="340">
        <f>'EY Funding Notification'!L21</f>
        <v>0</v>
      </c>
      <c r="F21" s="340">
        <f>'EY Funding Notification'!M21</f>
        <v>0</v>
      </c>
      <c r="G21" s="340">
        <f>'EY Funding Notification'!N21</f>
        <v>0</v>
      </c>
      <c r="H21" s="340">
        <f t="shared" si="0"/>
        <v>0</v>
      </c>
      <c r="J21" s="348" t="s">
        <v>220</v>
      </c>
      <c r="K21" s="6">
        <v>8.51</v>
      </c>
      <c r="L21" s="336"/>
      <c r="M21" s="336"/>
      <c r="N21" s="336"/>
      <c r="O21" s="7">
        <f t="shared" si="1"/>
        <v>0</v>
      </c>
      <c r="Q21" s="348" t="s">
        <v>220</v>
      </c>
      <c r="R21" s="6">
        <v>8.51</v>
      </c>
      <c r="S21" s="350">
        <f t="shared" si="2"/>
        <v>0</v>
      </c>
      <c r="T21" s="350">
        <f t="shared" si="2"/>
        <v>0</v>
      </c>
      <c r="U21" s="350">
        <f t="shared" si="2"/>
        <v>0</v>
      </c>
      <c r="V21" s="350">
        <f t="shared" si="3"/>
        <v>0</v>
      </c>
      <c r="W21" s="472"/>
    </row>
    <row r="22" spans="2:23" x14ac:dyDescent="0.35">
      <c r="B22" s="473"/>
      <c r="C22" s="347" t="s">
        <v>12</v>
      </c>
      <c r="D22" s="6">
        <v>11.92</v>
      </c>
      <c r="E22" s="340">
        <f>'EY Funding Notification'!L22</f>
        <v>0</v>
      </c>
      <c r="F22" s="340">
        <f>'EY Funding Notification'!M22</f>
        <v>0</v>
      </c>
      <c r="G22" s="340">
        <f>'EY Funding Notification'!N22</f>
        <v>0</v>
      </c>
      <c r="H22" s="340">
        <f t="shared" si="0"/>
        <v>0</v>
      </c>
      <c r="J22" s="348" t="s">
        <v>12</v>
      </c>
      <c r="K22" s="6">
        <v>11.92</v>
      </c>
      <c r="L22" s="336"/>
      <c r="M22" s="336"/>
      <c r="N22" s="336"/>
      <c r="O22" s="7">
        <f t="shared" si="1"/>
        <v>0</v>
      </c>
      <c r="Q22" s="348" t="s">
        <v>12</v>
      </c>
      <c r="R22" s="6">
        <v>11.92</v>
      </c>
      <c r="S22" s="350">
        <f t="shared" si="2"/>
        <v>0</v>
      </c>
      <c r="T22" s="350">
        <f t="shared" si="2"/>
        <v>0</v>
      </c>
      <c r="U22" s="350">
        <f t="shared" si="2"/>
        <v>0</v>
      </c>
      <c r="V22" s="350">
        <f t="shared" si="3"/>
        <v>0</v>
      </c>
      <c r="W22" s="472"/>
    </row>
    <row r="23" spans="2:23" x14ac:dyDescent="0.35">
      <c r="B23" s="473"/>
      <c r="C23" s="347" t="s">
        <v>492</v>
      </c>
      <c r="D23" s="6">
        <v>0.61</v>
      </c>
      <c r="E23" s="340">
        <f>'EY Funding Notification'!L23</f>
        <v>0</v>
      </c>
      <c r="F23" s="340">
        <f>'EY Funding Notification'!M23</f>
        <v>0</v>
      </c>
      <c r="G23" s="340">
        <f>'EY Funding Notification'!N23</f>
        <v>0</v>
      </c>
      <c r="H23" s="340">
        <f t="shared" si="0"/>
        <v>0</v>
      </c>
      <c r="J23" s="348" t="s">
        <v>492</v>
      </c>
      <c r="K23" s="6">
        <v>0.61</v>
      </c>
      <c r="L23" s="336"/>
      <c r="M23" s="336"/>
      <c r="N23" s="336"/>
      <c r="O23" s="7">
        <f t="shared" si="1"/>
        <v>0</v>
      </c>
      <c r="Q23" s="348" t="s">
        <v>492</v>
      </c>
      <c r="R23" s="6">
        <v>0.61</v>
      </c>
      <c r="S23" s="350">
        <f t="shared" si="2"/>
        <v>0</v>
      </c>
      <c r="T23" s="350">
        <f t="shared" si="2"/>
        <v>0</v>
      </c>
      <c r="U23" s="350">
        <f t="shared" si="2"/>
        <v>0</v>
      </c>
      <c r="V23" s="350">
        <f t="shared" si="3"/>
        <v>0</v>
      </c>
      <c r="W23" s="472"/>
    </row>
    <row r="24" spans="2:23" x14ac:dyDescent="0.35">
      <c r="B24" s="473"/>
      <c r="C24" s="347" t="s">
        <v>493</v>
      </c>
      <c r="D24" s="6">
        <v>0.28999999999999998</v>
      </c>
      <c r="E24" s="340">
        <f>'EY Funding Notification'!L24</f>
        <v>0</v>
      </c>
      <c r="F24" s="340">
        <f>'EY Funding Notification'!M24</f>
        <v>0</v>
      </c>
      <c r="G24" s="340">
        <f>'EY Funding Notification'!N24</f>
        <v>0</v>
      </c>
      <c r="H24" s="340">
        <f t="shared" si="0"/>
        <v>0</v>
      </c>
      <c r="J24" s="348" t="s">
        <v>493</v>
      </c>
      <c r="K24" s="6">
        <v>0.28999999999999998</v>
      </c>
      <c r="L24" s="336"/>
      <c r="M24" s="336"/>
      <c r="N24" s="336"/>
      <c r="O24" s="7">
        <f t="shared" si="1"/>
        <v>0</v>
      </c>
      <c r="Q24" s="348" t="s">
        <v>493</v>
      </c>
      <c r="R24" s="6">
        <v>0.28999999999999998</v>
      </c>
      <c r="S24" s="350">
        <f t="shared" si="2"/>
        <v>0</v>
      </c>
      <c r="T24" s="350">
        <f t="shared" si="2"/>
        <v>0</v>
      </c>
      <c r="U24" s="350">
        <f t="shared" si="2"/>
        <v>0</v>
      </c>
      <c r="V24" s="350">
        <f t="shared" si="3"/>
        <v>0</v>
      </c>
      <c r="W24" s="472"/>
    </row>
    <row r="25" spans="2:23" x14ac:dyDescent="0.35">
      <c r="B25" s="473"/>
      <c r="C25" s="331" t="s">
        <v>494</v>
      </c>
      <c r="D25" s="8">
        <v>0.08</v>
      </c>
      <c r="E25" s="340">
        <f>'EY Funding Notification'!L25</f>
        <v>0</v>
      </c>
      <c r="F25" s="340">
        <f>'EY Funding Notification'!M25</f>
        <v>0</v>
      </c>
      <c r="G25" s="340">
        <f>'EY Funding Notification'!N25</f>
        <v>0</v>
      </c>
      <c r="H25" s="340">
        <f t="shared" si="0"/>
        <v>0</v>
      </c>
      <c r="J25" s="349" t="s">
        <v>494</v>
      </c>
      <c r="K25" s="8">
        <v>0.08</v>
      </c>
      <c r="L25" s="336"/>
      <c r="M25" s="336"/>
      <c r="N25" s="336"/>
      <c r="O25" s="7">
        <f t="shared" si="1"/>
        <v>0</v>
      </c>
      <c r="Q25" s="349" t="s">
        <v>494</v>
      </c>
      <c r="R25" s="8">
        <v>0.08</v>
      </c>
      <c r="S25" s="350">
        <f t="shared" si="2"/>
        <v>0</v>
      </c>
      <c r="T25" s="350">
        <f t="shared" si="2"/>
        <v>0</v>
      </c>
      <c r="U25" s="350">
        <f t="shared" si="2"/>
        <v>0</v>
      </c>
      <c r="V25" s="350">
        <f t="shared" si="3"/>
        <v>0</v>
      </c>
      <c r="W25" s="472"/>
    </row>
    <row r="26" spans="2:23" x14ac:dyDescent="0.35">
      <c r="B26" s="473"/>
      <c r="C26" s="331" t="s">
        <v>1094</v>
      </c>
      <c r="D26" s="8">
        <v>5.74</v>
      </c>
      <c r="E26" s="340">
        <f>'EY Funding Notification'!L26</f>
        <v>0</v>
      </c>
      <c r="F26" s="340">
        <f>'EY Funding Notification'!M26</f>
        <v>0</v>
      </c>
      <c r="G26" s="340">
        <f>'EY Funding Notification'!N26</f>
        <v>0</v>
      </c>
      <c r="H26" s="340">
        <f t="shared" si="0"/>
        <v>0</v>
      </c>
      <c r="J26" s="349" t="s">
        <v>1094</v>
      </c>
      <c r="K26" s="8">
        <v>5.74</v>
      </c>
      <c r="L26" s="336"/>
      <c r="M26" s="336"/>
      <c r="N26" s="336"/>
      <c r="O26" s="7">
        <f t="shared" si="1"/>
        <v>0</v>
      </c>
      <c r="Q26" s="349" t="s">
        <v>1094</v>
      </c>
      <c r="R26" s="8">
        <v>5.74</v>
      </c>
      <c r="S26" s="350">
        <f t="shared" si="2"/>
        <v>0</v>
      </c>
      <c r="T26" s="350">
        <f t="shared" si="2"/>
        <v>0</v>
      </c>
      <c r="U26" s="350">
        <f t="shared" si="2"/>
        <v>0</v>
      </c>
      <c r="V26" s="350">
        <f t="shared" si="3"/>
        <v>0</v>
      </c>
      <c r="W26" s="472"/>
    </row>
    <row r="27" spans="2:23" x14ac:dyDescent="0.35">
      <c r="B27" s="473"/>
      <c r="C27" s="331" t="s">
        <v>1095</v>
      </c>
      <c r="D27" s="8">
        <f>((545/38))</f>
        <v>14.342105263157896</v>
      </c>
      <c r="E27" s="340">
        <f>'EY Funding Notification'!L27</f>
        <v>0</v>
      </c>
      <c r="F27" s="340">
        <f>'EY Funding Notification'!M27</f>
        <v>0</v>
      </c>
      <c r="G27" s="340">
        <f>'EY Funding Notification'!N27</f>
        <v>0</v>
      </c>
      <c r="H27" s="340">
        <f t="shared" si="0"/>
        <v>0</v>
      </c>
      <c r="J27" s="349" t="s">
        <v>1095</v>
      </c>
      <c r="K27" s="8">
        <f>((545/38))</f>
        <v>14.342105263157896</v>
      </c>
      <c r="L27" s="336"/>
      <c r="M27" s="336"/>
      <c r="N27" s="336"/>
      <c r="O27" s="7"/>
      <c r="Q27" s="349" t="s">
        <v>1095</v>
      </c>
      <c r="R27" s="8">
        <f>((545/38))</f>
        <v>14.342105263157896</v>
      </c>
      <c r="S27" s="350">
        <f t="shared" si="2"/>
        <v>0</v>
      </c>
      <c r="T27" s="350">
        <f t="shared" si="2"/>
        <v>0</v>
      </c>
      <c r="U27" s="350">
        <f t="shared" si="2"/>
        <v>0</v>
      </c>
      <c r="V27" s="350">
        <f t="shared" si="3"/>
        <v>0</v>
      </c>
      <c r="W27" s="472"/>
    </row>
    <row r="28" spans="2:23" x14ac:dyDescent="0.35">
      <c r="B28" s="473"/>
      <c r="C28" s="347" t="s">
        <v>13</v>
      </c>
      <c r="D28" s="6">
        <v>1</v>
      </c>
      <c r="E28" s="340">
        <f>'EY Funding Notification'!L28</f>
        <v>0</v>
      </c>
      <c r="F28" s="340">
        <f>'EY Funding Notification'!M28</f>
        <v>0</v>
      </c>
      <c r="G28" s="340">
        <f>'EY Funding Notification'!N28</f>
        <v>0</v>
      </c>
      <c r="H28" s="340">
        <f t="shared" si="0"/>
        <v>0</v>
      </c>
      <c r="J28" s="348" t="s">
        <v>13</v>
      </c>
      <c r="K28" s="6">
        <v>1</v>
      </c>
      <c r="L28" s="336"/>
      <c r="M28" s="336"/>
      <c r="N28" s="336"/>
      <c r="O28" s="7">
        <f t="shared" si="1"/>
        <v>0</v>
      </c>
      <c r="Q28" s="348" t="s">
        <v>13</v>
      </c>
      <c r="R28" s="6">
        <v>1</v>
      </c>
      <c r="S28" s="350">
        <f t="shared" si="2"/>
        <v>0</v>
      </c>
      <c r="T28" s="350">
        <f t="shared" si="2"/>
        <v>0</v>
      </c>
      <c r="U28" s="350">
        <f t="shared" si="2"/>
        <v>0</v>
      </c>
      <c r="V28" s="350">
        <f t="shared" si="3"/>
        <v>0</v>
      </c>
      <c r="W28" s="472"/>
    </row>
    <row r="29" spans="2:23" x14ac:dyDescent="0.35">
      <c r="B29" s="473"/>
      <c r="C29" s="347" t="s">
        <v>545</v>
      </c>
      <c r="D29" s="9">
        <v>938</v>
      </c>
      <c r="E29" s="340">
        <f>'EY Funding Notification'!L29</f>
        <v>0</v>
      </c>
      <c r="F29" s="340">
        <f>'EY Funding Notification'!M29</f>
        <v>0</v>
      </c>
      <c r="G29" s="340">
        <f>'EY Funding Notification'!N29</f>
        <v>0</v>
      </c>
      <c r="H29" s="340">
        <f t="shared" si="0"/>
        <v>0</v>
      </c>
      <c r="J29" s="348" t="s">
        <v>14</v>
      </c>
      <c r="K29" s="9">
        <v>938</v>
      </c>
      <c r="L29" s="336"/>
      <c r="M29" s="336"/>
      <c r="N29" s="336"/>
      <c r="O29" s="7">
        <f t="shared" si="1"/>
        <v>0</v>
      </c>
      <c r="Q29" s="348" t="s">
        <v>14</v>
      </c>
      <c r="R29" s="9">
        <v>938</v>
      </c>
      <c r="S29" s="350">
        <f t="shared" si="2"/>
        <v>0</v>
      </c>
      <c r="T29" s="350">
        <f t="shared" si="2"/>
        <v>0</v>
      </c>
      <c r="U29" s="350">
        <f t="shared" si="2"/>
        <v>0</v>
      </c>
      <c r="V29" s="350">
        <f t="shared" si="3"/>
        <v>0</v>
      </c>
      <c r="W29" s="472"/>
    </row>
    <row r="30" spans="2:23" x14ac:dyDescent="0.35">
      <c r="B30" s="473"/>
      <c r="C30" s="361"/>
      <c r="D30" s="220"/>
      <c r="E30" s="221"/>
      <c r="F30" s="221"/>
      <c r="G30" s="221"/>
      <c r="H30" s="221"/>
      <c r="I30"/>
      <c r="J30" s="362"/>
      <c r="K30" s="223"/>
      <c r="L30" s="475"/>
      <c r="M30" s="475"/>
      <c r="N30" s="475"/>
      <c r="O30" s="221"/>
      <c r="P30"/>
      <c r="Q30" s="362"/>
      <c r="R30" s="223"/>
      <c r="S30" s="363"/>
      <c r="T30" s="363"/>
      <c r="U30" s="363"/>
      <c r="V30" s="476"/>
      <c r="W30" s="472"/>
    </row>
    <row r="31" spans="2:23" x14ac:dyDescent="0.35">
      <c r="B31" s="473"/>
      <c r="C31" s="479"/>
      <c r="D31" s="477"/>
      <c r="E31" s="478"/>
      <c r="F31" s="478"/>
      <c r="G31" s="478"/>
      <c r="H31" s="475"/>
      <c r="I31"/>
      <c r="J31" s="479"/>
      <c r="K31" s="477"/>
      <c r="L31"/>
      <c r="M31"/>
      <c r="N31"/>
      <c r="O31" s="475"/>
      <c r="P31"/>
      <c r="Q31" s="479"/>
      <c r="R31" s="477"/>
      <c r="S31" s="476"/>
      <c r="T31" s="476"/>
      <c r="U31" s="476"/>
      <c r="V31" s="476"/>
      <c r="W31" s="472"/>
    </row>
    <row r="32" spans="2:23" x14ac:dyDescent="0.35">
      <c r="B32" s="473"/>
      <c r="C32" s="480"/>
      <c r="D32" s="480"/>
      <c r="J32" s="480"/>
      <c r="K32" s="480"/>
      <c r="S32" s="481"/>
      <c r="T32" s="481"/>
      <c r="U32" s="481"/>
      <c r="W32" s="472"/>
    </row>
    <row r="33" spans="2:23" x14ac:dyDescent="0.35">
      <c r="B33" s="473"/>
      <c r="C33" s="2" t="s">
        <v>15</v>
      </c>
      <c r="D33" s="332" t="s">
        <v>3</v>
      </c>
      <c r="E33" s="332" t="s">
        <v>4</v>
      </c>
      <c r="F33" s="332" t="s">
        <v>5</v>
      </c>
      <c r="G33" s="332" t="s">
        <v>6</v>
      </c>
      <c r="H33" s="332" t="s">
        <v>7</v>
      </c>
      <c r="I33" s="474"/>
      <c r="J33" s="2" t="s">
        <v>15</v>
      </c>
      <c r="K33" s="332" t="s">
        <v>3</v>
      </c>
      <c r="L33" s="332" t="s">
        <v>4</v>
      </c>
      <c r="M33" s="332" t="s">
        <v>5</v>
      </c>
      <c r="N33" s="332" t="s">
        <v>6</v>
      </c>
      <c r="O33" s="332" t="s">
        <v>7</v>
      </c>
      <c r="Q33" s="2" t="s">
        <v>743</v>
      </c>
      <c r="R33" s="337" t="s">
        <v>3</v>
      </c>
      <c r="S33" s="337" t="s">
        <v>540</v>
      </c>
      <c r="T33" s="337" t="s">
        <v>5</v>
      </c>
      <c r="U33" s="337" t="s">
        <v>6</v>
      </c>
      <c r="V33" s="337" t="s">
        <v>7</v>
      </c>
      <c r="W33" s="472"/>
    </row>
    <row r="34" spans="2:23" x14ac:dyDescent="0.35">
      <c r="B34" s="473"/>
      <c r="C34" s="348" t="s">
        <v>9</v>
      </c>
      <c r="D34" s="6">
        <v>5.66</v>
      </c>
      <c r="E34" s="341">
        <f>'EY Funding Notification'!L34</f>
        <v>0</v>
      </c>
      <c r="F34" s="341">
        <f t="shared" ref="F34" si="4">D34*F18</f>
        <v>0</v>
      </c>
      <c r="G34" s="341">
        <f t="shared" ref="G34" si="5">D34*G18</f>
        <v>0</v>
      </c>
      <c r="H34" s="341">
        <f t="shared" ref="H34:H45" si="6">SUM(E34:G34)</f>
        <v>0</v>
      </c>
      <c r="I34" s="10"/>
      <c r="J34" s="348" t="s">
        <v>9</v>
      </c>
      <c r="K34" s="6">
        <v>5.66</v>
      </c>
      <c r="L34" s="341">
        <f>K34*L18</f>
        <v>0</v>
      </c>
      <c r="M34" s="341">
        <f t="shared" ref="M34:M41" si="7">K34*M18</f>
        <v>0</v>
      </c>
      <c r="N34" s="341">
        <f t="shared" ref="N34:N41" si="8">K34*N18</f>
        <v>0</v>
      </c>
      <c r="O34" s="341">
        <f t="shared" ref="O34:O45" si="9">SUM(L34:N34)</f>
        <v>0</v>
      </c>
      <c r="Q34" s="348" t="s">
        <v>9</v>
      </c>
      <c r="R34" s="6">
        <v>5.66</v>
      </c>
      <c r="S34" s="341">
        <f t="shared" ref="S34:U45" si="10">E34-L34</f>
        <v>0</v>
      </c>
      <c r="T34" s="341">
        <f t="shared" si="10"/>
        <v>0</v>
      </c>
      <c r="U34" s="341">
        <f t="shared" si="10"/>
        <v>0</v>
      </c>
      <c r="V34" s="341">
        <f t="shared" ref="V34:V45" si="11">SUM(S34:U34)</f>
        <v>0</v>
      </c>
      <c r="W34" s="472"/>
    </row>
    <row r="35" spans="2:23" x14ac:dyDescent="0.35">
      <c r="B35" s="473"/>
      <c r="C35" s="348" t="s">
        <v>10</v>
      </c>
      <c r="D35" s="6">
        <v>5.66</v>
      </c>
      <c r="E35" s="341">
        <f>'EY Funding Notification'!L35</f>
        <v>0</v>
      </c>
      <c r="F35" s="341">
        <f>'EY Funding Notification'!M35</f>
        <v>0</v>
      </c>
      <c r="G35" s="341">
        <f>'EY Funding Notification'!N35</f>
        <v>0</v>
      </c>
      <c r="H35" s="341">
        <f t="shared" si="6"/>
        <v>0</v>
      </c>
      <c r="I35" s="10"/>
      <c r="J35" s="348" t="s">
        <v>10</v>
      </c>
      <c r="K35" s="6">
        <v>5.66</v>
      </c>
      <c r="L35" s="341">
        <f t="shared" ref="L35:L41" si="12">K35*L19</f>
        <v>0</v>
      </c>
      <c r="M35" s="341">
        <f t="shared" si="7"/>
        <v>0</v>
      </c>
      <c r="N35" s="341">
        <f t="shared" si="8"/>
        <v>0</v>
      </c>
      <c r="O35" s="341">
        <f t="shared" si="9"/>
        <v>0</v>
      </c>
      <c r="Q35" s="348" t="s">
        <v>10</v>
      </c>
      <c r="R35" s="6">
        <v>5.66</v>
      </c>
      <c r="S35" s="341">
        <f t="shared" si="10"/>
        <v>0</v>
      </c>
      <c r="T35" s="341">
        <f t="shared" si="10"/>
        <v>0</v>
      </c>
      <c r="U35" s="341">
        <f t="shared" si="10"/>
        <v>0</v>
      </c>
      <c r="V35" s="341">
        <f t="shared" si="11"/>
        <v>0</v>
      </c>
      <c r="W35" s="472"/>
    </row>
    <row r="36" spans="2:23" x14ac:dyDescent="0.35">
      <c r="B36" s="473"/>
      <c r="C36" s="348" t="s">
        <v>11</v>
      </c>
      <c r="D36" s="6">
        <v>8.51</v>
      </c>
      <c r="E36" s="341">
        <f>'EY Funding Notification'!L36</f>
        <v>0</v>
      </c>
      <c r="F36" s="341">
        <f>'EY Funding Notification'!M36</f>
        <v>0</v>
      </c>
      <c r="G36" s="341">
        <f>'EY Funding Notification'!N36</f>
        <v>0</v>
      </c>
      <c r="H36" s="341">
        <f t="shared" si="6"/>
        <v>0</v>
      </c>
      <c r="I36" s="10"/>
      <c r="J36" s="348" t="s">
        <v>11</v>
      </c>
      <c r="K36" s="6">
        <v>8.51</v>
      </c>
      <c r="L36" s="341">
        <f t="shared" si="12"/>
        <v>0</v>
      </c>
      <c r="M36" s="341">
        <f t="shared" si="7"/>
        <v>0</v>
      </c>
      <c r="N36" s="341">
        <f t="shared" si="8"/>
        <v>0</v>
      </c>
      <c r="O36" s="341">
        <f t="shared" si="9"/>
        <v>0</v>
      </c>
      <c r="Q36" s="348" t="s">
        <v>11</v>
      </c>
      <c r="R36" s="6">
        <v>8.51</v>
      </c>
      <c r="S36" s="341">
        <f t="shared" si="10"/>
        <v>0</v>
      </c>
      <c r="T36" s="341">
        <f t="shared" si="10"/>
        <v>0</v>
      </c>
      <c r="U36" s="341">
        <f t="shared" si="10"/>
        <v>0</v>
      </c>
      <c r="V36" s="341">
        <f t="shared" si="11"/>
        <v>0</v>
      </c>
      <c r="W36" s="472"/>
    </row>
    <row r="37" spans="2:23" x14ac:dyDescent="0.35">
      <c r="B37" s="473"/>
      <c r="C37" s="348" t="s">
        <v>220</v>
      </c>
      <c r="D37" s="6">
        <v>8.51</v>
      </c>
      <c r="E37" s="341">
        <f>'EY Funding Notification'!L37</f>
        <v>0</v>
      </c>
      <c r="F37" s="341">
        <f>'EY Funding Notification'!M37</f>
        <v>0</v>
      </c>
      <c r="G37" s="341">
        <f>'EY Funding Notification'!N37</f>
        <v>0</v>
      </c>
      <c r="H37" s="341">
        <f t="shared" si="6"/>
        <v>0</v>
      </c>
      <c r="I37" s="10"/>
      <c r="J37" s="348" t="s">
        <v>220</v>
      </c>
      <c r="K37" s="6">
        <v>8.51</v>
      </c>
      <c r="L37" s="341">
        <f t="shared" si="12"/>
        <v>0</v>
      </c>
      <c r="M37" s="341">
        <f t="shared" si="7"/>
        <v>0</v>
      </c>
      <c r="N37" s="341">
        <f t="shared" si="8"/>
        <v>0</v>
      </c>
      <c r="O37" s="341">
        <f t="shared" si="9"/>
        <v>0</v>
      </c>
      <c r="Q37" s="348" t="s">
        <v>220</v>
      </c>
      <c r="R37" s="6">
        <v>8.51</v>
      </c>
      <c r="S37" s="341">
        <f t="shared" si="10"/>
        <v>0</v>
      </c>
      <c r="T37" s="341">
        <f t="shared" si="10"/>
        <v>0</v>
      </c>
      <c r="U37" s="341">
        <f t="shared" si="10"/>
        <v>0</v>
      </c>
      <c r="V37" s="341">
        <f t="shared" si="11"/>
        <v>0</v>
      </c>
      <c r="W37" s="472"/>
    </row>
    <row r="38" spans="2:23" x14ac:dyDescent="0.35">
      <c r="B38" s="473"/>
      <c r="C38" s="348" t="s">
        <v>12</v>
      </c>
      <c r="D38" s="6">
        <v>11.92</v>
      </c>
      <c r="E38" s="341">
        <f>'EY Funding Notification'!L38</f>
        <v>0</v>
      </c>
      <c r="F38" s="341">
        <f>'EY Funding Notification'!M38</f>
        <v>0</v>
      </c>
      <c r="G38" s="341">
        <f>'EY Funding Notification'!N38</f>
        <v>0</v>
      </c>
      <c r="H38" s="341">
        <f t="shared" si="6"/>
        <v>0</v>
      </c>
      <c r="I38" s="10"/>
      <c r="J38" s="348" t="s">
        <v>12</v>
      </c>
      <c r="K38" s="6">
        <v>11.92</v>
      </c>
      <c r="L38" s="341">
        <f t="shared" si="12"/>
        <v>0</v>
      </c>
      <c r="M38" s="341">
        <f t="shared" si="7"/>
        <v>0</v>
      </c>
      <c r="N38" s="341">
        <f t="shared" si="8"/>
        <v>0</v>
      </c>
      <c r="O38" s="341">
        <f t="shared" si="9"/>
        <v>0</v>
      </c>
      <c r="Q38" s="348" t="s">
        <v>12</v>
      </c>
      <c r="R38" s="6">
        <v>11.92</v>
      </c>
      <c r="S38" s="341">
        <f t="shared" si="10"/>
        <v>0</v>
      </c>
      <c r="T38" s="341">
        <f t="shared" si="10"/>
        <v>0</v>
      </c>
      <c r="U38" s="341">
        <f t="shared" si="10"/>
        <v>0</v>
      </c>
      <c r="V38" s="341">
        <f t="shared" si="11"/>
        <v>0</v>
      </c>
      <c r="W38" s="472"/>
    </row>
    <row r="39" spans="2:23" x14ac:dyDescent="0.35">
      <c r="B39" s="473"/>
      <c r="C39" s="348" t="s">
        <v>492</v>
      </c>
      <c r="D39" s="6">
        <v>0.61</v>
      </c>
      <c r="E39" s="341">
        <f>'EY Funding Notification'!L39</f>
        <v>0</v>
      </c>
      <c r="F39" s="341">
        <f>'EY Funding Notification'!M39</f>
        <v>0</v>
      </c>
      <c r="G39" s="341">
        <f>'EY Funding Notification'!N39</f>
        <v>0</v>
      </c>
      <c r="H39" s="341">
        <f t="shared" si="6"/>
        <v>0</v>
      </c>
      <c r="I39" s="10"/>
      <c r="J39" s="348" t="s">
        <v>492</v>
      </c>
      <c r="K39" s="6">
        <v>0.61</v>
      </c>
      <c r="L39" s="341">
        <f t="shared" si="12"/>
        <v>0</v>
      </c>
      <c r="M39" s="341">
        <f t="shared" si="7"/>
        <v>0</v>
      </c>
      <c r="N39" s="341">
        <f t="shared" si="8"/>
        <v>0</v>
      </c>
      <c r="O39" s="341">
        <f t="shared" si="9"/>
        <v>0</v>
      </c>
      <c r="Q39" s="348" t="s">
        <v>492</v>
      </c>
      <c r="R39" s="6">
        <v>0.61</v>
      </c>
      <c r="S39" s="341">
        <f t="shared" si="10"/>
        <v>0</v>
      </c>
      <c r="T39" s="341">
        <f t="shared" si="10"/>
        <v>0</v>
      </c>
      <c r="U39" s="341">
        <f t="shared" si="10"/>
        <v>0</v>
      </c>
      <c r="V39" s="341">
        <f t="shared" si="11"/>
        <v>0</v>
      </c>
      <c r="W39" s="472"/>
    </row>
    <row r="40" spans="2:23" x14ac:dyDescent="0.35">
      <c r="B40" s="473"/>
      <c r="C40" s="348" t="s">
        <v>493</v>
      </c>
      <c r="D40" s="6">
        <v>0.28999999999999998</v>
      </c>
      <c r="E40" s="341">
        <f>'EY Funding Notification'!L40</f>
        <v>0</v>
      </c>
      <c r="F40" s="341">
        <f>'EY Funding Notification'!M40</f>
        <v>0</v>
      </c>
      <c r="G40" s="341">
        <f>'EY Funding Notification'!N40</f>
        <v>0</v>
      </c>
      <c r="H40" s="341">
        <f t="shared" si="6"/>
        <v>0</v>
      </c>
      <c r="I40" s="10"/>
      <c r="J40" s="348" t="s">
        <v>493</v>
      </c>
      <c r="K40" s="6">
        <v>0.28999999999999998</v>
      </c>
      <c r="L40" s="341">
        <f t="shared" si="12"/>
        <v>0</v>
      </c>
      <c r="M40" s="341">
        <f t="shared" si="7"/>
        <v>0</v>
      </c>
      <c r="N40" s="341">
        <f t="shared" si="8"/>
        <v>0</v>
      </c>
      <c r="O40" s="341">
        <f t="shared" si="9"/>
        <v>0</v>
      </c>
      <c r="Q40" s="348" t="s">
        <v>493</v>
      </c>
      <c r="R40" s="6">
        <v>0.28999999999999998</v>
      </c>
      <c r="S40" s="341">
        <f t="shared" si="10"/>
        <v>0</v>
      </c>
      <c r="T40" s="341">
        <f t="shared" si="10"/>
        <v>0</v>
      </c>
      <c r="U40" s="341">
        <f t="shared" si="10"/>
        <v>0</v>
      </c>
      <c r="V40" s="341">
        <f t="shared" si="11"/>
        <v>0</v>
      </c>
      <c r="W40" s="472"/>
    </row>
    <row r="41" spans="2:23" x14ac:dyDescent="0.35">
      <c r="B41" s="473"/>
      <c r="C41" s="349" t="s">
        <v>494</v>
      </c>
      <c r="D41" s="8">
        <v>0.08</v>
      </c>
      <c r="E41" s="341">
        <f>'EY Funding Notification'!L41</f>
        <v>0</v>
      </c>
      <c r="F41" s="341">
        <f>'EY Funding Notification'!M41</f>
        <v>0</v>
      </c>
      <c r="G41" s="341">
        <f>'EY Funding Notification'!N41</f>
        <v>0</v>
      </c>
      <c r="H41" s="341">
        <f t="shared" si="6"/>
        <v>0</v>
      </c>
      <c r="I41" s="10"/>
      <c r="J41" s="349" t="s">
        <v>494</v>
      </c>
      <c r="K41" s="8">
        <v>0.08</v>
      </c>
      <c r="L41" s="341">
        <f t="shared" si="12"/>
        <v>0</v>
      </c>
      <c r="M41" s="341">
        <f t="shared" si="7"/>
        <v>0</v>
      </c>
      <c r="N41" s="341">
        <f t="shared" si="8"/>
        <v>0</v>
      </c>
      <c r="O41" s="341">
        <f t="shared" si="9"/>
        <v>0</v>
      </c>
      <c r="Q41" s="349" t="s">
        <v>494</v>
      </c>
      <c r="R41" s="8">
        <v>0.08</v>
      </c>
      <c r="S41" s="341">
        <f t="shared" si="10"/>
        <v>0</v>
      </c>
      <c r="T41" s="341">
        <f t="shared" si="10"/>
        <v>0</v>
      </c>
      <c r="U41" s="341">
        <f t="shared" si="10"/>
        <v>0</v>
      </c>
      <c r="V41" s="341">
        <f t="shared" si="11"/>
        <v>0</v>
      </c>
      <c r="W41" s="472"/>
    </row>
    <row r="42" spans="2:23" x14ac:dyDescent="0.35">
      <c r="B42" s="473"/>
      <c r="C42" s="349" t="s">
        <v>1094</v>
      </c>
      <c r="D42" s="8">
        <v>8.74</v>
      </c>
      <c r="E42" s="341">
        <f>'EY Funding Notification'!L42</f>
        <v>0</v>
      </c>
      <c r="F42" s="341">
        <f>'EY Funding Notification'!M42</f>
        <v>0</v>
      </c>
      <c r="G42" s="341">
        <f>'EY Funding Notification'!N42</f>
        <v>0</v>
      </c>
      <c r="H42" s="341">
        <f t="shared" si="6"/>
        <v>0</v>
      </c>
      <c r="I42" s="10"/>
      <c r="J42" s="349" t="s">
        <v>1094</v>
      </c>
      <c r="K42" s="8">
        <v>5.74</v>
      </c>
      <c r="L42" s="341">
        <f>$K$42*L26*L14</f>
        <v>0</v>
      </c>
      <c r="M42" s="341">
        <f>$K$42*M26*M14</f>
        <v>0</v>
      </c>
      <c r="N42" s="341">
        <f>$K$42*N26*N14</f>
        <v>0</v>
      </c>
      <c r="O42" s="341">
        <f t="shared" si="9"/>
        <v>0</v>
      </c>
      <c r="Q42" s="349" t="s">
        <v>1094</v>
      </c>
      <c r="R42" s="8">
        <v>5.74</v>
      </c>
      <c r="S42" s="341">
        <f t="shared" si="10"/>
        <v>0</v>
      </c>
      <c r="T42" s="341">
        <f t="shared" si="10"/>
        <v>0</v>
      </c>
      <c r="U42" s="341">
        <f t="shared" si="10"/>
        <v>0</v>
      </c>
      <c r="V42" s="341">
        <f t="shared" si="11"/>
        <v>0</v>
      </c>
      <c r="W42" s="472"/>
    </row>
    <row r="43" spans="2:23" x14ac:dyDescent="0.35">
      <c r="B43" s="473"/>
      <c r="C43" s="349" t="s">
        <v>1095</v>
      </c>
      <c r="D43" s="8">
        <f>((545/38))</f>
        <v>14.342105263157896</v>
      </c>
      <c r="E43" s="341">
        <f>'EY Funding Notification'!L43</f>
        <v>0</v>
      </c>
      <c r="F43" s="341">
        <f>'EY Funding Notification'!M43</f>
        <v>0</v>
      </c>
      <c r="G43" s="341">
        <f>'EY Funding Notification'!N43</f>
        <v>0</v>
      </c>
      <c r="H43" s="341">
        <f t="shared" si="6"/>
        <v>0</v>
      </c>
      <c r="I43" s="10"/>
      <c r="J43" s="349" t="s">
        <v>1095</v>
      </c>
      <c r="K43" s="8">
        <f>((545/38))</f>
        <v>14.342105263157896</v>
      </c>
      <c r="L43" s="341">
        <f>$K$43*L27*L14</f>
        <v>0</v>
      </c>
      <c r="M43" s="341">
        <f>$K$43*M27*M14</f>
        <v>0</v>
      </c>
      <c r="N43" s="341">
        <f>$K$43*N27*N14</f>
        <v>0</v>
      </c>
      <c r="O43" s="341">
        <f t="shared" si="9"/>
        <v>0</v>
      </c>
      <c r="Q43" s="349" t="s">
        <v>1095</v>
      </c>
      <c r="R43" s="8">
        <f>((545/38))</f>
        <v>14.342105263157896</v>
      </c>
      <c r="S43" s="341">
        <f t="shared" si="10"/>
        <v>0</v>
      </c>
      <c r="T43" s="341">
        <f t="shared" si="10"/>
        <v>0</v>
      </c>
      <c r="U43" s="341">
        <f t="shared" si="10"/>
        <v>0</v>
      </c>
      <c r="V43" s="341">
        <f t="shared" si="11"/>
        <v>0</v>
      </c>
      <c r="W43" s="472"/>
    </row>
    <row r="44" spans="2:23" x14ac:dyDescent="0.35">
      <c r="B44" s="473"/>
      <c r="C44" s="348" t="s">
        <v>13</v>
      </c>
      <c r="D44" s="6">
        <v>1</v>
      </c>
      <c r="E44" s="341">
        <f>'EY Funding Notification'!L44</f>
        <v>0</v>
      </c>
      <c r="F44" s="341">
        <f>'EY Funding Notification'!M44</f>
        <v>0</v>
      </c>
      <c r="G44" s="341">
        <f>'EY Funding Notification'!N44</f>
        <v>0</v>
      </c>
      <c r="H44" s="341">
        <f t="shared" si="6"/>
        <v>0</v>
      </c>
      <c r="I44" s="10"/>
      <c r="J44" s="348" t="s">
        <v>13</v>
      </c>
      <c r="K44" s="6">
        <v>1</v>
      </c>
      <c r="L44" s="341">
        <f t="shared" ref="L44" si="13">K44*L28</f>
        <v>0</v>
      </c>
      <c r="M44" s="341">
        <f t="shared" ref="M44" si="14">K44*M28</f>
        <v>0</v>
      </c>
      <c r="N44" s="341">
        <f t="shared" ref="N44" si="15">K44*N28</f>
        <v>0</v>
      </c>
      <c r="O44" s="341">
        <f t="shared" si="9"/>
        <v>0</v>
      </c>
      <c r="Q44" s="348" t="s">
        <v>13</v>
      </c>
      <c r="R44" s="6">
        <v>1</v>
      </c>
      <c r="S44" s="341">
        <f t="shared" si="10"/>
        <v>0</v>
      </c>
      <c r="T44" s="341">
        <f t="shared" si="10"/>
        <v>0</v>
      </c>
      <c r="U44" s="341">
        <f t="shared" si="10"/>
        <v>0</v>
      </c>
      <c r="V44" s="341">
        <f t="shared" si="11"/>
        <v>0</v>
      </c>
      <c r="W44" s="472"/>
    </row>
    <row r="45" spans="2:23" x14ac:dyDescent="0.35">
      <c r="B45" s="473"/>
      <c r="C45" s="348" t="s">
        <v>544</v>
      </c>
      <c r="D45" s="9">
        <v>938</v>
      </c>
      <c r="E45" s="341">
        <f>'EY Funding Notification'!L45</f>
        <v>0</v>
      </c>
      <c r="F45" s="341">
        <f>'EY Funding Notification'!M45</f>
        <v>0</v>
      </c>
      <c r="G45" s="341">
        <f>'EY Funding Notification'!N45</f>
        <v>0</v>
      </c>
      <c r="H45" s="341">
        <f t="shared" si="6"/>
        <v>0</v>
      </c>
      <c r="I45" s="10"/>
      <c r="J45" s="348" t="s">
        <v>14</v>
      </c>
      <c r="K45" s="9">
        <v>938</v>
      </c>
      <c r="L45" s="341">
        <f>L29*$K$29</f>
        <v>0</v>
      </c>
      <c r="M45" s="341">
        <f>M29*$K$29</f>
        <v>0</v>
      </c>
      <c r="N45" s="341">
        <f t="shared" ref="N45" si="16">N29*$K$29</f>
        <v>0</v>
      </c>
      <c r="O45" s="341">
        <f t="shared" si="9"/>
        <v>0</v>
      </c>
      <c r="Q45" s="348" t="s">
        <v>14</v>
      </c>
      <c r="R45" s="9">
        <v>938</v>
      </c>
      <c r="S45" s="341">
        <f>E45-L45</f>
        <v>0</v>
      </c>
      <c r="T45" s="341">
        <f t="shared" si="10"/>
        <v>0</v>
      </c>
      <c r="U45" s="341">
        <f t="shared" si="10"/>
        <v>0</v>
      </c>
      <c r="V45" s="341">
        <f t="shared" si="11"/>
        <v>0</v>
      </c>
      <c r="W45" s="472"/>
    </row>
    <row r="46" spans="2:23" x14ac:dyDescent="0.35">
      <c r="B46" s="473"/>
      <c r="C46" s="348" t="s">
        <v>7</v>
      </c>
      <c r="D46" s="9"/>
      <c r="E46" s="341">
        <f>SUM(E34:E45)</f>
        <v>0</v>
      </c>
      <c r="F46" s="341">
        <f>SUM(F34:F45)</f>
        <v>0</v>
      </c>
      <c r="G46" s="341">
        <f>SUM(G34:G45)</f>
        <v>0</v>
      </c>
      <c r="H46" s="341">
        <f>SUM(H34:H45)</f>
        <v>0</v>
      </c>
      <c r="I46" s="10"/>
      <c r="J46" s="348" t="s">
        <v>7</v>
      </c>
      <c r="K46" s="9"/>
      <c r="L46" s="341">
        <f>SUM(L34:L45)</f>
        <v>0</v>
      </c>
      <c r="M46" s="341">
        <f>SUM(M34:M45)</f>
        <v>0</v>
      </c>
      <c r="N46" s="341">
        <f>SUM(N34:N45)</f>
        <v>0</v>
      </c>
      <c r="O46" s="341">
        <f>SUM(O34:O45)</f>
        <v>0</v>
      </c>
      <c r="Q46" s="348" t="s">
        <v>7</v>
      </c>
      <c r="R46" s="9"/>
      <c r="S46" s="341">
        <f>SUM(S34:S45)</f>
        <v>0</v>
      </c>
      <c r="T46" s="341">
        <f>SUM(T34:T45)</f>
        <v>0</v>
      </c>
      <c r="U46" s="341">
        <f>SUM(U34:U45)</f>
        <v>0</v>
      </c>
      <c r="V46" s="341">
        <f>SUM(V34:V45)</f>
        <v>0</v>
      </c>
      <c r="W46" s="472"/>
    </row>
    <row r="47" spans="2:23" x14ac:dyDescent="0.35">
      <c r="B47" s="473"/>
      <c r="W47" s="472"/>
    </row>
    <row r="48" spans="2:23" x14ac:dyDescent="0.35">
      <c r="B48" s="473"/>
      <c r="G48" s="348" t="s">
        <v>16</v>
      </c>
      <c r="H48" s="341">
        <f>_xlfn.IFNA(VLOOKUP(D4,MNS!A:H,8,FALSE),0)</f>
        <v>0</v>
      </c>
      <c r="N48" s="348" t="s">
        <v>16</v>
      </c>
      <c r="O48" s="341">
        <f>H48</f>
        <v>0</v>
      </c>
      <c r="U48" s="348" t="s">
        <v>16</v>
      </c>
      <c r="V48" s="341">
        <f>H48</f>
        <v>0</v>
      </c>
      <c r="W48" s="472"/>
    </row>
    <row r="49" spans="2:23" x14ac:dyDescent="0.35">
      <c r="B49" s="473"/>
      <c r="G49" s="348" t="s">
        <v>17</v>
      </c>
      <c r="H49" s="341">
        <f>H46+H48</f>
        <v>0</v>
      </c>
      <c r="I49" s="10"/>
      <c r="N49" s="348" t="s">
        <v>17</v>
      </c>
      <c r="O49" s="341">
        <f>O46+O48</f>
        <v>0</v>
      </c>
      <c r="U49" s="348" t="s">
        <v>17</v>
      </c>
      <c r="V49" s="341">
        <f>V46+V48</f>
        <v>0</v>
      </c>
      <c r="W49" s="472"/>
    </row>
    <row r="50" spans="2:23" x14ac:dyDescent="0.35">
      <c r="B50" s="473"/>
      <c r="J50" s="482"/>
      <c r="W50" s="472"/>
    </row>
    <row r="51" spans="2:23" ht="15" thickBot="1" x14ac:dyDescent="0.4">
      <c r="B51" s="483"/>
      <c r="C51" s="219"/>
      <c r="D51" s="219"/>
      <c r="E51" s="219"/>
      <c r="F51" s="219"/>
      <c r="G51" s="219"/>
      <c r="H51" s="219"/>
      <c r="I51" s="219"/>
      <c r="J51" s="219"/>
      <c r="K51" s="219"/>
      <c r="L51" s="219"/>
      <c r="M51" s="219"/>
      <c r="N51" s="219"/>
      <c r="O51" s="219"/>
      <c r="P51" s="219"/>
      <c r="Q51" s="219"/>
      <c r="R51" s="219"/>
      <c r="S51" s="219"/>
      <c r="T51" s="219"/>
      <c r="U51" s="219"/>
      <c r="V51" s="219"/>
      <c r="W51" s="484"/>
    </row>
  </sheetData>
  <sheetProtection algorithmName="SHA-512" hashValue="DjZ62zv/h7Njrvlzk3yy12y5o1NfH57bOXxtQiG9otxbxAENuSvLiuDRa/x2xe0xY+QTHvVMqmHviA/eVEwbQw==" saltValue="SYYx/rNmgdV/OPMHOikpKA==" spinCount="100000" sheet="1" objects="1" scenarios="1"/>
  <conditionalFormatting sqref="S34:V46">
    <cfRule type="cellIs" dxfId="5" priority="1" operator="lessThan">
      <formula>0</formula>
    </cfRule>
  </conditionalFormatting>
  <pageMargins left="0.7" right="0.7" top="0.75" bottom="0.75" header="0.3" footer="0.3"/>
  <headerFooter>
    <oddFooter>&amp;C_x000D_&amp;1#&amp;"Calibri"&amp;10&amp;K000000 OFFICIAL</oddFooter>
  </headerFooter>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C4BAE-98AF-4986-A8D3-E3F7B8923D92}">
  <sheetPr>
    <tabColor theme="1"/>
  </sheetPr>
  <dimension ref="B1:Z51"/>
  <sheetViews>
    <sheetView showGridLines="0" zoomScale="90" zoomScaleNormal="90" workbookViewId="0">
      <selection activeCell="J6" sqref="J6"/>
    </sheetView>
  </sheetViews>
  <sheetFormatPr defaultColWidth="8.81640625" defaultRowHeight="14.5" x14ac:dyDescent="0.35"/>
  <cols>
    <col min="1" max="1" width="1.7265625" style="1" customWidth="1"/>
    <col min="2" max="2" width="5.7265625" style="1" customWidth="1"/>
    <col min="3" max="3" width="26.54296875" style="1" customWidth="1"/>
    <col min="4" max="4" width="14.7265625" style="1" customWidth="1"/>
    <col min="5" max="5" width="15.7265625" style="1" customWidth="1"/>
    <col min="6" max="7" width="15.26953125" style="1" hidden="1" customWidth="1"/>
    <col min="8" max="8" width="12" style="1" bestFit="1" customWidth="1"/>
    <col min="9" max="9" width="5.7265625" style="1" customWidth="1"/>
    <col min="10" max="10" width="23.54296875" style="1" bestFit="1" customWidth="1"/>
    <col min="11" max="11" width="12.7265625" style="1" customWidth="1"/>
    <col min="12" max="12" width="13.7265625" style="1" customWidth="1"/>
    <col min="13" max="14" width="12.7265625" style="1" hidden="1" customWidth="1"/>
    <col min="15" max="15" width="12.7265625" style="1" bestFit="1" customWidth="1"/>
    <col min="16" max="16" width="5.7265625" style="1" customWidth="1"/>
    <col min="17" max="17" width="21.1796875" style="1" bestFit="1" customWidth="1"/>
    <col min="18" max="18" width="13.453125" style="1" bestFit="1" customWidth="1"/>
    <col min="19" max="19" width="13.1796875" style="1" bestFit="1" customWidth="1"/>
    <col min="20" max="21" width="12.7265625" style="1" hidden="1" customWidth="1"/>
    <col min="22" max="22" width="12.54296875" style="1" bestFit="1" customWidth="1"/>
    <col min="23" max="23" width="5.7265625" style="1" customWidth="1"/>
    <col min="24" max="16384" width="8.81640625" style="1"/>
  </cols>
  <sheetData>
    <row r="1" spans="2:23" ht="18.5" x14ac:dyDescent="0.45">
      <c r="B1" s="498"/>
      <c r="C1" s="132" t="s">
        <v>1126</v>
      </c>
      <c r="D1" s="133"/>
      <c r="E1" s="133"/>
      <c r="F1" s="134"/>
      <c r="G1" s="134"/>
      <c r="H1" s="134"/>
      <c r="I1" s="134"/>
      <c r="J1" s="134"/>
      <c r="K1" s="134"/>
      <c r="L1" s="346"/>
      <c r="M1" s="346"/>
      <c r="N1" s="135"/>
      <c r="O1" s="135"/>
      <c r="P1" s="135"/>
      <c r="Q1" s="135"/>
      <c r="R1" s="134"/>
      <c r="S1" s="134"/>
      <c r="T1" s="134"/>
      <c r="U1" s="134"/>
      <c r="V1" s="134"/>
      <c r="W1" s="492"/>
    </row>
    <row r="2" spans="2:23" ht="18.5" x14ac:dyDescent="0.45">
      <c r="B2" s="499"/>
      <c r="C2" s="496" t="s">
        <v>764</v>
      </c>
      <c r="D2" s="485"/>
      <c r="E2" s="485"/>
      <c r="F2" s="486"/>
      <c r="G2" s="486"/>
      <c r="H2" s="486"/>
      <c r="I2" s="486"/>
      <c r="J2" s="486"/>
      <c r="K2" s="486"/>
      <c r="L2" s="487"/>
      <c r="M2" s="487"/>
      <c r="N2" s="487"/>
      <c r="O2" s="487"/>
      <c r="P2" s="487"/>
      <c r="Q2" s="487"/>
      <c r="R2" s="486"/>
      <c r="S2" s="486"/>
      <c r="T2" s="486"/>
      <c r="U2" s="486"/>
      <c r="V2" s="486"/>
      <c r="W2" s="493"/>
    </row>
    <row r="3" spans="2:23" x14ac:dyDescent="0.35">
      <c r="B3" s="499"/>
      <c r="C3" s="485"/>
      <c r="D3" s="485"/>
      <c r="E3" s="485"/>
      <c r="F3" s="486"/>
      <c r="G3" s="486"/>
      <c r="H3" s="486"/>
      <c r="I3" s="486"/>
      <c r="J3" s="486"/>
      <c r="K3" s="486"/>
      <c r="L3" s="487"/>
      <c r="M3" s="487"/>
      <c r="N3" s="487"/>
      <c r="O3" s="487"/>
      <c r="P3" s="487"/>
      <c r="Q3" s="487"/>
      <c r="R3" s="486"/>
      <c r="S3" s="486"/>
      <c r="T3" s="486"/>
      <c r="U3" s="486"/>
      <c r="V3" s="486"/>
      <c r="W3" s="493"/>
    </row>
    <row r="4" spans="2:23" ht="18.5" x14ac:dyDescent="0.45">
      <c r="B4" s="499"/>
      <c r="C4" s="496" t="s">
        <v>495</v>
      </c>
      <c r="D4" s="488">
        <f>'EY Funding Notification'!D4</f>
        <v>0</v>
      </c>
      <c r="E4" s="485"/>
      <c r="F4" s="486"/>
      <c r="G4" s="486"/>
      <c r="H4" s="486"/>
      <c r="I4" s="486"/>
      <c r="J4" s="486"/>
      <c r="K4" s="486"/>
      <c r="L4" s="487"/>
      <c r="M4" s="487"/>
      <c r="N4" s="487"/>
      <c r="O4" s="487"/>
      <c r="P4" s="487"/>
      <c r="Q4" s="487"/>
      <c r="R4" s="486"/>
      <c r="S4" s="486"/>
      <c r="T4" s="486"/>
      <c r="U4" s="486"/>
      <c r="V4" s="486"/>
      <c r="W4" s="493"/>
    </row>
    <row r="5" spans="2:23" ht="18.5" x14ac:dyDescent="0.45">
      <c r="B5" s="499"/>
      <c r="C5" s="496" t="s">
        <v>496</v>
      </c>
      <c r="D5" s="488">
        <f>'EY Funding Notification'!D5</f>
        <v>0</v>
      </c>
      <c r="E5" s="485"/>
      <c r="F5" s="486"/>
      <c r="G5" s="486"/>
      <c r="H5" s="486"/>
      <c r="I5" s="486"/>
      <c r="J5" s="486"/>
      <c r="K5" s="486"/>
      <c r="L5" s="487"/>
      <c r="M5" s="487"/>
      <c r="N5" s="487"/>
      <c r="O5" s="487"/>
      <c r="P5" s="487"/>
      <c r="Q5" s="487"/>
      <c r="R5" s="486"/>
      <c r="S5" s="486"/>
      <c r="T5" s="486"/>
      <c r="U5" s="486"/>
      <c r="V5" s="486"/>
      <c r="W5" s="493"/>
    </row>
    <row r="6" spans="2:23" ht="18.5" x14ac:dyDescent="0.45">
      <c r="B6" s="499"/>
      <c r="C6" s="496" t="s">
        <v>497</v>
      </c>
      <c r="D6" s="489" t="str">
        <f>'EY Funding Notification'!D6</f>
        <v>Select School</v>
      </c>
      <c r="E6" s="490"/>
      <c r="F6" s="491"/>
      <c r="G6" s="486"/>
      <c r="H6" s="486"/>
      <c r="I6" s="486"/>
      <c r="J6" s="486"/>
      <c r="K6" s="486"/>
      <c r="L6" s="487"/>
      <c r="M6" s="487"/>
      <c r="N6" s="487"/>
      <c r="O6" s="487"/>
      <c r="P6" s="487"/>
      <c r="Q6" s="487"/>
      <c r="R6" s="486"/>
      <c r="S6" s="486"/>
      <c r="T6" s="486"/>
      <c r="U6" s="486"/>
      <c r="V6" s="486"/>
      <c r="W6" s="493"/>
    </row>
    <row r="7" spans="2:23" ht="15" thickBot="1" x14ac:dyDescent="0.4">
      <c r="B7" s="500"/>
      <c r="C7" s="136"/>
      <c r="D7" s="137"/>
      <c r="E7" s="137"/>
      <c r="F7" s="137"/>
      <c r="G7" s="137"/>
      <c r="H7" s="137"/>
      <c r="I7" s="137"/>
      <c r="J7" s="137"/>
      <c r="K7" s="137"/>
      <c r="L7" s="137"/>
      <c r="M7" s="137"/>
      <c r="N7" s="137"/>
      <c r="O7" s="137"/>
      <c r="P7" s="137"/>
      <c r="Q7" s="137"/>
      <c r="R7" s="137"/>
      <c r="S7" s="137"/>
      <c r="T7" s="137"/>
      <c r="U7" s="137"/>
      <c r="V7" s="137"/>
      <c r="W7" s="494"/>
    </row>
    <row r="9" spans="2:23" ht="15" thickBot="1" x14ac:dyDescent="0.4">
      <c r="E9" s="10"/>
    </row>
    <row r="10" spans="2:23" ht="15" thickBot="1" x14ac:dyDescent="0.4">
      <c r="B10" s="470"/>
      <c r="C10" s="217"/>
      <c r="D10" s="217"/>
      <c r="E10" s="217"/>
      <c r="F10" s="217"/>
      <c r="G10" s="217"/>
      <c r="H10" s="217"/>
      <c r="I10" s="217"/>
      <c r="J10" s="217"/>
      <c r="K10" s="217"/>
      <c r="L10" s="217"/>
      <c r="M10" s="217"/>
      <c r="N10" s="217"/>
      <c r="O10" s="217"/>
      <c r="P10" s="217"/>
      <c r="Q10" s="217"/>
      <c r="R10" s="217"/>
      <c r="S10" s="217"/>
      <c r="T10" s="217"/>
      <c r="U10" s="217"/>
      <c r="V10" s="217"/>
      <c r="W10" s="471"/>
    </row>
    <row r="11" spans="2:23" ht="15" thickBot="1" x14ac:dyDescent="0.4">
      <c r="B11" s="473"/>
      <c r="C11" s="224" t="s">
        <v>749</v>
      </c>
      <c r="D11" s="143"/>
      <c r="E11" s="143"/>
      <c r="F11" s="143"/>
      <c r="G11" s="143"/>
      <c r="H11" s="144"/>
      <c r="J11" s="224" t="s">
        <v>1124</v>
      </c>
      <c r="K11" s="143"/>
      <c r="L11" s="143"/>
      <c r="M11" s="143"/>
      <c r="N11" s="143"/>
      <c r="O11" s="144"/>
      <c r="Q11" s="224" t="s">
        <v>1125</v>
      </c>
      <c r="R11" s="143"/>
      <c r="S11" s="143"/>
      <c r="T11" s="143"/>
      <c r="U11" s="143"/>
      <c r="V11" s="144"/>
      <c r="W11" s="472"/>
    </row>
    <row r="12" spans="2:23" x14ac:dyDescent="0.35">
      <c r="B12" s="473"/>
      <c r="C12" s="1" t="s">
        <v>0</v>
      </c>
      <c r="D12">
        <v>3</v>
      </c>
      <c r="J12" s="1" t="s">
        <v>0</v>
      </c>
      <c r="K12">
        <v>3</v>
      </c>
      <c r="W12" s="472"/>
    </row>
    <row r="13" spans="2:23" x14ac:dyDescent="0.35">
      <c r="B13" s="473"/>
      <c r="D13"/>
      <c r="K13"/>
      <c r="W13" s="472"/>
    </row>
    <row r="14" spans="2:23" x14ac:dyDescent="0.35">
      <c r="B14" s="473"/>
      <c r="C14" s="344" t="s">
        <v>499</v>
      </c>
      <c r="D14" s="225"/>
      <c r="E14" s="343">
        <v>13</v>
      </c>
      <c r="F14" s="4">
        <v>13</v>
      </c>
      <c r="G14" s="4">
        <v>12</v>
      </c>
      <c r="H14" s="3">
        <f>SUM(E14:G14)</f>
        <v>38</v>
      </c>
      <c r="J14" s="344" t="s">
        <v>499</v>
      </c>
      <c r="K14" s="225"/>
      <c r="L14" s="441">
        <v>13</v>
      </c>
      <c r="M14" s="335">
        <v>13</v>
      </c>
      <c r="N14" s="335">
        <v>12</v>
      </c>
      <c r="O14" s="3">
        <f>SUM(L14:N14)</f>
        <v>38</v>
      </c>
      <c r="W14" s="472"/>
    </row>
    <row r="15" spans="2:23" x14ac:dyDescent="0.35">
      <c r="B15" s="473"/>
      <c r="D15"/>
      <c r="K15"/>
      <c r="W15" s="472"/>
    </row>
    <row r="16" spans="2:23" x14ac:dyDescent="0.35">
      <c r="B16" s="473"/>
      <c r="C16" s="355" t="s">
        <v>751</v>
      </c>
      <c r="D16" s="216"/>
      <c r="E16" s="216"/>
      <c r="F16" s="216"/>
      <c r="G16" s="216"/>
      <c r="H16" s="216"/>
      <c r="J16" s="216" t="s">
        <v>1112</v>
      </c>
      <c r="K16" s="216"/>
      <c r="L16" s="216"/>
      <c r="M16" s="216"/>
      <c r="N16" s="216"/>
      <c r="O16" s="216"/>
      <c r="W16" s="472"/>
    </row>
    <row r="17" spans="2:26" x14ac:dyDescent="0.35">
      <c r="B17" s="473"/>
      <c r="C17" s="2" t="s">
        <v>2</v>
      </c>
      <c r="D17" s="332" t="s">
        <v>3</v>
      </c>
      <c r="E17" s="332" t="s">
        <v>4</v>
      </c>
      <c r="F17" s="332" t="s">
        <v>5</v>
      </c>
      <c r="G17" s="332" t="s">
        <v>6</v>
      </c>
      <c r="H17" s="332" t="s">
        <v>7</v>
      </c>
      <c r="I17" s="474"/>
      <c r="J17" s="2" t="s">
        <v>8</v>
      </c>
      <c r="K17" s="332" t="s">
        <v>3</v>
      </c>
      <c r="L17" s="332" t="s">
        <v>540</v>
      </c>
      <c r="M17" s="332" t="s">
        <v>5</v>
      </c>
      <c r="N17" s="332" t="s">
        <v>6</v>
      </c>
      <c r="O17" s="332" t="s">
        <v>7</v>
      </c>
      <c r="Q17" s="2" t="s">
        <v>742</v>
      </c>
      <c r="R17" s="332" t="s">
        <v>3</v>
      </c>
      <c r="S17" s="332" t="s">
        <v>540</v>
      </c>
      <c r="T17" s="332" t="s">
        <v>5</v>
      </c>
      <c r="U17" s="332" t="s">
        <v>6</v>
      </c>
      <c r="V17" s="332" t="s">
        <v>7</v>
      </c>
      <c r="W17" s="472"/>
    </row>
    <row r="18" spans="2:26" x14ac:dyDescent="0.35">
      <c r="B18" s="473"/>
      <c r="C18" s="347" t="s">
        <v>9</v>
      </c>
      <c r="D18" s="6">
        <v>5.66</v>
      </c>
      <c r="E18" s="340">
        <f>'EY Funding Notification'!L18</f>
        <v>0</v>
      </c>
      <c r="F18" s="340">
        <f>'EY Funding Notification'!M18</f>
        <v>0</v>
      </c>
      <c r="G18" s="340">
        <f>'EY Funding Notification'!N18</f>
        <v>0</v>
      </c>
      <c r="H18" s="515">
        <f t="shared" ref="H18:H25" si="0">SUM(E18:G18)</f>
        <v>0</v>
      </c>
      <c r="J18" s="348" t="s">
        <v>9</v>
      </c>
      <c r="K18" s="6">
        <v>5.66</v>
      </c>
      <c r="L18" s="440">
        <f>IFERROR(VLOOKUP($D$4,'Summer data team '!$A:$BX,68,FALSE),0)</f>
        <v>0</v>
      </c>
      <c r="M18" s="336"/>
      <c r="N18" s="336"/>
      <c r="O18" s="514">
        <f t="shared" ref="O18:O29" si="1">SUM(L18:N18)</f>
        <v>0</v>
      </c>
      <c r="Q18" s="348" t="s">
        <v>9</v>
      </c>
      <c r="R18" s="6">
        <v>5.66</v>
      </c>
      <c r="S18" s="445">
        <f t="shared" ref="S18:S28" si="2">E18-L18</f>
        <v>0</v>
      </c>
      <c r="T18" s="445">
        <f t="shared" ref="T18:T29" si="3">F18-M18</f>
        <v>0</v>
      </c>
      <c r="U18" s="445">
        <f t="shared" ref="U18:U29" si="4">G18-N18</f>
        <v>0</v>
      </c>
      <c r="V18" s="511">
        <f t="shared" ref="V18:V29" si="5">SUM(S18:U18)</f>
        <v>0</v>
      </c>
      <c r="W18" s="472"/>
    </row>
    <row r="19" spans="2:26" x14ac:dyDescent="0.35">
      <c r="B19" s="473"/>
      <c r="C19" s="347" t="s">
        <v>10</v>
      </c>
      <c r="D19" s="6">
        <v>5.66</v>
      </c>
      <c r="E19" s="340">
        <f>'EY Funding Notification'!L19</f>
        <v>0</v>
      </c>
      <c r="F19" s="340">
        <f>'EY Funding Notification'!M19</f>
        <v>0</v>
      </c>
      <c r="G19" s="340">
        <f>'EY Funding Notification'!N19</f>
        <v>0</v>
      </c>
      <c r="H19" s="515">
        <f t="shared" si="0"/>
        <v>0</v>
      </c>
      <c r="J19" s="348" t="s">
        <v>10</v>
      </c>
      <c r="K19" s="6">
        <v>5.66</v>
      </c>
      <c r="L19" s="440">
        <f>IFERROR(VLOOKUP($D$4,'Summer data team '!$A:$BX,69,FALSE),0)</f>
        <v>0</v>
      </c>
      <c r="M19" s="336"/>
      <c r="N19" s="336"/>
      <c r="O19" s="514">
        <f t="shared" si="1"/>
        <v>0</v>
      </c>
      <c r="Q19" s="348" t="s">
        <v>10</v>
      </c>
      <c r="R19" s="6">
        <v>5.66</v>
      </c>
      <c r="S19" s="445">
        <f t="shared" si="2"/>
        <v>0</v>
      </c>
      <c r="T19" s="445">
        <f t="shared" si="3"/>
        <v>0</v>
      </c>
      <c r="U19" s="445">
        <f t="shared" si="4"/>
        <v>0</v>
      </c>
      <c r="V19" s="511">
        <f t="shared" si="5"/>
        <v>0</v>
      </c>
      <c r="W19" s="472"/>
    </row>
    <row r="20" spans="2:26" x14ac:dyDescent="0.35">
      <c r="B20" s="473"/>
      <c r="C20" s="347" t="s">
        <v>11</v>
      </c>
      <c r="D20" s="6">
        <v>8.51</v>
      </c>
      <c r="E20" s="340">
        <f>'EY Funding Notification'!L20</f>
        <v>0</v>
      </c>
      <c r="F20" s="340">
        <f>'EY Funding Notification'!M20</f>
        <v>0</v>
      </c>
      <c r="G20" s="340">
        <f>'EY Funding Notification'!N20</f>
        <v>0</v>
      </c>
      <c r="H20" s="515">
        <f t="shared" si="0"/>
        <v>0</v>
      </c>
      <c r="J20" s="348" t="s">
        <v>11</v>
      </c>
      <c r="K20" s="6">
        <v>8.51</v>
      </c>
      <c r="L20" s="440">
        <f>IFERROR(VLOOKUP($D$4,'Summer data team '!$A:$BX,66,FALSE),0)</f>
        <v>0</v>
      </c>
      <c r="M20" s="336"/>
      <c r="N20" s="336"/>
      <c r="O20" s="514">
        <f t="shared" si="1"/>
        <v>0</v>
      </c>
      <c r="Q20" s="348" t="s">
        <v>11</v>
      </c>
      <c r="R20" s="6">
        <v>8.51</v>
      </c>
      <c r="S20" s="445">
        <f t="shared" si="2"/>
        <v>0</v>
      </c>
      <c r="T20" s="445">
        <f t="shared" si="3"/>
        <v>0</v>
      </c>
      <c r="U20" s="445">
        <f t="shared" si="4"/>
        <v>0</v>
      </c>
      <c r="V20" s="511">
        <f t="shared" si="5"/>
        <v>0</v>
      </c>
      <c r="W20" s="472"/>
    </row>
    <row r="21" spans="2:26" x14ac:dyDescent="0.35">
      <c r="B21" s="473"/>
      <c r="C21" s="347" t="s">
        <v>220</v>
      </c>
      <c r="D21" s="6">
        <v>8.51</v>
      </c>
      <c r="E21" s="340">
        <f>'EY Funding Notification'!L21</f>
        <v>0</v>
      </c>
      <c r="F21" s="340">
        <f>'EY Funding Notification'!M21</f>
        <v>0</v>
      </c>
      <c r="G21" s="340">
        <f>'EY Funding Notification'!N21</f>
        <v>0</v>
      </c>
      <c r="H21" s="515">
        <f t="shared" si="0"/>
        <v>0</v>
      </c>
      <c r="J21" s="348" t="s">
        <v>220</v>
      </c>
      <c r="K21" s="6">
        <v>8.51</v>
      </c>
      <c r="L21" s="440">
        <f>IFERROR(VLOOKUP($D$4,'Summer data team '!$A:$BX,67,FALSE),0)</f>
        <v>0</v>
      </c>
      <c r="M21" s="336"/>
      <c r="N21" s="336"/>
      <c r="O21" s="514">
        <f t="shared" si="1"/>
        <v>0</v>
      </c>
      <c r="Q21" s="348" t="s">
        <v>220</v>
      </c>
      <c r="R21" s="6">
        <v>8.51</v>
      </c>
      <c r="S21" s="445">
        <f t="shared" si="2"/>
        <v>0</v>
      </c>
      <c r="T21" s="445">
        <f t="shared" si="3"/>
        <v>0</v>
      </c>
      <c r="U21" s="445">
        <f t="shared" si="4"/>
        <v>0</v>
      </c>
      <c r="V21" s="511">
        <f t="shared" si="5"/>
        <v>0</v>
      </c>
      <c r="W21" s="472"/>
    </row>
    <row r="22" spans="2:26" x14ac:dyDescent="0.35">
      <c r="B22" s="473"/>
      <c r="C22" s="347" t="s">
        <v>12</v>
      </c>
      <c r="D22" s="6">
        <v>11.92</v>
      </c>
      <c r="E22" s="340">
        <f>'EY Funding Notification'!L22</f>
        <v>0</v>
      </c>
      <c r="F22" s="340">
        <f>'EY Funding Notification'!M22</f>
        <v>0</v>
      </c>
      <c r="G22" s="340">
        <f>'EY Funding Notification'!N22</f>
        <v>0</v>
      </c>
      <c r="H22" s="515">
        <f t="shared" si="0"/>
        <v>0</v>
      </c>
      <c r="J22" s="348" t="s">
        <v>12</v>
      </c>
      <c r="K22" s="6">
        <v>11.92</v>
      </c>
      <c r="L22" s="440">
        <f>IFERROR(VLOOKUP($D$4,'Summer data team '!$A:$BX,65,FALSE),0)</f>
        <v>0</v>
      </c>
      <c r="M22" s="336"/>
      <c r="N22" s="336"/>
      <c r="O22" s="514">
        <f t="shared" si="1"/>
        <v>0</v>
      </c>
      <c r="Q22" s="348" t="s">
        <v>12</v>
      </c>
      <c r="R22" s="6">
        <v>11.92</v>
      </c>
      <c r="S22" s="445">
        <f t="shared" si="2"/>
        <v>0</v>
      </c>
      <c r="T22" s="445">
        <f t="shared" si="3"/>
        <v>0</v>
      </c>
      <c r="U22" s="445">
        <f t="shared" si="4"/>
        <v>0</v>
      </c>
      <c r="V22" s="511">
        <f t="shared" si="5"/>
        <v>0</v>
      </c>
      <c r="W22" s="472"/>
    </row>
    <row r="23" spans="2:26" x14ac:dyDescent="0.35">
      <c r="B23" s="473"/>
      <c r="C23" s="347" t="s">
        <v>492</v>
      </c>
      <c r="D23" s="6">
        <v>0.61</v>
      </c>
      <c r="E23" s="340">
        <f>'EY Funding Notification'!L23</f>
        <v>0</v>
      </c>
      <c r="F23" s="340">
        <f>'EY Funding Notification'!M23</f>
        <v>0</v>
      </c>
      <c r="G23" s="340">
        <f>'EY Funding Notification'!N23</f>
        <v>0</v>
      </c>
      <c r="H23" s="515">
        <f t="shared" si="0"/>
        <v>0</v>
      </c>
      <c r="J23" s="348" t="s">
        <v>492</v>
      </c>
      <c r="K23" s="6">
        <v>0.61</v>
      </c>
      <c r="L23" s="440">
        <f>IFERROR(VLOOKUP($D$4,'Summer data team '!$A:$BX,70,FALSE),0)</f>
        <v>0</v>
      </c>
      <c r="M23" s="336"/>
      <c r="N23" s="336"/>
      <c r="O23" s="514">
        <f t="shared" si="1"/>
        <v>0</v>
      </c>
      <c r="Q23" s="348" t="s">
        <v>492</v>
      </c>
      <c r="R23" s="6">
        <v>0.61</v>
      </c>
      <c r="S23" s="445">
        <f t="shared" si="2"/>
        <v>0</v>
      </c>
      <c r="T23" s="445">
        <f t="shared" si="3"/>
        <v>0</v>
      </c>
      <c r="U23" s="445">
        <f t="shared" si="4"/>
        <v>0</v>
      </c>
      <c r="V23" s="511">
        <f t="shared" si="5"/>
        <v>0</v>
      </c>
      <c r="W23" s="472"/>
      <c r="Z23" s="444"/>
    </row>
    <row r="24" spans="2:26" x14ac:dyDescent="0.35">
      <c r="B24" s="473"/>
      <c r="C24" s="347" t="s">
        <v>493</v>
      </c>
      <c r="D24" s="6">
        <v>0.28999999999999998</v>
      </c>
      <c r="E24" s="340">
        <f>'EY Funding Notification'!L24</f>
        <v>0</v>
      </c>
      <c r="F24" s="340">
        <f>'EY Funding Notification'!M24</f>
        <v>0</v>
      </c>
      <c r="G24" s="340">
        <f>'EY Funding Notification'!N24</f>
        <v>0</v>
      </c>
      <c r="H24" s="515">
        <f t="shared" si="0"/>
        <v>0</v>
      </c>
      <c r="J24" s="348" t="s">
        <v>493</v>
      </c>
      <c r="K24" s="6">
        <v>0.28999999999999998</v>
      </c>
      <c r="L24" s="440">
        <f>IFERROR(VLOOKUP($D$4,'Summer data team '!$A:$BX,71,FALSE),0)</f>
        <v>0</v>
      </c>
      <c r="M24" s="336"/>
      <c r="N24" s="336"/>
      <c r="O24" s="514">
        <f t="shared" si="1"/>
        <v>0</v>
      </c>
      <c r="Q24" s="348" t="s">
        <v>493</v>
      </c>
      <c r="R24" s="6">
        <v>0.28999999999999998</v>
      </c>
      <c r="S24" s="445">
        <f t="shared" si="2"/>
        <v>0</v>
      </c>
      <c r="T24" s="445">
        <f t="shared" si="3"/>
        <v>0</v>
      </c>
      <c r="U24" s="445">
        <f t="shared" si="4"/>
        <v>0</v>
      </c>
      <c r="V24" s="511">
        <f t="shared" si="5"/>
        <v>0</v>
      </c>
      <c r="W24" s="472"/>
      <c r="Z24" s="444"/>
    </row>
    <row r="25" spans="2:26" x14ac:dyDescent="0.35">
      <c r="B25" s="473"/>
      <c r="C25" s="331" t="s">
        <v>494</v>
      </c>
      <c r="D25" s="8">
        <v>0.08</v>
      </c>
      <c r="E25" s="340">
        <f>'EY Funding Notification'!L25</f>
        <v>0</v>
      </c>
      <c r="F25" s="340">
        <f>'EY Funding Notification'!M25</f>
        <v>0</v>
      </c>
      <c r="G25" s="340">
        <f>'EY Funding Notification'!N25</f>
        <v>0</v>
      </c>
      <c r="H25" s="515">
        <f t="shared" si="0"/>
        <v>0</v>
      </c>
      <c r="J25" s="349" t="s">
        <v>494</v>
      </c>
      <c r="K25" s="8">
        <v>0.08</v>
      </c>
      <c r="L25" s="440">
        <f>IFERROR(VLOOKUP($D$4,'Summer data team '!$A:$BX,72,FALSE),0)</f>
        <v>0</v>
      </c>
      <c r="M25" s="336"/>
      <c r="N25" s="336"/>
      <c r="O25" s="514">
        <f t="shared" si="1"/>
        <v>0</v>
      </c>
      <c r="Q25" s="349" t="s">
        <v>494</v>
      </c>
      <c r="R25" s="8">
        <v>0.08</v>
      </c>
      <c r="S25" s="445">
        <f t="shared" si="2"/>
        <v>0</v>
      </c>
      <c r="T25" s="445">
        <f t="shared" si="3"/>
        <v>0</v>
      </c>
      <c r="U25" s="445">
        <f t="shared" si="4"/>
        <v>0</v>
      </c>
      <c r="V25" s="511">
        <f t="shared" si="5"/>
        <v>0</v>
      </c>
      <c r="W25" s="472"/>
    </row>
    <row r="26" spans="2:26" x14ac:dyDescent="0.35">
      <c r="B26" s="473"/>
      <c r="C26" s="331" t="s">
        <v>1094</v>
      </c>
      <c r="D26" s="8">
        <v>5.74</v>
      </c>
      <c r="E26" s="340">
        <f>'EY Funding Notification'!L26</f>
        <v>0</v>
      </c>
      <c r="F26" s="340">
        <f>'EY Funding Notification'!M26</f>
        <v>0</v>
      </c>
      <c r="G26" s="340">
        <f>'EY Funding Notification'!N26</f>
        <v>0</v>
      </c>
      <c r="H26" s="515">
        <f t="shared" ref="H26:H29" si="6">SUM(E26:G26)</f>
        <v>0</v>
      </c>
      <c r="J26" s="349" t="s">
        <v>1094</v>
      </c>
      <c r="K26" s="8">
        <v>5.74</v>
      </c>
      <c r="L26" s="440">
        <f>IFERROR(VLOOKUP($D$4,'Summer data team '!$A:$BX,74,FALSE),0)</f>
        <v>0</v>
      </c>
      <c r="M26" s="336"/>
      <c r="N26" s="336"/>
      <c r="O26" s="514">
        <f t="shared" si="1"/>
        <v>0</v>
      </c>
      <c r="Q26" s="349" t="s">
        <v>1094</v>
      </c>
      <c r="R26" s="8">
        <v>5.74</v>
      </c>
      <c r="S26" s="445">
        <f t="shared" si="2"/>
        <v>0</v>
      </c>
      <c r="T26" s="445">
        <f t="shared" si="3"/>
        <v>0</v>
      </c>
      <c r="U26" s="445">
        <f t="shared" si="4"/>
        <v>0</v>
      </c>
      <c r="V26" s="511">
        <f t="shared" si="5"/>
        <v>0</v>
      </c>
      <c r="W26" s="472"/>
    </row>
    <row r="27" spans="2:26" x14ac:dyDescent="0.35">
      <c r="B27" s="473"/>
      <c r="C27" s="331" t="s">
        <v>1095</v>
      </c>
      <c r="D27" s="8">
        <f>((545/38))</f>
        <v>14.342105263157896</v>
      </c>
      <c r="E27" s="340">
        <f>'EY Funding Notification'!L27</f>
        <v>0</v>
      </c>
      <c r="F27" s="340">
        <f>'EY Funding Notification'!M27</f>
        <v>0</v>
      </c>
      <c r="G27" s="340">
        <f>'EY Funding Notification'!N27</f>
        <v>0</v>
      </c>
      <c r="H27" s="515">
        <f t="shared" si="6"/>
        <v>0</v>
      </c>
      <c r="J27" s="349" t="s">
        <v>1095</v>
      </c>
      <c r="K27" s="8">
        <f>((545/38))</f>
        <v>14.342105263157896</v>
      </c>
      <c r="L27" s="440">
        <f>IFERROR(VLOOKUP($D$4,'Summer data team '!$A:$BX,75,FALSE),0)</f>
        <v>0</v>
      </c>
      <c r="M27" s="336"/>
      <c r="N27" s="336"/>
      <c r="O27" s="514">
        <f t="shared" si="1"/>
        <v>0</v>
      </c>
      <c r="Q27" s="349" t="s">
        <v>1095</v>
      </c>
      <c r="R27" s="8">
        <f>((545/38))</f>
        <v>14.342105263157896</v>
      </c>
      <c r="S27" s="445">
        <f t="shared" ref="S27" si="7">E27-L27</f>
        <v>0</v>
      </c>
      <c r="T27" s="445">
        <f t="shared" ref="T27" si="8">F27-M27</f>
        <v>0</v>
      </c>
      <c r="U27" s="445">
        <f t="shared" ref="U27" si="9">G27-N27</f>
        <v>0</v>
      </c>
      <c r="V27" s="511">
        <f>SUM(S27:U27)</f>
        <v>0</v>
      </c>
      <c r="W27" s="472"/>
    </row>
    <row r="28" spans="2:26" x14ac:dyDescent="0.35">
      <c r="B28" s="473"/>
      <c r="C28" s="347" t="s">
        <v>13</v>
      </c>
      <c r="D28" s="6">
        <v>1</v>
      </c>
      <c r="E28" s="340">
        <f>'EY Funding Notification'!L28</f>
        <v>0</v>
      </c>
      <c r="F28" s="340">
        <f>'EY Funding Notification'!M28</f>
        <v>0</v>
      </c>
      <c r="G28" s="340">
        <f>'EY Funding Notification'!N28</f>
        <v>0</v>
      </c>
      <c r="H28" s="515">
        <f t="shared" si="6"/>
        <v>0</v>
      </c>
      <c r="J28" s="348" t="s">
        <v>13</v>
      </c>
      <c r="K28" s="6">
        <v>1</v>
      </c>
      <c r="L28" s="440">
        <f>IFERROR(VLOOKUP($D$4,'Summer data team '!$A:$BX,73,FALSE),0)</f>
        <v>0</v>
      </c>
      <c r="M28" s="336"/>
      <c r="N28" s="336"/>
      <c r="O28" s="514">
        <f t="shared" si="1"/>
        <v>0</v>
      </c>
      <c r="Q28" s="348" t="s">
        <v>13</v>
      </c>
      <c r="R28" s="6">
        <v>1</v>
      </c>
      <c r="S28" s="445">
        <f t="shared" si="2"/>
        <v>0</v>
      </c>
      <c r="T28" s="445">
        <f t="shared" si="3"/>
        <v>0</v>
      </c>
      <c r="U28" s="445">
        <f t="shared" si="4"/>
        <v>0</v>
      </c>
      <c r="V28" s="511">
        <f t="shared" si="5"/>
        <v>0</v>
      </c>
      <c r="W28" s="472"/>
    </row>
    <row r="29" spans="2:26" x14ac:dyDescent="0.35">
      <c r="B29" s="473"/>
      <c r="C29" s="347" t="s">
        <v>545</v>
      </c>
      <c r="D29" s="9">
        <f>938/38*13</f>
        <v>320.89473684210526</v>
      </c>
      <c r="E29" s="340">
        <f>'EY Funding Notification'!L29</f>
        <v>0</v>
      </c>
      <c r="F29" s="340">
        <f>'EY Funding Notification'!M29</f>
        <v>0</v>
      </c>
      <c r="G29" s="340">
        <f>'EY Funding Notification'!N29</f>
        <v>0</v>
      </c>
      <c r="H29" s="515">
        <f t="shared" si="6"/>
        <v>0</v>
      </c>
      <c r="J29" s="348" t="s">
        <v>14</v>
      </c>
      <c r="K29" s="9">
        <v>938</v>
      </c>
      <c r="L29" s="440">
        <f>IFERROR(VLOOKUP($D$4,'Summer data team '!$A:$BX,76,FALSE),0)</f>
        <v>0</v>
      </c>
      <c r="M29" s="336"/>
      <c r="N29" s="336"/>
      <c r="O29" s="514">
        <f t="shared" si="1"/>
        <v>0</v>
      </c>
      <c r="Q29" s="348" t="s">
        <v>14</v>
      </c>
      <c r="R29" s="9">
        <v>938</v>
      </c>
      <c r="S29" s="445">
        <f>E29-L29</f>
        <v>0</v>
      </c>
      <c r="T29" s="445">
        <f t="shared" si="3"/>
        <v>0</v>
      </c>
      <c r="U29" s="445">
        <f t="shared" si="4"/>
        <v>0</v>
      </c>
      <c r="V29" s="511">
        <f t="shared" si="5"/>
        <v>0</v>
      </c>
      <c r="W29" s="472"/>
    </row>
    <row r="30" spans="2:26" x14ac:dyDescent="0.35">
      <c r="B30" s="473"/>
      <c r="C30" s="361"/>
      <c r="D30" s="220"/>
      <c r="E30" s="478"/>
      <c r="F30" s="478"/>
      <c r="G30" s="478"/>
      <c r="H30" s="478"/>
      <c r="I30"/>
      <c r="J30" s="479"/>
      <c r="K30" s="477"/>
      <c r="L30" s="475"/>
      <c r="M30" s="475"/>
      <c r="N30" s="475"/>
      <c r="O30" s="478"/>
      <c r="P30"/>
      <c r="Q30" s="479"/>
      <c r="R30" s="477"/>
      <c r="S30" s="363"/>
      <c r="T30" s="363"/>
      <c r="U30" s="363"/>
      <c r="V30" s="476"/>
      <c r="W30" s="472"/>
    </row>
    <row r="31" spans="2:26" x14ac:dyDescent="0.35">
      <c r="B31" s="473"/>
      <c r="C31" s="479"/>
      <c r="D31" s="477"/>
      <c r="E31" s="478"/>
      <c r="F31" s="478"/>
      <c r="G31" s="478"/>
      <c r="H31" s="475"/>
      <c r="I31"/>
      <c r="J31" s="479"/>
      <c r="K31" s="477"/>
      <c r="L31"/>
      <c r="M31"/>
      <c r="N31"/>
      <c r="O31" s="475"/>
      <c r="P31"/>
      <c r="Q31" s="479"/>
      <c r="R31" s="477"/>
      <c r="S31" s="476"/>
      <c r="T31" s="476"/>
      <c r="U31" s="476"/>
      <c r="V31" s="476"/>
      <c r="W31" s="472"/>
    </row>
    <row r="32" spans="2:26" x14ac:dyDescent="0.35">
      <c r="B32" s="473"/>
      <c r="C32" s="480"/>
      <c r="D32" s="480"/>
      <c r="J32" s="480"/>
      <c r="K32" s="480"/>
      <c r="S32" s="481"/>
      <c r="T32" s="481"/>
      <c r="U32" s="481"/>
      <c r="W32" s="472"/>
    </row>
    <row r="33" spans="2:23" x14ac:dyDescent="0.35">
      <c r="B33" s="473"/>
      <c r="C33" s="2" t="s">
        <v>15</v>
      </c>
      <c r="D33" s="332" t="s">
        <v>3</v>
      </c>
      <c r="E33" s="332" t="s">
        <v>4</v>
      </c>
      <c r="F33" s="332" t="s">
        <v>5</v>
      </c>
      <c r="G33" s="332" t="s">
        <v>6</v>
      </c>
      <c r="H33" s="332" t="s">
        <v>7</v>
      </c>
      <c r="I33" s="474"/>
      <c r="J33" s="2" t="s">
        <v>15</v>
      </c>
      <c r="K33" s="332" t="s">
        <v>3</v>
      </c>
      <c r="L33" s="332" t="s">
        <v>4</v>
      </c>
      <c r="M33" s="332" t="s">
        <v>5</v>
      </c>
      <c r="N33" s="332" t="s">
        <v>6</v>
      </c>
      <c r="O33" s="332" t="s">
        <v>7</v>
      </c>
      <c r="Q33" s="2" t="s">
        <v>743</v>
      </c>
      <c r="R33" s="337" t="s">
        <v>3</v>
      </c>
      <c r="S33" s="337" t="s">
        <v>540</v>
      </c>
      <c r="T33" s="337" t="s">
        <v>5</v>
      </c>
      <c r="U33" s="337" t="s">
        <v>6</v>
      </c>
      <c r="V33" s="337" t="s">
        <v>7</v>
      </c>
      <c r="W33" s="472"/>
    </row>
    <row r="34" spans="2:23" x14ac:dyDescent="0.35">
      <c r="B34" s="473"/>
      <c r="C34" s="348" t="s">
        <v>9</v>
      </c>
      <c r="D34" s="6">
        <v>5.66</v>
      </c>
      <c r="E34" s="341">
        <f t="shared" ref="E34:E41" si="10">D34*E18</f>
        <v>0</v>
      </c>
      <c r="F34" s="341">
        <f t="shared" ref="F34:F41" si="11">D34*F18</f>
        <v>0</v>
      </c>
      <c r="G34" s="341">
        <f t="shared" ref="G34:G41" si="12">D34*G18</f>
        <v>0</v>
      </c>
      <c r="H34" s="516">
        <f t="shared" ref="H34:H45" si="13">SUM(E34:G34)</f>
        <v>0</v>
      </c>
      <c r="I34" s="10"/>
      <c r="J34" s="348" t="s">
        <v>9</v>
      </c>
      <c r="K34" s="6">
        <v>5.66</v>
      </c>
      <c r="L34" s="442">
        <f t="shared" ref="L34:L41" si="14">K34*L18</f>
        <v>0</v>
      </c>
      <c r="M34" s="442">
        <f t="shared" ref="M34:M43" si="15">K34*M18</f>
        <v>0</v>
      </c>
      <c r="N34" s="442">
        <f t="shared" ref="N34:N43" si="16">K34*N18</f>
        <v>0</v>
      </c>
      <c r="O34" s="513">
        <f t="shared" ref="O34:O45" si="17">SUM(L34:N34)</f>
        <v>0</v>
      </c>
      <c r="Q34" s="348" t="s">
        <v>9</v>
      </c>
      <c r="R34" s="6">
        <v>5.66</v>
      </c>
      <c r="S34" s="446">
        <f>E34-L34</f>
        <v>0</v>
      </c>
      <c r="T34" s="446">
        <f t="shared" ref="T34:T45" si="18">F34-M34</f>
        <v>0</v>
      </c>
      <c r="U34" s="446">
        <f t="shared" ref="U34:U45" si="19">G34-N34</f>
        <v>0</v>
      </c>
      <c r="V34" s="512">
        <f t="shared" ref="V34:V45" si="20">SUM(S34:U34)</f>
        <v>0</v>
      </c>
      <c r="W34" s="472"/>
    </row>
    <row r="35" spans="2:23" x14ac:dyDescent="0.35">
      <c r="B35" s="473"/>
      <c r="C35" s="348" t="s">
        <v>10</v>
      </c>
      <c r="D35" s="6">
        <v>5.66</v>
      </c>
      <c r="E35" s="341">
        <f t="shared" si="10"/>
        <v>0</v>
      </c>
      <c r="F35" s="341">
        <f t="shared" si="11"/>
        <v>0</v>
      </c>
      <c r="G35" s="341">
        <f t="shared" si="12"/>
        <v>0</v>
      </c>
      <c r="H35" s="516">
        <f t="shared" si="13"/>
        <v>0</v>
      </c>
      <c r="I35" s="10"/>
      <c r="J35" s="348" t="s">
        <v>10</v>
      </c>
      <c r="K35" s="6">
        <v>5.66</v>
      </c>
      <c r="L35" s="442">
        <f t="shared" si="14"/>
        <v>0</v>
      </c>
      <c r="M35" s="442">
        <f t="shared" si="15"/>
        <v>0</v>
      </c>
      <c r="N35" s="442">
        <f t="shared" si="16"/>
        <v>0</v>
      </c>
      <c r="O35" s="513">
        <f t="shared" si="17"/>
        <v>0</v>
      </c>
      <c r="Q35" s="348" t="s">
        <v>10</v>
      </c>
      <c r="R35" s="6">
        <v>5.66</v>
      </c>
      <c r="S35" s="446">
        <f t="shared" ref="S35:S44" si="21">E35-L35</f>
        <v>0</v>
      </c>
      <c r="T35" s="446">
        <f t="shared" si="18"/>
        <v>0</v>
      </c>
      <c r="U35" s="446">
        <f t="shared" si="19"/>
        <v>0</v>
      </c>
      <c r="V35" s="512">
        <f t="shared" si="20"/>
        <v>0</v>
      </c>
      <c r="W35" s="472"/>
    </row>
    <row r="36" spans="2:23" x14ac:dyDescent="0.35">
      <c r="B36" s="473"/>
      <c r="C36" s="348" t="s">
        <v>11</v>
      </c>
      <c r="D36" s="6">
        <v>8.51</v>
      </c>
      <c r="E36" s="341">
        <f t="shared" si="10"/>
        <v>0</v>
      </c>
      <c r="F36" s="341">
        <f t="shared" si="11"/>
        <v>0</v>
      </c>
      <c r="G36" s="341">
        <f t="shared" si="12"/>
        <v>0</v>
      </c>
      <c r="H36" s="516">
        <f t="shared" si="13"/>
        <v>0</v>
      </c>
      <c r="I36" s="10"/>
      <c r="J36" s="348" t="s">
        <v>11</v>
      </c>
      <c r="K36" s="6">
        <v>8.51</v>
      </c>
      <c r="L36" s="442">
        <f t="shared" si="14"/>
        <v>0</v>
      </c>
      <c r="M36" s="442">
        <f t="shared" si="15"/>
        <v>0</v>
      </c>
      <c r="N36" s="442">
        <f t="shared" si="16"/>
        <v>0</v>
      </c>
      <c r="O36" s="513">
        <f t="shared" si="17"/>
        <v>0</v>
      </c>
      <c r="Q36" s="348" t="s">
        <v>11</v>
      </c>
      <c r="R36" s="6">
        <v>8.51</v>
      </c>
      <c r="S36" s="446">
        <f t="shared" si="21"/>
        <v>0</v>
      </c>
      <c r="T36" s="446">
        <f t="shared" si="18"/>
        <v>0</v>
      </c>
      <c r="U36" s="446">
        <f t="shared" si="19"/>
        <v>0</v>
      </c>
      <c r="V36" s="512">
        <f t="shared" si="20"/>
        <v>0</v>
      </c>
      <c r="W36" s="472"/>
    </row>
    <row r="37" spans="2:23" x14ac:dyDescent="0.35">
      <c r="B37" s="473"/>
      <c r="C37" s="348" t="s">
        <v>220</v>
      </c>
      <c r="D37" s="6">
        <v>8.51</v>
      </c>
      <c r="E37" s="341">
        <f t="shared" si="10"/>
        <v>0</v>
      </c>
      <c r="F37" s="341">
        <f t="shared" si="11"/>
        <v>0</v>
      </c>
      <c r="G37" s="341">
        <f t="shared" si="12"/>
        <v>0</v>
      </c>
      <c r="H37" s="516">
        <f t="shared" si="13"/>
        <v>0</v>
      </c>
      <c r="I37" s="10"/>
      <c r="J37" s="348" t="s">
        <v>220</v>
      </c>
      <c r="K37" s="6">
        <v>8.51</v>
      </c>
      <c r="L37" s="442">
        <f t="shared" si="14"/>
        <v>0</v>
      </c>
      <c r="M37" s="442">
        <f t="shared" si="15"/>
        <v>0</v>
      </c>
      <c r="N37" s="442">
        <f t="shared" si="16"/>
        <v>0</v>
      </c>
      <c r="O37" s="513">
        <f t="shared" si="17"/>
        <v>0</v>
      </c>
      <c r="Q37" s="348" t="s">
        <v>220</v>
      </c>
      <c r="R37" s="6">
        <v>8.51</v>
      </c>
      <c r="S37" s="446">
        <f t="shared" si="21"/>
        <v>0</v>
      </c>
      <c r="T37" s="446">
        <f t="shared" si="18"/>
        <v>0</v>
      </c>
      <c r="U37" s="446">
        <f t="shared" si="19"/>
        <v>0</v>
      </c>
      <c r="V37" s="512">
        <f t="shared" si="20"/>
        <v>0</v>
      </c>
      <c r="W37" s="472"/>
    </row>
    <row r="38" spans="2:23" x14ac:dyDescent="0.35">
      <c r="B38" s="473"/>
      <c r="C38" s="348" t="s">
        <v>12</v>
      </c>
      <c r="D38" s="6">
        <v>11.92</v>
      </c>
      <c r="E38" s="341">
        <f t="shared" si="10"/>
        <v>0</v>
      </c>
      <c r="F38" s="341">
        <f t="shared" si="11"/>
        <v>0</v>
      </c>
      <c r="G38" s="341">
        <f t="shared" si="12"/>
        <v>0</v>
      </c>
      <c r="H38" s="516">
        <f t="shared" si="13"/>
        <v>0</v>
      </c>
      <c r="I38" s="10"/>
      <c r="J38" s="348" t="s">
        <v>12</v>
      </c>
      <c r="K38" s="6">
        <v>11.92</v>
      </c>
      <c r="L38" s="442">
        <f t="shared" si="14"/>
        <v>0</v>
      </c>
      <c r="M38" s="442">
        <f t="shared" si="15"/>
        <v>0</v>
      </c>
      <c r="N38" s="442">
        <f t="shared" si="16"/>
        <v>0</v>
      </c>
      <c r="O38" s="513">
        <f t="shared" si="17"/>
        <v>0</v>
      </c>
      <c r="Q38" s="348" t="s">
        <v>12</v>
      </c>
      <c r="R38" s="6">
        <v>11.92</v>
      </c>
      <c r="S38" s="446">
        <f t="shared" si="21"/>
        <v>0</v>
      </c>
      <c r="T38" s="446">
        <f t="shared" si="18"/>
        <v>0</v>
      </c>
      <c r="U38" s="446">
        <f t="shared" si="19"/>
        <v>0</v>
      </c>
      <c r="V38" s="512">
        <f t="shared" si="20"/>
        <v>0</v>
      </c>
      <c r="W38" s="472"/>
    </row>
    <row r="39" spans="2:23" x14ac:dyDescent="0.35">
      <c r="B39" s="473"/>
      <c r="C39" s="348" t="s">
        <v>492</v>
      </c>
      <c r="D39" s="6">
        <v>0.61</v>
      </c>
      <c r="E39" s="341">
        <f t="shared" si="10"/>
        <v>0</v>
      </c>
      <c r="F39" s="341">
        <f t="shared" si="11"/>
        <v>0</v>
      </c>
      <c r="G39" s="341">
        <f t="shared" si="12"/>
        <v>0</v>
      </c>
      <c r="H39" s="516">
        <f t="shared" si="13"/>
        <v>0</v>
      </c>
      <c r="I39" s="10"/>
      <c r="J39" s="348" t="s">
        <v>492</v>
      </c>
      <c r="K39" s="6">
        <v>0.61</v>
      </c>
      <c r="L39" s="442">
        <f t="shared" si="14"/>
        <v>0</v>
      </c>
      <c r="M39" s="442">
        <f t="shared" si="15"/>
        <v>0</v>
      </c>
      <c r="N39" s="442">
        <f t="shared" si="16"/>
        <v>0</v>
      </c>
      <c r="O39" s="513">
        <f t="shared" si="17"/>
        <v>0</v>
      </c>
      <c r="Q39" s="348" t="s">
        <v>492</v>
      </c>
      <c r="R39" s="6">
        <v>0.61</v>
      </c>
      <c r="S39" s="446">
        <f t="shared" si="21"/>
        <v>0</v>
      </c>
      <c r="T39" s="446">
        <f t="shared" si="18"/>
        <v>0</v>
      </c>
      <c r="U39" s="446">
        <f t="shared" si="19"/>
        <v>0</v>
      </c>
      <c r="V39" s="512">
        <f t="shared" si="20"/>
        <v>0</v>
      </c>
      <c r="W39" s="472"/>
    </row>
    <row r="40" spans="2:23" x14ac:dyDescent="0.35">
      <c r="B40" s="473"/>
      <c r="C40" s="348" t="s">
        <v>493</v>
      </c>
      <c r="D40" s="6">
        <v>0.28999999999999998</v>
      </c>
      <c r="E40" s="341">
        <f t="shared" si="10"/>
        <v>0</v>
      </c>
      <c r="F40" s="341">
        <f t="shared" si="11"/>
        <v>0</v>
      </c>
      <c r="G40" s="341">
        <f t="shared" si="12"/>
        <v>0</v>
      </c>
      <c r="H40" s="516">
        <f t="shared" si="13"/>
        <v>0</v>
      </c>
      <c r="I40" s="10"/>
      <c r="J40" s="348" t="s">
        <v>493</v>
      </c>
      <c r="K40" s="6">
        <v>0.28999999999999998</v>
      </c>
      <c r="L40" s="442">
        <f t="shared" si="14"/>
        <v>0</v>
      </c>
      <c r="M40" s="442">
        <f t="shared" si="15"/>
        <v>0</v>
      </c>
      <c r="N40" s="442">
        <f t="shared" si="16"/>
        <v>0</v>
      </c>
      <c r="O40" s="513">
        <f t="shared" si="17"/>
        <v>0</v>
      </c>
      <c r="Q40" s="348" t="s">
        <v>493</v>
      </c>
      <c r="R40" s="6">
        <v>0.28999999999999998</v>
      </c>
      <c r="S40" s="446">
        <f t="shared" si="21"/>
        <v>0</v>
      </c>
      <c r="T40" s="446">
        <f t="shared" si="18"/>
        <v>0</v>
      </c>
      <c r="U40" s="446">
        <f t="shared" si="19"/>
        <v>0</v>
      </c>
      <c r="V40" s="512">
        <f t="shared" si="20"/>
        <v>0</v>
      </c>
      <c r="W40" s="472"/>
    </row>
    <row r="41" spans="2:23" x14ac:dyDescent="0.35">
      <c r="B41" s="473"/>
      <c r="C41" s="349" t="s">
        <v>494</v>
      </c>
      <c r="D41" s="8">
        <v>0.08</v>
      </c>
      <c r="E41" s="341">
        <f t="shared" si="10"/>
        <v>0</v>
      </c>
      <c r="F41" s="341">
        <f t="shared" si="11"/>
        <v>0</v>
      </c>
      <c r="G41" s="341">
        <f t="shared" si="12"/>
        <v>0</v>
      </c>
      <c r="H41" s="516">
        <f t="shared" si="13"/>
        <v>0</v>
      </c>
      <c r="I41" s="10"/>
      <c r="J41" s="349" t="s">
        <v>494</v>
      </c>
      <c r="K41" s="8">
        <v>0.08</v>
      </c>
      <c r="L41" s="442">
        <f t="shared" si="14"/>
        <v>0</v>
      </c>
      <c r="M41" s="442">
        <f t="shared" si="15"/>
        <v>0</v>
      </c>
      <c r="N41" s="442">
        <f t="shared" si="16"/>
        <v>0</v>
      </c>
      <c r="O41" s="513">
        <f t="shared" si="17"/>
        <v>0</v>
      </c>
      <c r="Q41" s="349" t="s">
        <v>494</v>
      </c>
      <c r="R41" s="8">
        <v>0.08</v>
      </c>
      <c r="S41" s="446">
        <f t="shared" si="21"/>
        <v>0</v>
      </c>
      <c r="T41" s="446">
        <f t="shared" si="18"/>
        <v>0</v>
      </c>
      <c r="U41" s="446">
        <f t="shared" si="19"/>
        <v>0</v>
      </c>
      <c r="V41" s="512">
        <f t="shared" si="20"/>
        <v>0</v>
      </c>
      <c r="W41" s="472"/>
    </row>
    <row r="42" spans="2:23" x14ac:dyDescent="0.35">
      <c r="B42" s="473"/>
      <c r="C42" s="349" t="s">
        <v>1094</v>
      </c>
      <c r="D42" s="8">
        <v>5.74</v>
      </c>
      <c r="E42" s="341">
        <f>$D$42*E26*E14</f>
        <v>0</v>
      </c>
      <c r="F42" s="341">
        <f t="shared" ref="F42:G42" si="22">$D$42*F26*F14</f>
        <v>0</v>
      </c>
      <c r="G42" s="341">
        <f t="shared" si="22"/>
        <v>0</v>
      </c>
      <c r="H42" s="516">
        <f t="shared" si="13"/>
        <v>0</v>
      </c>
      <c r="I42" s="10"/>
      <c r="J42" s="349" t="s">
        <v>1099</v>
      </c>
      <c r="K42" s="8">
        <v>5.74</v>
      </c>
      <c r="L42" s="442">
        <f>K42*L26*L14</f>
        <v>0</v>
      </c>
      <c r="M42" s="442">
        <f t="shared" si="15"/>
        <v>0</v>
      </c>
      <c r="N42" s="442">
        <f t="shared" si="16"/>
        <v>0</v>
      </c>
      <c r="O42" s="513">
        <f t="shared" si="17"/>
        <v>0</v>
      </c>
      <c r="Q42" s="349" t="s">
        <v>1099</v>
      </c>
      <c r="R42" s="8">
        <v>5.74</v>
      </c>
      <c r="S42" s="446">
        <f>E42-L42</f>
        <v>0</v>
      </c>
      <c r="T42" s="446">
        <f t="shared" si="18"/>
        <v>0</v>
      </c>
      <c r="U42" s="446">
        <f t="shared" si="19"/>
        <v>0</v>
      </c>
      <c r="V42" s="512">
        <f t="shared" si="20"/>
        <v>0</v>
      </c>
      <c r="W42" s="472"/>
    </row>
    <row r="43" spans="2:23" x14ac:dyDescent="0.35">
      <c r="B43" s="473"/>
      <c r="C43" s="349" t="s">
        <v>1095</v>
      </c>
      <c r="D43" s="8">
        <f>((545/38))</f>
        <v>14.342105263157896</v>
      </c>
      <c r="E43" s="341">
        <f>$D$43*E27*E14</f>
        <v>0</v>
      </c>
      <c r="F43" s="341">
        <f t="shared" ref="F43:G43" si="23">$D$43*F27*F14</f>
        <v>0</v>
      </c>
      <c r="G43" s="341">
        <f t="shared" si="23"/>
        <v>0</v>
      </c>
      <c r="H43" s="516">
        <f t="shared" ref="H43" si="24">SUM(E43:G43)</f>
        <v>0</v>
      </c>
      <c r="I43" s="10"/>
      <c r="J43" s="349" t="s">
        <v>1095</v>
      </c>
      <c r="K43" s="8">
        <f>((545/38))</f>
        <v>14.342105263157896</v>
      </c>
      <c r="L43" s="442">
        <f>K43*L27*L14</f>
        <v>0</v>
      </c>
      <c r="M43" s="442">
        <f t="shared" si="15"/>
        <v>0</v>
      </c>
      <c r="N43" s="442">
        <f t="shared" si="16"/>
        <v>0</v>
      </c>
      <c r="O43" s="513">
        <f>SUM(L43:N43)</f>
        <v>0</v>
      </c>
      <c r="Q43" s="349" t="s">
        <v>1095</v>
      </c>
      <c r="R43" s="8">
        <f>((545/38))</f>
        <v>14.342105263157896</v>
      </c>
      <c r="S43" s="446">
        <f t="shared" ref="S43" si="25">E43-L43</f>
        <v>0</v>
      </c>
      <c r="T43" s="446">
        <f t="shared" ref="T43" si="26">F43-M43</f>
        <v>0</v>
      </c>
      <c r="U43" s="446">
        <f t="shared" ref="U43" si="27">G43-N43</f>
        <v>0</v>
      </c>
      <c r="V43" s="512">
        <f t="shared" ref="V43" si="28">SUM(S43:U43)</f>
        <v>0</v>
      </c>
      <c r="W43" s="472"/>
    </row>
    <row r="44" spans="2:23" x14ac:dyDescent="0.35">
      <c r="B44" s="473"/>
      <c r="C44" s="348" t="s">
        <v>13</v>
      </c>
      <c r="D44" s="6">
        <v>1</v>
      </c>
      <c r="E44" s="341">
        <f t="shared" ref="E44" si="29">D44*E28</f>
        <v>0</v>
      </c>
      <c r="F44" s="341">
        <f t="shared" ref="F44" si="30">D44*F28</f>
        <v>0</v>
      </c>
      <c r="G44" s="341">
        <f t="shared" ref="G44" si="31">D44*G28</f>
        <v>0</v>
      </c>
      <c r="H44" s="516">
        <f t="shared" si="13"/>
        <v>0</v>
      </c>
      <c r="I44" s="10"/>
      <c r="J44" s="348" t="s">
        <v>13</v>
      </c>
      <c r="K44" s="6">
        <v>1</v>
      </c>
      <c r="L44" s="442">
        <f t="shared" ref="L44" si="32">K44*L28</f>
        <v>0</v>
      </c>
      <c r="M44" s="442">
        <f t="shared" ref="M44" si="33">K44*M28</f>
        <v>0</v>
      </c>
      <c r="N44" s="442">
        <f t="shared" ref="N44" si="34">K44*N28</f>
        <v>0</v>
      </c>
      <c r="O44" s="513">
        <f t="shared" si="17"/>
        <v>0</v>
      </c>
      <c r="Q44" s="348" t="s">
        <v>13</v>
      </c>
      <c r="R44" s="6">
        <v>1</v>
      </c>
      <c r="S44" s="446">
        <f t="shared" si="21"/>
        <v>0</v>
      </c>
      <c r="T44" s="446">
        <f t="shared" si="18"/>
        <v>0</v>
      </c>
      <c r="U44" s="446">
        <f t="shared" si="19"/>
        <v>0</v>
      </c>
      <c r="V44" s="512">
        <f t="shared" si="20"/>
        <v>0</v>
      </c>
      <c r="W44" s="472"/>
    </row>
    <row r="45" spans="2:23" x14ac:dyDescent="0.35">
      <c r="B45" s="473"/>
      <c r="C45" s="348" t="s">
        <v>544</v>
      </c>
      <c r="D45" s="9">
        <v>320.89473684210526</v>
      </c>
      <c r="E45" s="341">
        <f>(D45*E29)</f>
        <v>0</v>
      </c>
      <c r="F45" s="341">
        <f>((($D$29/$H$14)*$F$14)*F29)</f>
        <v>0</v>
      </c>
      <c r="G45" s="341">
        <f>((($D$29/$H$14)*$G$14)*G29)</f>
        <v>0</v>
      </c>
      <c r="H45" s="516">
        <f t="shared" si="13"/>
        <v>0</v>
      </c>
      <c r="I45" s="10"/>
      <c r="J45" s="348" t="s">
        <v>14</v>
      </c>
      <c r="K45" s="9">
        <v>938</v>
      </c>
      <c r="L45" s="442">
        <f>L29*$K$29</f>
        <v>0</v>
      </c>
      <c r="M45" s="442">
        <f>M29*$K$29</f>
        <v>0</v>
      </c>
      <c r="N45" s="442">
        <f t="shared" ref="N45" si="35">N29*$K$29</f>
        <v>0</v>
      </c>
      <c r="O45" s="513">
        <f t="shared" si="17"/>
        <v>0</v>
      </c>
      <c r="Q45" s="348" t="s">
        <v>14</v>
      </c>
      <c r="R45" s="9">
        <v>938</v>
      </c>
      <c r="S45" s="446">
        <f>E45-L45</f>
        <v>0</v>
      </c>
      <c r="T45" s="446">
        <f t="shared" si="18"/>
        <v>0</v>
      </c>
      <c r="U45" s="446">
        <f t="shared" si="19"/>
        <v>0</v>
      </c>
      <c r="V45" s="512">
        <f t="shared" si="20"/>
        <v>0</v>
      </c>
      <c r="W45" s="472"/>
    </row>
    <row r="46" spans="2:23" x14ac:dyDescent="0.35">
      <c r="B46" s="473"/>
      <c r="C46" s="348" t="s">
        <v>7</v>
      </c>
      <c r="D46" s="9"/>
      <c r="E46" s="341">
        <f>SUM(E34:E45)</f>
        <v>0</v>
      </c>
      <c r="F46" s="341">
        <f>SUM(F34:F45)</f>
        <v>0</v>
      </c>
      <c r="G46" s="341">
        <f>SUM(G34:G45)</f>
        <v>0</v>
      </c>
      <c r="H46" s="516">
        <f>SUM(H34:H45)</f>
        <v>0</v>
      </c>
      <c r="I46" s="10"/>
      <c r="J46" s="348" t="s">
        <v>7</v>
      </c>
      <c r="K46" s="9"/>
      <c r="L46" s="442">
        <f>SUM(L34:L45)</f>
        <v>0</v>
      </c>
      <c r="M46" s="442">
        <f>SUM(M34:M45)</f>
        <v>0</v>
      </c>
      <c r="N46" s="442">
        <f>SUM(N34:N45)</f>
        <v>0</v>
      </c>
      <c r="O46" s="513">
        <f>SUM(O34:O45)</f>
        <v>0</v>
      </c>
      <c r="Q46" s="348" t="s">
        <v>7</v>
      </c>
      <c r="R46" s="9"/>
      <c r="S46" s="446">
        <f>SUM(S34:S45)</f>
        <v>0</v>
      </c>
      <c r="T46" s="446">
        <f>SUM(T34:T45)</f>
        <v>0</v>
      </c>
      <c r="U46" s="446">
        <f>SUM(U34:U45)</f>
        <v>0</v>
      </c>
      <c r="V46" s="512">
        <f>SUM(V34:V45)</f>
        <v>0</v>
      </c>
      <c r="W46" s="472"/>
    </row>
    <row r="47" spans="2:23" x14ac:dyDescent="0.35">
      <c r="B47" s="473"/>
      <c r="S47" s="501"/>
      <c r="T47" s="501"/>
      <c r="U47" s="501"/>
      <c r="V47" s="501"/>
      <c r="W47" s="472"/>
    </row>
    <row r="48" spans="2:23" x14ac:dyDescent="0.35">
      <c r="B48" s="473"/>
      <c r="G48" s="348" t="s">
        <v>16</v>
      </c>
      <c r="H48" s="341">
        <f>_xlfn.IFNA(VLOOKUP(D4,MNS!A:H,8,FALSE),0)</f>
        <v>0</v>
      </c>
      <c r="N48" s="348" t="s">
        <v>16</v>
      </c>
      <c r="O48" s="442">
        <f>H48</f>
        <v>0</v>
      </c>
      <c r="S48" s="501"/>
      <c r="T48" s="501"/>
      <c r="U48" s="447" t="s">
        <v>16</v>
      </c>
      <c r="V48" s="446">
        <f>H48-O48</f>
        <v>0</v>
      </c>
      <c r="W48" s="472"/>
    </row>
    <row r="49" spans="2:23" x14ac:dyDescent="0.35">
      <c r="B49" s="473"/>
      <c r="G49" s="348" t="s">
        <v>17</v>
      </c>
      <c r="H49" s="341">
        <f>H46+H48</f>
        <v>0</v>
      </c>
      <c r="I49" s="10"/>
      <c r="N49" s="348" t="s">
        <v>17</v>
      </c>
      <c r="O49" s="442">
        <f>O46+O48</f>
        <v>0</v>
      </c>
      <c r="Q49" s="482"/>
      <c r="S49" s="501"/>
      <c r="T49" s="501"/>
      <c r="U49" s="447" t="s">
        <v>17</v>
      </c>
      <c r="V49" s="446">
        <f>H49-O49</f>
        <v>0</v>
      </c>
      <c r="W49" s="472"/>
    </row>
    <row r="50" spans="2:23" x14ac:dyDescent="0.35">
      <c r="B50" s="473"/>
      <c r="J50" s="482"/>
      <c r="Q50" s="502"/>
      <c r="W50" s="472"/>
    </row>
    <row r="51" spans="2:23" ht="15" thickBot="1" x14ac:dyDescent="0.4">
      <c r="B51" s="483"/>
      <c r="C51" s="219"/>
      <c r="D51" s="219"/>
      <c r="E51" s="219"/>
      <c r="F51" s="219"/>
      <c r="G51" s="219"/>
      <c r="H51" s="219"/>
      <c r="I51" s="219"/>
      <c r="J51" s="219"/>
      <c r="K51" s="219"/>
      <c r="L51" s="219"/>
      <c r="M51" s="219"/>
      <c r="N51" s="219"/>
      <c r="O51" s="219"/>
      <c r="P51" s="219"/>
      <c r="Q51" s="219"/>
      <c r="R51" s="219"/>
      <c r="S51" s="219"/>
      <c r="T51" s="219"/>
      <c r="U51" s="219"/>
      <c r="V51" s="219"/>
      <c r="W51" s="484"/>
    </row>
  </sheetData>
  <sheetProtection algorithmName="SHA-512" hashValue="KvBadoZ49IXsxEf7PSdtme/pFiQ0Ff23w5VCtyraRlrt64sbWD7+BV/RhvUHqheuVLylQQmITumCvbpPygG+YQ==" saltValue="HYFGFaz6u35vDiI6yDe/MA==" spinCount="100000" sheet="1" objects="1" scenarios="1"/>
  <conditionalFormatting sqref="S34:V46">
    <cfRule type="cellIs" dxfId="4" priority="2" operator="lessThan">
      <formula>0</formula>
    </cfRule>
  </conditionalFormatting>
  <conditionalFormatting sqref="V49">
    <cfRule type="cellIs" dxfId="3" priority="1" operator="lessThan">
      <formula>0</formula>
    </cfRule>
  </conditionalFormatting>
  <pageMargins left="0.7" right="0.7" top="0.75" bottom="0.75" header="0.3" footer="0.3"/>
  <headerFooter>
    <oddFooter>&amp;C_x000D_&amp;1#&amp;"Calibri"&amp;10&amp;K000000 OFFICIAL</oddFooter>
  </headerFooter>
  <ignoredErrors>
    <ignoredError sqref="D5" evalError="1"/>
    <ignoredError sqref="D6" unlockedFormula="1"/>
  </ignoredErrors>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91052-1350-458F-9FF1-BFE21EB34E44}">
  <dimension ref="B2:C5"/>
  <sheetViews>
    <sheetView workbookViewId="0">
      <selection activeCell="C5" sqref="C5"/>
    </sheetView>
  </sheetViews>
  <sheetFormatPr defaultRowHeight="14.5" x14ac:dyDescent="0.35"/>
  <cols>
    <col min="2" max="2" width="16" customWidth="1"/>
    <col min="3" max="3" width="16.54296875" customWidth="1"/>
  </cols>
  <sheetData>
    <row r="2" spans="2:3" x14ac:dyDescent="0.35">
      <c r="B2" t="s">
        <v>770</v>
      </c>
      <c r="C2" t="s">
        <v>769</v>
      </c>
    </row>
    <row r="3" spans="2:3" x14ac:dyDescent="0.35">
      <c r="B3">
        <v>545</v>
      </c>
      <c r="C3">
        <v>218</v>
      </c>
    </row>
    <row r="4" spans="2:3" x14ac:dyDescent="0.35">
      <c r="B4" s="213">
        <f>B3/38</f>
        <v>14.342105263157896</v>
      </c>
      <c r="C4" s="213">
        <f>C3/38</f>
        <v>5.7368421052631575</v>
      </c>
    </row>
    <row r="5" spans="2:3" x14ac:dyDescent="0.35">
      <c r="C5" s="21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5561C-5A5E-4529-B277-A7EC57C78436}">
  <dimension ref="A1:DP203"/>
  <sheetViews>
    <sheetView topLeftCell="AN1" zoomScale="120" zoomScaleNormal="120" workbookViewId="0">
      <pane ySplit="4" topLeftCell="A5" activePane="bottomLeft" state="frozen"/>
      <selection pane="bottomLeft" activeCell="AX7" sqref="AX7"/>
    </sheetView>
  </sheetViews>
  <sheetFormatPr defaultColWidth="9.1796875" defaultRowHeight="12.5" x14ac:dyDescent="0.25"/>
  <cols>
    <col min="1" max="2" width="9.1796875" style="364"/>
    <col min="3" max="3" width="54.1796875" style="364" bestFit="1" customWidth="1"/>
    <col min="4" max="4" width="9.1796875" style="365" customWidth="1"/>
    <col min="5" max="5" width="9.26953125" style="365" customWidth="1"/>
    <col min="6" max="6" width="9.7265625" style="365" customWidth="1"/>
    <col min="7" max="8" width="9.1796875" style="365" customWidth="1"/>
    <col min="9" max="9" width="12.26953125" style="364" customWidth="1"/>
    <col min="10" max="10" width="11.1796875" style="364" customWidth="1"/>
    <col min="11" max="17" width="9.1796875" style="364" customWidth="1"/>
    <col min="18" max="18" width="17.26953125" style="364" customWidth="1"/>
    <col min="19" max="47" width="9.1796875" style="364" customWidth="1"/>
    <col min="48" max="48" width="10.453125" style="364" customWidth="1"/>
    <col min="49" max="51" width="9.1796875" style="364" customWidth="1"/>
    <col min="52" max="54" width="9.1796875" style="366" customWidth="1"/>
    <col min="55" max="57" width="9.1796875" style="364" customWidth="1"/>
    <col min="58" max="58" width="14.81640625" style="364" customWidth="1"/>
    <col min="59" max="59" width="16.54296875" style="364" customWidth="1"/>
    <col min="60" max="61" width="14.26953125" style="364" customWidth="1"/>
    <col min="62" max="62" width="18.54296875" style="364" customWidth="1"/>
    <col min="63" max="63" width="14.81640625" style="364" customWidth="1"/>
    <col min="64" max="64" width="17" style="364" customWidth="1"/>
    <col min="65" max="65" width="17" style="381" customWidth="1"/>
    <col min="66" max="67" width="14.81640625" style="381" customWidth="1"/>
    <col min="68" max="75" width="12.26953125" style="381" customWidth="1"/>
    <col min="76" max="76" width="9.7265625" style="381" customWidth="1"/>
    <col min="77" max="79" width="9.1796875" style="364" customWidth="1"/>
    <col min="80" max="82" width="10.26953125" style="364" customWidth="1"/>
    <col min="83" max="83" width="9.26953125" style="364" customWidth="1"/>
    <col min="84" max="91" width="10.26953125" style="364" customWidth="1"/>
    <col min="92" max="93" width="9.1796875" style="364" customWidth="1"/>
    <col min="94" max="94" width="9.453125" style="364" customWidth="1"/>
    <col min="95" max="98" width="12.81640625" style="364" customWidth="1"/>
    <col min="99" max="100" width="11.26953125" style="364" customWidth="1"/>
    <col min="101" max="101" width="15" style="364" customWidth="1"/>
    <col min="102" max="102" width="11.26953125" style="364" customWidth="1"/>
    <col min="103" max="104" width="10.26953125" style="364" customWidth="1"/>
    <col min="105" max="105" width="11.26953125" style="364" customWidth="1"/>
    <col min="106" max="106" width="14" style="364" customWidth="1"/>
    <col min="107" max="107" width="9.1796875" style="364" customWidth="1"/>
    <col min="108" max="110" width="12.81640625" style="364" customWidth="1"/>
    <col min="111" max="112" width="11.26953125" style="364" customWidth="1"/>
    <col min="113" max="113" width="10.26953125" style="364" customWidth="1"/>
    <col min="114" max="115" width="11.26953125" style="364" customWidth="1"/>
    <col min="116" max="116" width="9.1796875" style="364" customWidth="1"/>
    <col min="117" max="117" width="10.26953125" style="364" customWidth="1"/>
    <col min="118" max="118" width="14.54296875" style="364" customWidth="1"/>
    <col min="119" max="119" width="9.7265625" style="364" customWidth="1"/>
    <col min="120" max="120" width="12.1796875" style="364" customWidth="1"/>
    <col min="121" max="16384" width="9.1796875" style="364"/>
  </cols>
  <sheetData>
    <row r="1" spans="1:120" x14ac:dyDescent="0.25">
      <c r="A1" s="364">
        <v>1</v>
      </c>
      <c r="B1" s="364">
        <v>2</v>
      </c>
      <c r="C1" s="364">
        <v>3</v>
      </c>
      <c r="D1" s="364">
        <v>4</v>
      </c>
      <c r="E1" s="364">
        <v>5</v>
      </c>
      <c r="F1" s="364">
        <v>6</v>
      </c>
      <c r="G1" s="364">
        <v>7</v>
      </c>
      <c r="H1" s="364">
        <v>8</v>
      </c>
      <c r="I1" s="364">
        <v>9</v>
      </c>
      <c r="J1" s="364">
        <v>10</v>
      </c>
      <c r="K1" s="364">
        <v>11</v>
      </c>
      <c r="L1" s="364">
        <v>12</v>
      </c>
      <c r="M1" s="364">
        <v>13</v>
      </c>
      <c r="N1" s="364">
        <v>14</v>
      </c>
      <c r="O1" s="364">
        <v>15</v>
      </c>
      <c r="P1" s="364">
        <v>16</v>
      </c>
      <c r="Q1" s="364">
        <v>17</v>
      </c>
      <c r="R1" s="364">
        <v>18</v>
      </c>
      <c r="S1" s="364">
        <v>19</v>
      </c>
      <c r="T1" s="364">
        <v>20</v>
      </c>
      <c r="U1" s="364">
        <v>21</v>
      </c>
      <c r="V1" s="364">
        <v>22</v>
      </c>
      <c r="W1" s="364">
        <v>23</v>
      </c>
      <c r="X1" s="364">
        <v>24</v>
      </c>
      <c r="Y1" s="364">
        <v>25</v>
      </c>
      <c r="Z1" s="364">
        <v>26</v>
      </c>
      <c r="AA1" s="364">
        <v>27</v>
      </c>
      <c r="AB1" s="364">
        <v>28</v>
      </c>
      <c r="AC1" s="364">
        <v>29</v>
      </c>
      <c r="AD1" s="364">
        <v>30</v>
      </c>
      <c r="AE1" s="364">
        <v>31</v>
      </c>
      <c r="AF1" s="364">
        <v>32</v>
      </c>
      <c r="AG1" s="364">
        <v>33</v>
      </c>
      <c r="AH1" s="364">
        <v>34</v>
      </c>
      <c r="AI1" s="364">
        <v>35</v>
      </c>
      <c r="AJ1" s="364">
        <v>36</v>
      </c>
      <c r="AK1" s="364">
        <v>37</v>
      </c>
      <c r="AL1" s="364">
        <v>38</v>
      </c>
      <c r="AM1" s="364">
        <v>39</v>
      </c>
      <c r="AN1" s="364">
        <v>40</v>
      </c>
      <c r="AO1" s="364">
        <v>41</v>
      </c>
      <c r="AP1" s="364">
        <v>42</v>
      </c>
      <c r="AQ1" s="364">
        <v>43</v>
      </c>
      <c r="AR1" s="364">
        <v>44</v>
      </c>
      <c r="AS1" s="364">
        <v>45</v>
      </c>
      <c r="AT1" s="364">
        <v>46</v>
      </c>
      <c r="AU1" s="364">
        <v>47</v>
      </c>
      <c r="AV1" s="364">
        <v>48</v>
      </c>
      <c r="AW1" s="364">
        <v>49</v>
      </c>
      <c r="AX1" s="364">
        <v>50</v>
      </c>
      <c r="AY1" s="364">
        <v>51</v>
      </c>
      <c r="AZ1" s="364">
        <v>52</v>
      </c>
      <c r="BA1" s="364">
        <v>53</v>
      </c>
      <c r="BB1" s="364">
        <v>54</v>
      </c>
      <c r="BC1" s="364">
        <v>55</v>
      </c>
      <c r="BD1" s="364">
        <v>56</v>
      </c>
      <c r="BE1" s="364">
        <v>57</v>
      </c>
      <c r="BF1" s="364">
        <v>58</v>
      </c>
      <c r="BG1" s="364">
        <v>59</v>
      </c>
      <c r="BH1" s="364">
        <v>60</v>
      </c>
      <c r="BI1" s="364">
        <v>61</v>
      </c>
      <c r="BJ1" s="364">
        <v>62</v>
      </c>
      <c r="BK1" s="364">
        <v>63</v>
      </c>
      <c r="BL1" s="364">
        <v>64</v>
      </c>
      <c r="BM1" s="364">
        <v>65</v>
      </c>
      <c r="BN1" s="364">
        <v>66</v>
      </c>
      <c r="BO1" s="364">
        <v>67</v>
      </c>
      <c r="BP1" s="364">
        <v>68</v>
      </c>
      <c r="BQ1" s="364">
        <v>69</v>
      </c>
      <c r="BR1" s="364">
        <v>70</v>
      </c>
      <c r="BS1" s="364">
        <v>71</v>
      </c>
      <c r="BT1" s="364">
        <v>72</v>
      </c>
      <c r="BU1" s="364">
        <v>73</v>
      </c>
      <c r="BV1" s="364">
        <v>74</v>
      </c>
      <c r="BW1" s="364">
        <v>75</v>
      </c>
      <c r="BX1" s="364">
        <v>76</v>
      </c>
      <c r="BY1" s="364">
        <v>77</v>
      </c>
      <c r="BZ1" s="364">
        <v>78</v>
      </c>
      <c r="CA1" s="364">
        <v>79</v>
      </c>
      <c r="CB1" s="364">
        <v>80</v>
      </c>
      <c r="CC1" s="364">
        <v>81</v>
      </c>
      <c r="CD1" s="364">
        <v>82</v>
      </c>
      <c r="CE1" s="364">
        <v>83</v>
      </c>
      <c r="CF1" s="364">
        <v>84</v>
      </c>
      <c r="CG1" s="364">
        <v>85</v>
      </c>
      <c r="CH1" s="364">
        <v>86</v>
      </c>
      <c r="CI1" s="364">
        <v>87</v>
      </c>
      <c r="CJ1" s="364">
        <v>88</v>
      </c>
      <c r="CK1" s="364">
        <v>89</v>
      </c>
      <c r="CL1" s="364">
        <v>90</v>
      </c>
      <c r="CM1" s="364">
        <v>91</v>
      </c>
      <c r="CN1" s="364">
        <v>92</v>
      </c>
      <c r="CO1" s="364">
        <v>93</v>
      </c>
      <c r="CP1" s="364">
        <v>94</v>
      </c>
    </row>
    <row r="2" spans="1:120" ht="13" thickBot="1" x14ac:dyDescent="0.3">
      <c r="B2" s="523" t="s">
        <v>765</v>
      </c>
      <c r="C2" s="523"/>
      <c r="D2" s="523" t="s">
        <v>766</v>
      </c>
      <c r="E2" s="523"/>
      <c r="F2" s="523"/>
      <c r="G2" s="523"/>
      <c r="H2" s="523"/>
      <c r="I2" s="523"/>
      <c r="J2" s="523"/>
      <c r="K2" s="523"/>
      <c r="L2" s="523"/>
      <c r="M2" s="523"/>
      <c r="N2" s="523" t="s">
        <v>767</v>
      </c>
      <c r="O2" s="523"/>
      <c r="P2" s="523"/>
      <c r="Q2" s="523"/>
      <c r="R2" s="523"/>
      <c r="S2" s="523"/>
      <c r="T2" s="523"/>
      <c r="U2" s="523"/>
      <c r="V2" s="523"/>
      <c r="W2" s="523"/>
      <c r="BM2" s="380">
        <v>11.92</v>
      </c>
      <c r="BN2" s="380">
        <v>8.51</v>
      </c>
      <c r="BO2" s="380">
        <v>8.51</v>
      </c>
      <c r="BP2" s="380">
        <v>5.66</v>
      </c>
      <c r="BQ2" s="380">
        <v>5.66</v>
      </c>
      <c r="BR2" s="380">
        <v>0.61</v>
      </c>
      <c r="BS2" s="380">
        <v>0.28999999999999998</v>
      </c>
      <c r="BT2" s="380">
        <v>0.08</v>
      </c>
      <c r="BU2" s="380">
        <v>1</v>
      </c>
      <c r="BV2" s="380">
        <f>218/38</f>
        <v>5.7368421052631575</v>
      </c>
      <c r="BW2" s="380">
        <v>14.342105263157896</v>
      </c>
      <c r="BX2" s="380">
        <v>938</v>
      </c>
      <c r="BY2" s="448"/>
      <c r="CB2" s="380">
        <v>5.66</v>
      </c>
      <c r="CC2" s="380">
        <v>5.66</v>
      </c>
      <c r="CD2" s="380">
        <v>8.51</v>
      </c>
      <c r="CE2" s="380">
        <v>8.51</v>
      </c>
      <c r="CF2" s="380">
        <v>11.92</v>
      </c>
      <c r="CG2" s="380">
        <v>0.61</v>
      </c>
      <c r="CH2" s="380">
        <v>0.28999999999999998</v>
      </c>
      <c r="CI2" s="380">
        <v>0.08</v>
      </c>
      <c r="CJ2" s="380">
        <v>2.29</v>
      </c>
      <c r="CK2" s="380">
        <v>14.342105263157896</v>
      </c>
      <c r="CL2" s="380">
        <v>1</v>
      </c>
      <c r="CM2" s="380">
        <v>938</v>
      </c>
    </row>
    <row r="3" spans="1:120" ht="13" thickBot="1" x14ac:dyDescent="0.3">
      <c r="D3" s="365" t="s">
        <v>768</v>
      </c>
      <c r="E3" s="365" t="s">
        <v>769</v>
      </c>
      <c r="F3" s="365" t="s">
        <v>770</v>
      </c>
      <c r="G3" s="365" t="s">
        <v>771</v>
      </c>
      <c r="H3" s="365" t="s">
        <v>772</v>
      </c>
      <c r="I3" s="365" t="s">
        <v>773</v>
      </c>
      <c r="J3" s="365" t="s">
        <v>774</v>
      </c>
      <c r="K3" s="523" t="s">
        <v>775</v>
      </c>
      <c r="L3" s="523"/>
      <c r="N3" s="365" t="s">
        <v>768</v>
      </c>
      <c r="O3" s="365" t="s">
        <v>769</v>
      </c>
      <c r="P3" s="365" t="s">
        <v>771</v>
      </c>
      <c r="Q3" s="365" t="s">
        <v>772</v>
      </c>
      <c r="R3" s="365" t="s">
        <v>776</v>
      </c>
      <c r="S3" s="365" t="s">
        <v>777</v>
      </c>
      <c r="T3" s="365" t="s">
        <v>778</v>
      </c>
      <c r="U3" s="523" t="s">
        <v>775</v>
      </c>
      <c r="V3" s="523"/>
      <c r="AS3" s="380"/>
      <c r="AT3" s="448"/>
      <c r="BN3" s="381">
        <v>13</v>
      </c>
      <c r="BX3" s="381">
        <v>938</v>
      </c>
      <c r="CP3" s="524" t="s">
        <v>1101</v>
      </c>
      <c r="CQ3" s="525"/>
      <c r="CR3" s="525"/>
      <c r="CS3" s="525"/>
      <c r="CT3" s="525"/>
      <c r="CU3" s="525"/>
      <c r="CV3" s="525"/>
      <c r="CW3" s="525"/>
      <c r="CX3" s="525"/>
      <c r="CY3" s="525"/>
      <c r="CZ3" s="525"/>
      <c r="DA3" s="526"/>
      <c r="DC3" s="520" t="s">
        <v>1100</v>
      </c>
      <c r="DD3" s="521"/>
      <c r="DE3" s="521"/>
      <c r="DF3" s="521"/>
      <c r="DG3" s="521"/>
      <c r="DH3" s="521"/>
      <c r="DI3" s="521"/>
      <c r="DJ3" s="521"/>
      <c r="DK3" s="521"/>
      <c r="DL3" s="521"/>
      <c r="DM3" s="522"/>
    </row>
    <row r="4" spans="1:120" s="367" customFormat="1" ht="65.5" customHeight="1" x14ac:dyDescent="0.35">
      <c r="A4" s="367" t="s">
        <v>779</v>
      </c>
      <c r="B4" s="367" t="s">
        <v>225</v>
      </c>
      <c r="C4" s="367" t="s">
        <v>226</v>
      </c>
      <c r="D4" s="368" t="s">
        <v>780</v>
      </c>
      <c r="E4" s="368" t="s">
        <v>781</v>
      </c>
      <c r="F4" s="368" t="s">
        <v>782</v>
      </c>
      <c r="G4" s="368" t="s">
        <v>783</v>
      </c>
      <c r="H4" s="368" t="s">
        <v>784</v>
      </c>
      <c r="I4" s="369" t="s">
        <v>785</v>
      </c>
      <c r="J4" s="369" t="s">
        <v>786</v>
      </c>
      <c r="K4" s="368" t="s">
        <v>787</v>
      </c>
      <c r="L4" s="368" t="s">
        <v>788</v>
      </c>
      <c r="M4" s="369" t="s">
        <v>789</v>
      </c>
      <c r="N4" s="368" t="s">
        <v>790</v>
      </c>
      <c r="O4" s="368" t="s">
        <v>791</v>
      </c>
      <c r="P4" s="368" t="s">
        <v>792</v>
      </c>
      <c r="Q4" s="368" t="s">
        <v>793</v>
      </c>
      <c r="R4" s="369" t="s">
        <v>794</v>
      </c>
      <c r="S4" s="368" t="s">
        <v>795</v>
      </c>
      <c r="T4" s="368" t="s">
        <v>796</v>
      </c>
      <c r="U4" s="368" t="s">
        <v>797</v>
      </c>
      <c r="V4" s="368" t="s">
        <v>798</v>
      </c>
      <c r="W4" s="369" t="s">
        <v>799</v>
      </c>
      <c r="X4" s="370" t="s">
        <v>800</v>
      </c>
      <c r="Y4" s="370" t="s">
        <v>801</v>
      </c>
      <c r="Z4" s="371" t="s">
        <v>802</v>
      </c>
      <c r="AA4" s="370" t="s">
        <v>803</v>
      </c>
      <c r="AB4" s="370" t="s">
        <v>804</v>
      </c>
      <c r="AC4" s="371" t="s">
        <v>805</v>
      </c>
      <c r="AD4" s="370" t="s">
        <v>806</v>
      </c>
      <c r="AE4" s="370" t="s">
        <v>807</v>
      </c>
      <c r="AF4" s="371" t="s">
        <v>808</v>
      </c>
      <c r="AG4" s="368" t="s">
        <v>809</v>
      </c>
      <c r="AH4" s="368" t="s">
        <v>810</v>
      </c>
      <c r="AI4" s="372" t="s">
        <v>811</v>
      </c>
      <c r="AJ4" s="368" t="s">
        <v>812</v>
      </c>
      <c r="AK4" s="368" t="s">
        <v>813</v>
      </c>
      <c r="AL4" s="372" t="s">
        <v>814</v>
      </c>
      <c r="AM4" s="368" t="s">
        <v>815</v>
      </c>
      <c r="AN4" s="368" t="s">
        <v>816</v>
      </c>
      <c r="AO4" s="372" t="s">
        <v>817</v>
      </c>
      <c r="AP4" s="373" t="s">
        <v>818</v>
      </c>
      <c r="AQ4" s="374" t="s">
        <v>819</v>
      </c>
      <c r="AR4" s="368" t="s">
        <v>820</v>
      </c>
      <c r="AS4" s="368" t="s">
        <v>821</v>
      </c>
      <c r="AT4" s="372" t="s">
        <v>822</v>
      </c>
      <c r="AU4" s="368" t="s">
        <v>823</v>
      </c>
      <c r="AV4" s="368" t="s">
        <v>824</v>
      </c>
      <c r="AW4" s="372" t="s">
        <v>825</v>
      </c>
      <c r="AX4" s="368" t="s">
        <v>826</v>
      </c>
      <c r="AY4" s="368" t="s">
        <v>827</v>
      </c>
      <c r="AZ4" s="372" t="s">
        <v>828</v>
      </c>
      <c r="BA4" s="373" t="s">
        <v>829</v>
      </c>
      <c r="BB4" s="373" t="s">
        <v>830</v>
      </c>
      <c r="BC4" s="368" t="s">
        <v>831</v>
      </c>
      <c r="BD4" s="368" t="s">
        <v>832</v>
      </c>
      <c r="BE4" s="375" t="s">
        <v>833</v>
      </c>
      <c r="BF4" s="376" t="s">
        <v>834</v>
      </c>
      <c r="BG4" s="376" t="s">
        <v>835</v>
      </c>
      <c r="BH4" s="376" t="s">
        <v>836</v>
      </c>
      <c r="BI4" s="376" t="s">
        <v>837</v>
      </c>
      <c r="BJ4" s="376" t="s">
        <v>838</v>
      </c>
      <c r="BK4" s="376" t="s">
        <v>839</v>
      </c>
      <c r="BL4" s="376" t="s">
        <v>840</v>
      </c>
      <c r="BM4" s="503" t="s">
        <v>768</v>
      </c>
      <c r="BN4" s="504" t="s">
        <v>841</v>
      </c>
      <c r="BO4" s="504" t="s">
        <v>1111</v>
      </c>
      <c r="BP4" s="504" t="s">
        <v>842</v>
      </c>
      <c r="BQ4" s="504" t="s">
        <v>843</v>
      </c>
      <c r="BR4" s="504" t="s">
        <v>492</v>
      </c>
      <c r="BS4" s="504" t="s">
        <v>493</v>
      </c>
      <c r="BT4" s="504" t="s">
        <v>494</v>
      </c>
      <c r="BU4" s="504" t="s">
        <v>844</v>
      </c>
      <c r="BV4" s="504" t="s">
        <v>1096</v>
      </c>
      <c r="BW4" s="504" t="s">
        <v>1093</v>
      </c>
      <c r="BX4" s="504" t="s">
        <v>14</v>
      </c>
      <c r="CB4" s="367" t="s">
        <v>9</v>
      </c>
      <c r="CC4" s="367" t="s">
        <v>10</v>
      </c>
      <c r="CD4" s="367" t="s">
        <v>11</v>
      </c>
      <c r="CE4" s="367" t="s">
        <v>220</v>
      </c>
      <c r="CF4" s="367" t="s">
        <v>12</v>
      </c>
      <c r="CG4" s="367" t="s">
        <v>492</v>
      </c>
      <c r="CH4" s="367" t="s">
        <v>493</v>
      </c>
      <c r="CI4" s="367" t="s">
        <v>494</v>
      </c>
      <c r="CJ4" s="367" t="s">
        <v>1103</v>
      </c>
      <c r="CK4" s="367" t="s">
        <v>1095</v>
      </c>
      <c r="CL4" s="367" t="s">
        <v>13</v>
      </c>
      <c r="CM4" s="367" t="s">
        <v>14</v>
      </c>
      <c r="CP4" s="455" t="s">
        <v>768</v>
      </c>
      <c r="CQ4" s="456" t="s">
        <v>841</v>
      </c>
      <c r="CR4" s="456" t="s">
        <v>220</v>
      </c>
      <c r="CS4" s="456" t="s">
        <v>842</v>
      </c>
      <c r="CT4" s="456" t="s">
        <v>843</v>
      </c>
      <c r="CU4" s="456" t="s">
        <v>492</v>
      </c>
      <c r="CV4" s="456" t="s">
        <v>493</v>
      </c>
      <c r="CW4" s="456" t="s">
        <v>494</v>
      </c>
      <c r="CX4" s="456" t="s">
        <v>844</v>
      </c>
      <c r="CY4" s="456" t="s">
        <v>1096</v>
      </c>
      <c r="CZ4" s="456" t="s">
        <v>1093</v>
      </c>
      <c r="DA4" s="456" t="s">
        <v>14</v>
      </c>
      <c r="DB4" s="457" t="s">
        <v>7</v>
      </c>
      <c r="DC4" s="449" t="s">
        <v>768</v>
      </c>
      <c r="DD4" s="450" t="s">
        <v>841</v>
      </c>
      <c r="DE4" s="450" t="s">
        <v>842</v>
      </c>
      <c r="DF4" s="450" t="s">
        <v>843</v>
      </c>
      <c r="DG4" s="450" t="s">
        <v>492</v>
      </c>
      <c r="DH4" s="450" t="s">
        <v>493</v>
      </c>
      <c r="DI4" s="450" t="s">
        <v>494</v>
      </c>
      <c r="DJ4" s="450" t="s">
        <v>844</v>
      </c>
      <c r="DK4" s="450" t="s">
        <v>1096</v>
      </c>
      <c r="DL4" s="450" t="s">
        <v>1093</v>
      </c>
      <c r="DM4" s="450" t="s">
        <v>14</v>
      </c>
      <c r="DN4" s="451" t="s">
        <v>7</v>
      </c>
      <c r="DO4" s="451" t="s">
        <v>1104</v>
      </c>
      <c r="DP4" s="462" t="s">
        <v>1102</v>
      </c>
    </row>
    <row r="5" spans="1:120" ht="13" x14ac:dyDescent="0.3">
      <c r="A5" s="364">
        <v>1000</v>
      </c>
      <c r="B5" s="364">
        <v>3301000</v>
      </c>
      <c r="C5" s="364" t="s">
        <v>207</v>
      </c>
      <c r="D5" s="506">
        <v>0</v>
      </c>
      <c r="E5" s="506">
        <v>0</v>
      </c>
      <c r="F5" s="506">
        <v>0</v>
      </c>
      <c r="G5" s="506">
        <v>43</v>
      </c>
      <c r="H5" s="506">
        <v>30</v>
      </c>
      <c r="I5" s="507">
        <v>0</v>
      </c>
      <c r="J5" s="507">
        <v>73</v>
      </c>
      <c r="K5" s="506">
        <v>12</v>
      </c>
      <c r="L5" s="506">
        <v>11</v>
      </c>
      <c r="M5" s="507">
        <v>23</v>
      </c>
      <c r="N5" s="506">
        <v>0</v>
      </c>
      <c r="O5" s="506">
        <v>0</v>
      </c>
      <c r="P5" s="506">
        <v>642</v>
      </c>
      <c r="Q5" s="506">
        <v>450</v>
      </c>
      <c r="R5" s="507">
        <v>1092</v>
      </c>
      <c r="S5" s="506">
        <v>0</v>
      </c>
      <c r="T5" s="506">
        <v>0</v>
      </c>
      <c r="U5" s="506">
        <v>164.2</v>
      </c>
      <c r="V5" s="506">
        <v>107.4</v>
      </c>
      <c r="W5" s="507">
        <v>271.60000000000002</v>
      </c>
      <c r="X5" s="506">
        <v>12</v>
      </c>
      <c r="Y5" s="506">
        <v>180</v>
      </c>
      <c r="Z5" s="508">
        <v>45</v>
      </c>
      <c r="AA5" s="506">
        <v>8</v>
      </c>
      <c r="AB5" s="506">
        <v>120</v>
      </c>
      <c r="AC5" s="508">
        <v>8.5</v>
      </c>
      <c r="AD5" s="506">
        <v>6</v>
      </c>
      <c r="AE5" s="506">
        <v>90</v>
      </c>
      <c r="AF5" s="508">
        <v>15</v>
      </c>
      <c r="AG5" s="509">
        <v>0</v>
      </c>
      <c r="AH5" s="509">
        <v>0</v>
      </c>
      <c r="AI5" s="508">
        <v>0</v>
      </c>
      <c r="AJ5" s="509">
        <v>16</v>
      </c>
      <c r="AK5" s="509">
        <v>240</v>
      </c>
      <c r="AL5" s="508">
        <v>26.5</v>
      </c>
      <c r="AM5" s="506">
        <v>16</v>
      </c>
      <c r="AN5" s="506">
        <v>240</v>
      </c>
      <c r="AO5" s="508">
        <v>26.5</v>
      </c>
      <c r="AP5" s="508"/>
      <c r="AQ5" s="508">
        <f>AM5+AP5</f>
        <v>16</v>
      </c>
      <c r="AR5" s="509">
        <v>0</v>
      </c>
      <c r="AS5" s="509">
        <v>0</v>
      </c>
      <c r="AT5" s="508">
        <v>0</v>
      </c>
      <c r="AU5" s="509">
        <v>15</v>
      </c>
      <c r="AV5" s="509">
        <v>225</v>
      </c>
      <c r="AW5" s="508">
        <v>11.5</v>
      </c>
      <c r="AX5" s="506">
        <v>15</v>
      </c>
      <c r="AY5" s="506">
        <v>225</v>
      </c>
      <c r="AZ5" s="508">
        <v>11.5</v>
      </c>
      <c r="BA5" s="508"/>
      <c r="BB5" s="508">
        <f>AU5+AX5</f>
        <v>30</v>
      </c>
      <c r="BC5" s="509">
        <v>0</v>
      </c>
      <c r="BD5" s="509">
        <v>1</v>
      </c>
      <c r="BE5" s="506">
        <v>1</v>
      </c>
      <c r="BF5" s="200"/>
      <c r="BG5" s="200"/>
      <c r="BH5" s="200"/>
      <c r="BI5" s="200"/>
      <c r="BJ5" s="200"/>
      <c r="BK5" s="200"/>
      <c r="BL5" s="200"/>
      <c r="BM5" s="505">
        <f>N5*$BN$3</f>
        <v>0</v>
      </c>
      <c r="BN5" s="200">
        <f>(O5*$BN$3)+BF5</f>
        <v>0</v>
      </c>
      <c r="BO5" s="200">
        <f>S5*$BN$3</f>
        <v>0</v>
      </c>
      <c r="BP5" s="200">
        <f>R5*$BN$3</f>
        <v>14196</v>
      </c>
      <c r="BQ5" s="200">
        <f>(W5*$BN$3)+BG5</f>
        <v>3530.8</v>
      </c>
      <c r="BR5" s="200">
        <f>(Y5+Z5)*$BN$3</f>
        <v>2925</v>
      </c>
      <c r="BS5" s="200">
        <f>(AB5+AC5)*$BN$3</f>
        <v>1670.5</v>
      </c>
      <c r="BT5" s="200">
        <f>(AE5+AF5)*$BN$3</f>
        <v>1365</v>
      </c>
      <c r="BU5" s="200">
        <f>AN5*$BN$3</f>
        <v>3120</v>
      </c>
      <c r="BV5" s="200">
        <v>13</v>
      </c>
      <c r="BW5" s="200">
        <v>2</v>
      </c>
      <c r="BX5" s="200">
        <f>BE5</f>
        <v>1</v>
      </c>
      <c r="CB5" s="381">
        <f>_xlfn.IFNA(VLOOKUP(A5,'Actuals Summer'!$A:$AG,23,FALSE),0)</f>
        <v>14196</v>
      </c>
      <c r="CC5" s="381">
        <f>_xlfn.IFNA(VLOOKUP(A5,'Actuals Summer'!$A:$AG,24,FALSE),0)</f>
        <v>3530.8</v>
      </c>
      <c r="CD5" s="381">
        <f>_xlfn.IFNA(VLOOKUP(A5,'Actuals Summer'!$A:$AG,25,FALSE),0)</f>
        <v>0</v>
      </c>
      <c r="CE5" s="381">
        <f>_xlfn.IFNA(VLOOKUP(A5,'Actuals Summer'!$A:$AG,26,FALSE),0)</f>
        <v>0</v>
      </c>
      <c r="CF5" s="381">
        <f>_xlfn.IFNA(VLOOKUP(A5,'Actuals Summer'!$A:$AG,27,FALSE),0)</f>
        <v>0</v>
      </c>
      <c r="CG5" s="381">
        <f>_xlfn.IFNA(VLOOKUP(A5,'Actuals Dep Summer'!B:O,6,FALSE)*$BN$3,0)</f>
        <v>2340</v>
      </c>
      <c r="CH5" s="381">
        <f>_xlfn.IFNA(VLOOKUP(A5,'Actuals Dep Summer'!B:O,7,FALSE)*$BN$3,0)</f>
        <v>1560</v>
      </c>
      <c r="CI5" s="381">
        <f>_xlfn.IFNA(VLOOKUP(A5,'Actuals Dep Summer'!B:O,8,FALSE)*$BN$3,0)</f>
        <v>1170</v>
      </c>
      <c r="CJ5" s="381">
        <f>_xlfn.IFNA(VLOOKUP(A5,'Actuals Summer'!$A:$AG,31,FALSE),0)*$BN$3</f>
        <v>194.89271960388777</v>
      </c>
      <c r="CK5" s="381"/>
      <c r="CL5" s="381">
        <f>_xlfn.IFNA(VLOOKUP(A5,'Actuals Summer'!$A:$AG,32,FALSE),0)*$BN$3</f>
        <v>40560</v>
      </c>
      <c r="CM5" s="381">
        <f>_xlfn.IFNA(VLOOKUP(A5,'Actuals Summer'!$A:$AG,33,FALSE),0)</f>
        <v>0.99998523864195499</v>
      </c>
      <c r="CP5" s="458">
        <f>BM5*$BM$2</f>
        <v>0</v>
      </c>
      <c r="CQ5" s="458">
        <f>BN5*$BN$2</f>
        <v>0</v>
      </c>
      <c r="CR5" s="458">
        <f t="shared" ref="CR5:CR36" si="0">BO5*$BO$2</f>
        <v>0</v>
      </c>
      <c r="CS5" s="458">
        <f>BP5*$BP$2</f>
        <v>80349.36</v>
      </c>
      <c r="CT5" s="458">
        <f>BQ5*$BQ$2</f>
        <v>19984.328000000001</v>
      </c>
      <c r="CU5" s="458">
        <f>BR5*$BR$2</f>
        <v>1784.25</v>
      </c>
      <c r="CV5" s="458">
        <f>BS5*$BS$2</f>
        <v>484.44499999999999</v>
      </c>
      <c r="CW5" s="458">
        <f>BT5*$BT$2</f>
        <v>109.2</v>
      </c>
      <c r="CX5" s="458">
        <f>BU5*$BU$2</f>
        <v>3120</v>
      </c>
      <c r="CY5" s="458">
        <f>BV5*$BV$2*$BN$3</f>
        <v>969.52631578947353</v>
      </c>
      <c r="CZ5" s="458">
        <f>BW5*$BW$2*$BN$3</f>
        <v>372.89473684210526</v>
      </c>
      <c r="DA5" s="458">
        <f>BX5*$BX$2</f>
        <v>938</v>
      </c>
      <c r="DB5" s="458">
        <f>SUM(CP5:DA5)</f>
        <v>108112.00405263159</v>
      </c>
      <c r="DC5" s="452">
        <f>_xlfn.XLOOKUP($A5,'Actuals Summer'!$A:$A,'Actuals Summer'!L:L,0,0)</f>
        <v>0</v>
      </c>
      <c r="DD5" s="452">
        <f>_xlfn.XLOOKUP($A5,'Actuals Summer'!$A:$A,'Actuals Summer'!K:K,0,0)+_xlfn.XLOOKUP($A5,'Actuals Summer'!$A:$A,'Actuals Summer'!Q:Q,0,0)</f>
        <v>0</v>
      </c>
      <c r="DE5" s="452">
        <f>_xlfn.XLOOKUP($A5,'Actuals Summer'!$A:$A,'Actuals Summer'!I:I,0,0)+_xlfn.XLOOKUP($A5,'Actuals Summer'!$A:$A,'Actuals Summer'!R:R,0,0)</f>
        <v>80349.36</v>
      </c>
      <c r="DF5" s="452">
        <f>_xlfn.XLOOKUP($A5,'Actuals Summer'!$A:$A,'Actuals Summer'!J:J,0,0)</f>
        <v>19984.328000000001</v>
      </c>
      <c r="DG5" s="452">
        <f>_xlfn.XLOOKUP($A5,'Actuals Dep Summer'!$B:$B,'Actuals Dep Summer'!G:G,0,0)*'Actuals Dep Summer'!$F$2*'Actuals Dep Summer'!$C$2</f>
        <v>1427.3999999999999</v>
      </c>
      <c r="DH5" s="452">
        <f>_xlfn.XLOOKUP($A5,'Actuals Dep Summer'!$B:$B,'Actuals Dep Summer'!H:H,0,0)*'Actuals Dep Summer'!$F$2*'Actuals Dep Summer'!$C$3</f>
        <v>452.4</v>
      </c>
      <c r="DI5" s="452">
        <f>_xlfn.XLOOKUP($A5,'Actuals Dep Summer'!$B:$B,'Actuals Dep Summer'!I:I,0,0)*'Actuals Dep Summer'!$F$2*'Actuals Dep Summer'!$C$4</f>
        <v>93.600000000000009</v>
      </c>
      <c r="DJ5" s="452">
        <f>_xlfn.XLOOKUP($A5,'Actuals Summer'!$A:$A,'Actuals Summer'!P:P,0,0)</f>
        <v>3120</v>
      </c>
      <c r="DK5" s="452">
        <f>_xlfn.XLOOKUP($A5,'Actuals Summer'!$A:$A,'Actuals Summer'!O:O,0,0)</f>
        <v>1118.6842105263158</v>
      </c>
      <c r="DL5" s="452"/>
      <c r="DM5" s="452">
        <f>_xlfn.XLOOKUP($A5,'Actuals Summer'!$A:$A,'Actuals Summer'!M:M,0,0)</f>
        <v>320.89</v>
      </c>
      <c r="DN5" s="453">
        <f t="shared" ref="DN5:DN36" si="1">SUM(DC5:DM5)</f>
        <v>106866.66221052631</v>
      </c>
      <c r="DO5" s="453">
        <f>_xlfn.XLOOKUP(A5,'Actuals Summer'!A:A,'Actuals Summer'!S:S,0,0)-'Summer data team '!DN5</f>
        <v>0</v>
      </c>
      <c r="DP5" s="463">
        <f t="shared" ref="DP5:DP36" si="2">DB5-DN5</f>
        <v>1245.3418421052775</v>
      </c>
    </row>
    <row r="6" spans="1:120" ht="13" x14ac:dyDescent="0.3">
      <c r="A6" s="364">
        <v>1001</v>
      </c>
      <c r="B6" s="364">
        <v>3301001</v>
      </c>
      <c r="C6" s="364" t="s">
        <v>181</v>
      </c>
      <c r="D6" s="506">
        <v>0</v>
      </c>
      <c r="E6" s="506">
        <v>16</v>
      </c>
      <c r="F6" s="506">
        <v>6</v>
      </c>
      <c r="G6" s="506">
        <v>42</v>
      </c>
      <c r="H6" s="506">
        <v>21</v>
      </c>
      <c r="I6" s="507">
        <v>22</v>
      </c>
      <c r="J6" s="507">
        <v>63</v>
      </c>
      <c r="K6" s="506">
        <v>3</v>
      </c>
      <c r="L6" s="506">
        <v>5</v>
      </c>
      <c r="M6" s="507">
        <v>8</v>
      </c>
      <c r="N6" s="506">
        <v>0</v>
      </c>
      <c r="O6" s="506">
        <v>240</v>
      </c>
      <c r="P6" s="506">
        <v>630</v>
      </c>
      <c r="Q6" s="506">
        <v>315</v>
      </c>
      <c r="R6" s="507">
        <v>945</v>
      </c>
      <c r="S6" s="506">
        <v>90</v>
      </c>
      <c r="T6" s="506">
        <v>330</v>
      </c>
      <c r="U6" s="506">
        <v>45</v>
      </c>
      <c r="V6" s="506">
        <v>75</v>
      </c>
      <c r="W6" s="507">
        <v>120</v>
      </c>
      <c r="X6" s="506">
        <v>10</v>
      </c>
      <c r="Y6" s="506">
        <v>150</v>
      </c>
      <c r="Z6" s="508">
        <v>0</v>
      </c>
      <c r="AA6" s="506">
        <v>7</v>
      </c>
      <c r="AB6" s="506">
        <v>105</v>
      </c>
      <c r="AC6" s="508">
        <v>0</v>
      </c>
      <c r="AD6" s="506">
        <v>28</v>
      </c>
      <c r="AE6" s="506">
        <v>420</v>
      </c>
      <c r="AF6" s="508">
        <v>30</v>
      </c>
      <c r="AG6" s="509">
        <v>14</v>
      </c>
      <c r="AH6" s="509">
        <v>210</v>
      </c>
      <c r="AI6" s="508">
        <v>0</v>
      </c>
      <c r="AJ6" s="509">
        <v>21</v>
      </c>
      <c r="AK6" s="509">
        <v>315</v>
      </c>
      <c r="AL6" s="508">
        <v>0</v>
      </c>
      <c r="AM6" s="506">
        <v>35</v>
      </c>
      <c r="AN6" s="506">
        <v>525</v>
      </c>
      <c r="AO6" s="508">
        <v>0</v>
      </c>
      <c r="AP6" s="508"/>
      <c r="AQ6" s="508">
        <f t="shared" ref="AQ6:AQ69" si="3">AM6+AP6</f>
        <v>35</v>
      </c>
      <c r="AR6" s="509">
        <v>0</v>
      </c>
      <c r="AS6" s="509">
        <v>0</v>
      </c>
      <c r="AT6" s="508">
        <v>0</v>
      </c>
      <c r="AU6" s="509">
        <v>0</v>
      </c>
      <c r="AV6" s="509">
        <v>0</v>
      </c>
      <c r="AW6" s="508">
        <v>0</v>
      </c>
      <c r="AX6" s="506">
        <v>0</v>
      </c>
      <c r="AY6" s="506">
        <v>0</v>
      </c>
      <c r="AZ6" s="508">
        <v>0</v>
      </c>
      <c r="BA6" s="508"/>
      <c r="BB6" s="508">
        <f t="shared" ref="BB6:BB69" si="4">AU6+AX6</f>
        <v>0</v>
      </c>
      <c r="BC6" s="509">
        <v>0</v>
      </c>
      <c r="BD6" s="509">
        <v>1</v>
      </c>
      <c r="BE6" s="506">
        <v>1</v>
      </c>
      <c r="BF6" s="200"/>
      <c r="BG6" s="200"/>
      <c r="BH6" s="200"/>
      <c r="BI6" s="200"/>
      <c r="BJ6" s="200"/>
      <c r="BK6" s="200"/>
      <c r="BL6" s="200"/>
      <c r="BM6" s="505">
        <f t="shared" ref="BM6:BM69" si="5">N6*$BN$3</f>
        <v>0</v>
      </c>
      <c r="BN6" s="200">
        <f t="shared" ref="BN6:BN69" si="6">(O6*$BN$3)+BF6</f>
        <v>3120</v>
      </c>
      <c r="BO6" s="200">
        <f>S6*$BN$3</f>
        <v>1170</v>
      </c>
      <c r="BP6" s="200">
        <f t="shared" ref="BP6:BP69" si="7">R6*$BN$3</f>
        <v>12285</v>
      </c>
      <c r="BQ6" s="200">
        <f t="shared" ref="BQ6:BQ69" si="8">(W6*$BN$3)+BG6</f>
        <v>1560</v>
      </c>
      <c r="BR6" s="200">
        <f t="shared" ref="BR6:BR69" si="9">(Y6+Z6)*$BN$3</f>
        <v>1950</v>
      </c>
      <c r="BS6" s="200">
        <f t="shared" ref="BS6:BS69" si="10">(AB6+AC6)*$BN$3</f>
        <v>1365</v>
      </c>
      <c r="BT6" s="200">
        <f t="shared" ref="BT6:BT69" si="11">(AE6+AF6)*$BN$3</f>
        <v>5850</v>
      </c>
      <c r="BU6" s="200">
        <f t="shared" ref="BU6:BU69" si="12">AN6*$BN$3</f>
        <v>6825</v>
      </c>
      <c r="BV6" s="200">
        <v>0</v>
      </c>
      <c r="BW6" s="200">
        <v>0</v>
      </c>
      <c r="BX6" s="200">
        <f t="shared" ref="BX6:BX69" si="13">BE6</f>
        <v>1</v>
      </c>
      <c r="CB6" s="381">
        <f>_xlfn.IFNA(VLOOKUP(A6,'Actuals Summer'!$A:$AG,23,FALSE),0)</f>
        <v>12285</v>
      </c>
      <c r="CC6" s="381">
        <f>_xlfn.IFNA(VLOOKUP(A6,'Actuals Summer'!$A:$AG,24,FALSE),0)</f>
        <v>1560</v>
      </c>
      <c r="CD6" s="381">
        <f>_xlfn.IFNA(VLOOKUP(A6,'Actuals Summer'!$A:$AG,25,FALSE),0)</f>
        <v>4485</v>
      </c>
      <c r="CE6" s="381">
        <f>_xlfn.IFNA(VLOOKUP(A6,'Actuals Summer'!$A:$AG,26,FALSE),0)</f>
        <v>0</v>
      </c>
      <c r="CF6" s="381">
        <f>_xlfn.IFNA(VLOOKUP(A6,'Actuals Summer'!$A:$AG,27,FALSE),0)</f>
        <v>0</v>
      </c>
      <c r="CG6" s="381">
        <f>_xlfn.IFNA(VLOOKUP(A6,'Actuals Dep Summer'!B:O,6,FALSE)*$BN$3,0)</f>
        <v>1950</v>
      </c>
      <c r="CH6" s="381">
        <f>_xlfn.IFNA(VLOOKUP(A6,'Actuals Dep Summer'!B:O,7,FALSE)*$BN$3,0)</f>
        <v>1365</v>
      </c>
      <c r="CI6" s="381">
        <f>_xlfn.IFNA(VLOOKUP(A6,'Actuals Dep Summer'!B:O,8,FALSE)*$BN$3,0)</f>
        <v>5460</v>
      </c>
      <c r="CJ6" s="381">
        <f>_xlfn.IFNA(VLOOKUP(A6,'Actuals Summer'!$A:$AG,31,FALSE),0)*$BN$3</f>
        <v>0</v>
      </c>
      <c r="CK6" s="381"/>
      <c r="CL6" s="381">
        <f>_xlfn.IFNA(VLOOKUP(A6,'Actuals Summer'!$A:$AG,32,FALSE),0)*$BN$3</f>
        <v>88725</v>
      </c>
      <c r="CM6" s="381">
        <f>_xlfn.IFNA(VLOOKUP(A6,'Actuals Summer'!$A:$AG,33,FALSE),0)</f>
        <v>0.99998523864195499</v>
      </c>
      <c r="CP6" s="458">
        <f t="shared" ref="CP6:CP69" si="14">BM6*$BM$2</f>
        <v>0</v>
      </c>
      <c r="CQ6" s="458">
        <f t="shared" ref="CQ6:CQ69" si="15">BN6*$BN$2</f>
        <v>26551.200000000001</v>
      </c>
      <c r="CR6" s="458">
        <f t="shared" si="0"/>
        <v>9956.6999999999989</v>
      </c>
      <c r="CS6" s="458">
        <f t="shared" ref="CS6:CS69" si="16">BP6*$BP$2</f>
        <v>69533.100000000006</v>
      </c>
      <c r="CT6" s="458">
        <f t="shared" ref="CT6:CT69" si="17">BQ6*$BQ$2</f>
        <v>8829.6</v>
      </c>
      <c r="CU6" s="458">
        <f t="shared" ref="CU6:CU69" si="18">BR6*$BR$2</f>
        <v>1189.5</v>
      </c>
      <c r="CV6" s="458">
        <f t="shared" ref="CV6:CV69" si="19">BS6*$BS$2</f>
        <v>395.84999999999997</v>
      </c>
      <c r="CW6" s="458">
        <f t="shared" ref="CW6:CW69" si="20">BT6*$BT$2</f>
        <v>468</v>
      </c>
      <c r="CX6" s="458">
        <f t="shared" ref="CX6:CX69" si="21">BU6*$BU$2</f>
        <v>6825</v>
      </c>
      <c r="CY6" s="458">
        <f t="shared" ref="CY6:CY69" si="22">BV6*$BV$2*$BN$3</f>
        <v>0</v>
      </c>
      <c r="CZ6" s="458">
        <f t="shared" ref="CZ6:CZ69" si="23">BW6*$BW$2*$BN$3</f>
        <v>0</v>
      </c>
      <c r="DA6" s="458">
        <f t="shared" ref="DA6:DA69" si="24">BX6*$BX$2</f>
        <v>938</v>
      </c>
      <c r="DB6" s="458">
        <f t="shared" ref="DB6:DB69" si="25">SUM(CP6:DA6)</f>
        <v>124686.95000000001</v>
      </c>
      <c r="DC6" s="452">
        <f>_xlfn.XLOOKUP($A6,'Actuals Summer'!$A:$A,'Actuals Summer'!L:L,0,0)</f>
        <v>0</v>
      </c>
      <c r="DD6" s="452">
        <f>_xlfn.XLOOKUP($A6,'Actuals Summer'!$A:$A,'Actuals Summer'!K:K,0,0)+_xlfn.XLOOKUP($A6,'Actuals Summer'!$A:$A,'Actuals Summer'!Q:Q,0,0)</f>
        <v>38167.35</v>
      </c>
      <c r="DE6" s="452">
        <f>_xlfn.XLOOKUP($A6,'Actuals Summer'!$A:$A,'Actuals Summer'!I:I,0,0)+_xlfn.XLOOKUP($A6,'Actuals Summer'!$A:$A,'Actuals Summer'!R:R,0,0)</f>
        <v>69533.100000000006</v>
      </c>
      <c r="DF6" s="452">
        <f>_xlfn.XLOOKUP($A6,'Actuals Summer'!$A:$A,'Actuals Summer'!J:J,0,0)</f>
        <v>8829.6</v>
      </c>
      <c r="DG6" s="452">
        <f>_xlfn.XLOOKUP($A6,'Actuals Dep Summer'!$B:$B,'Actuals Dep Summer'!G:G,0,0)*'Actuals Dep Summer'!$F$2*'Actuals Dep Summer'!$C$2</f>
        <v>1189.5</v>
      </c>
      <c r="DH6" s="452">
        <f>_xlfn.XLOOKUP($A6,'Actuals Dep Summer'!$B:$B,'Actuals Dep Summer'!H:H,0,0)*'Actuals Dep Summer'!$F$2*'Actuals Dep Summer'!$C$3</f>
        <v>395.84999999999997</v>
      </c>
      <c r="DI6" s="452">
        <f>_xlfn.XLOOKUP($A6,'Actuals Dep Summer'!$B:$B,'Actuals Dep Summer'!I:I,0,0)*'Actuals Dep Summer'!$F$2*'Actuals Dep Summer'!$C$4</f>
        <v>436.8</v>
      </c>
      <c r="DJ6" s="452">
        <f>_xlfn.XLOOKUP($A6,'Actuals Summer'!$A:$A,'Actuals Summer'!P:P,0,0)</f>
        <v>6825</v>
      </c>
      <c r="DK6" s="452">
        <f>_xlfn.XLOOKUP($A6,'Actuals Summer'!$A:$A,'Actuals Summer'!O:O,0,0)</f>
        <v>0</v>
      </c>
      <c r="DL6" s="452"/>
      <c r="DM6" s="452">
        <f>_xlfn.XLOOKUP($A6,'Actuals Summer'!$A:$A,'Actuals Summer'!M:M,0,0)</f>
        <v>320.89</v>
      </c>
      <c r="DN6" s="453">
        <f t="shared" si="1"/>
        <v>125698.09000000003</v>
      </c>
      <c r="DO6" s="453">
        <f>_xlfn.XLOOKUP(A6,'Actuals Summer'!A:A,'Actuals Summer'!S:S,0,0)-'Summer data team '!DN6</f>
        <v>0</v>
      </c>
      <c r="DP6" s="463">
        <f t="shared" si="2"/>
        <v>-1011.140000000014</v>
      </c>
    </row>
    <row r="7" spans="1:120" ht="13" x14ac:dyDescent="0.3">
      <c r="A7" s="364">
        <v>1002</v>
      </c>
      <c r="B7" s="364">
        <v>3301002</v>
      </c>
      <c r="C7" s="364" t="s">
        <v>46</v>
      </c>
      <c r="D7" s="506">
        <v>0</v>
      </c>
      <c r="E7" s="506">
        <v>32</v>
      </c>
      <c r="F7" s="506">
        <v>3</v>
      </c>
      <c r="G7" s="506">
        <v>57</v>
      </c>
      <c r="H7" s="506">
        <v>33</v>
      </c>
      <c r="I7" s="507">
        <v>35</v>
      </c>
      <c r="J7" s="507">
        <v>90</v>
      </c>
      <c r="K7" s="506">
        <v>2</v>
      </c>
      <c r="L7" s="506">
        <v>1</v>
      </c>
      <c r="M7" s="507">
        <v>3</v>
      </c>
      <c r="N7" s="506">
        <v>0</v>
      </c>
      <c r="O7" s="506">
        <v>480</v>
      </c>
      <c r="P7" s="506">
        <v>855</v>
      </c>
      <c r="Q7" s="506">
        <v>495</v>
      </c>
      <c r="R7" s="507">
        <v>1350</v>
      </c>
      <c r="S7" s="506">
        <v>45</v>
      </c>
      <c r="T7" s="506">
        <v>525</v>
      </c>
      <c r="U7" s="506">
        <v>30</v>
      </c>
      <c r="V7" s="506">
        <v>15</v>
      </c>
      <c r="W7" s="507">
        <v>45</v>
      </c>
      <c r="X7" s="506">
        <v>92</v>
      </c>
      <c r="Y7" s="506">
        <v>1380</v>
      </c>
      <c r="Z7" s="508">
        <v>30</v>
      </c>
      <c r="AA7" s="506">
        <v>23</v>
      </c>
      <c r="AB7" s="506">
        <v>345</v>
      </c>
      <c r="AC7" s="508">
        <v>15</v>
      </c>
      <c r="AD7" s="506">
        <v>4</v>
      </c>
      <c r="AE7" s="506">
        <v>60</v>
      </c>
      <c r="AF7" s="508">
        <v>0</v>
      </c>
      <c r="AG7" s="509">
        <v>24</v>
      </c>
      <c r="AH7" s="509">
        <v>360</v>
      </c>
      <c r="AI7" s="508">
        <v>0</v>
      </c>
      <c r="AJ7" s="509">
        <v>55</v>
      </c>
      <c r="AK7" s="509">
        <v>825</v>
      </c>
      <c r="AL7" s="508">
        <v>0</v>
      </c>
      <c r="AM7" s="506">
        <v>79</v>
      </c>
      <c r="AN7" s="506">
        <v>1185</v>
      </c>
      <c r="AO7" s="508">
        <v>0</v>
      </c>
      <c r="AP7" s="508"/>
      <c r="AQ7" s="508">
        <f t="shared" si="3"/>
        <v>79</v>
      </c>
      <c r="AR7" s="509">
        <v>24</v>
      </c>
      <c r="AS7" s="509">
        <v>360</v>
      </c>
      <c r="AT7" s="508">
        <v>0</v>
      </c>
      <c r="AU7" s="509">
        <v>55</v>
      </c>
      <c r="AV7" s="509">
        <v>825</v>
      </c>
      <c r="AW7" s="508">
        <v>0</v>
      </c>
      <c r="AX7" s="506">
        <v>79</v>
      </c>
      <c r="AY7" s="506">
        <v>1185</v>
      </c>
      <c r="AZ7" s="508">
        <v>0</v>
      </c>
      <c r="BA7" s="508"/>
      <c r="BB7" s="508">
        <f t="shared" si="4"/>
        <v>134</v>
      </c>
      <c r="BC7" s="509">
        <v>0</v>
      </c>
      <c r="BD7" s="509">
        <v>1</v>
      </c>
      <c r="BE7" s="506">
        <v>1</v>
      </c>
      <c r="BF7" s="200"/>
      <c r="BG7" s="200"/>
      <c r="BH7" s="200"/>
      <c r="BI7" s="200"/>
      <c r="BJ7" s="200"/>
      <c r="BK7" s="200"/>
      <c r="BL7" s="200"/>
      <c r="BM7" s="505">
        <f t="shared" si="5"/>
        <v>0</v>
      </c>
      <c r="BN7" s="200">
        <f t="shared" si="6"/>
        <v>6240</v>
      </c>
      <c r="BO7" s="200">
        <f t="shared" ref="BO7:BO36" si="26">S7*$BN$3</f>
        <v>585</v>
      </c>
      <c r="BP7" s="200">
        <f t="shared" si="7"/>
        <v>17550</v>
      </c>
      <c r="BQ7" s="200">
        <f t="shared" si="8"/>
        <v>585</v>
      </c>
      <c r="BR7" s="200">
        <f t="shared" si="9"/>
        <v>18330</v>
      </c>
      <c r="BS7" s="200">
        <f t="shared" si="10"/>
        <v>4680</v>
      </c>
      <c r="BT7" s="200">
        <f t="shared" si="11"/>
        <v>780</v>
      </c>
      <c r="BU7" s="200">
        <f t="shared" si="12"/>
        <v>15405</v>
      </c>
      <c r="BV7" s="200">
        <v>79</v>
      </c>
      <c r="BW7" s="200">
        <v>0</v>
      </c>
      <c r="BX7" s="200">
        <f t="shared" si="13"/>
        <v>1</v>
      </c>
      <c r="CB7" s="381">
        <f>_xlfn.IFNA(VLOOKUP(A7,'Actuals Summer'!$A:$AG,23,FALSE),0)</f>
        <v>17550</v>
      </c>
      <c r="CC7" s="381">
        <f>_xlfn.IFNA(VLOOKUP(A7,'Actuals Summer'!$A:$AG,24,FALSE),0)</f>
        <v>585</v>
      </c>
      <c r="CD7" s="381">
        <f>_xlfn.IFNA(VLOOKUP(A7,'Actuals Summer'!$A:$AG,25,FALSE),0)</f>
        <v>7605</v>
      </c>
      <c r="CE7" s="381">
        <f>_xlfn.IFNA(VLOOKUP(A7,'Actuals Summer'!$A:$AG,26,FALSE),0)</f>
        <v>0</v>
      </c>
      <c r="CF7" s="381">
        <f>_xlfn.IFNA(VLOOKUP(A7,'Actuals Summer'!$A:$AG,27,FALSE),0)</f>
        <v>0</v>
      </c>
      <c r="CG7" s="381">
        <f>_xlfn.IFNA(VLOOKUP(A7,'Actuals Dep Summer'!B:O,6,FALSE)*$BN$3,0)</f>
        <v>17940</v>
      </c>
      <c r="CH7" s="381">
        <f>_xlfn.IFNA(VLOOKUP(A7,'Actuals Dep Summer'!B:O,7,FALSE)*$BN$3,0)</f>
        <v>4485</v>
      </c>
      <c r="CI7" s="381">
        <f>_xlfn.IFNA(VLOOKUP(A7,'Actuals Dep Summer'!B:O,8,FALSE)*$BN$3,0)</f>
        <v>780</v>
      </c>
      <c r="CJ7" s="381">
        <f>_xlfn.IFNA(VLOOKUP(A7,'Actuals Summer'!$A:$AG,31,FALSE),0)*$BN$3</f>
        <v>1026.4349899138087</v>
      </c>
      <c r="CK7" s="381"/>
      <c r="CL7" s="381">
        <f>_xlfn.IFNA(VLOOKUP(A7,'Actuals Summer'!$A:$AG,32,FALSE),0)*$BN$3</f>
        <v>200265</v>
      </c>
      <c r="CM7" s="381">
        <f>_xlfn.IFNA(VLOOKUP(A7,'Actuals Summer'!$A:$AG,33,FALSE),0)</f>
        <v>0.99998523864195499</v>
      </c>
      <c r="CP7" s="458">
        <f t="shared" si="14"/>
        <v>0</v>
      </c>
      <c r="CQ7" s="458">
        <f t="shared" si="15"/>
        <v>53102.400000000001</v>
      </c>
      <c r="CR7" s="458">
        <f t="shared" si="0"/>
        <v>4978.3499999999995</v>
      </c>
      <c r="CS7" s="458">
        <f t="shared" si="16"/>
        <v>99333</v>
      </c>
      <c r="CT7" s="458">
        <f t="shared" si="17"/>
        <v>3311.1</v>
      </c>
      <c r="CU7" s="458">
        <f t="shared" si="18"/>
        <v>11181.3</v>
      </c>
      <c r="CV7" s="458">
        <f t="shared" si="19"/>
        <v>1357.1999999999998</v>
      </c>
      <c r="CW7" s="458">
        <f t="shared" si="20"/>
        <v>62.4</v>
      </c>
      <c r="CX7" s="458">
        <f t="shared" si="21"/>
        <v>15405</v>
      </c>
      <c r="CY7" s="458">
        <f>BV7*$BV$2*$BN$3</f>
        <v>5891.7368421052624</v>
      </c>
      <c r="CZ7" s="458">
        <f t="shared" si="23"/>
        <v>0</v>
      </c>
      <c r="DA7" s="458">
        <f t="shared" si="24"/>
        <v>938</v>
      </c>
      <c r="DB7" s="458">
        <f t="shared" si="25"/>
        <v>195560.48684210525</v>
      </c>
      <c r="DC7" s="452">
        <f>_xlfn.XLOOKUP($A7,'Actuals Summer'!$A:$A,'Actuals Summer'!L:L,0,0)</f>
        <v>0</v>
      </c>
      <c r="DD7" s="452">
        <f>_xlfn.XLOOKUP($A7,'Actuals Summer'!$A:$A,'Actuals Summer'!K:K,0,0)+_xlfn.XLOOKUP($A7,'Actuals Summer'!$A:$A,'Actuals Summer'!Q:Q,0,0)</f>
        <v>64718.549999999996</v>
      </c>
      <c r="DE7" s="452">
        <f>_xlfn.XLOOKUP($A7,'Actuals Summer'!$A:$A,'Actuals Summer'!I:I,0,0)+_xlfn.XLOOKUP($A7,'Actuals Summer'!$A:$A,'Actuals Summer'!R:R,0,0)</f>
        <v>99333</v>
      </c>
      <c r="DF7" s="452">
        <f>_xlfn.XLOOKUP($A7,'Actuals Summer'!$A:$A,'Actuals Summer'!J:J,0,0)</f>
        <v>3311.1</v>
      </c>
      <c r="DG7" s="452">
        <f>_xlfn.XLOOKUP($A7,'Actuals Dep Summer'!$B:$B,'Actuals Dep Summer'!G:G,0,0)*'Actuals Dep Summer'!$F$2*'Actuals Dep Summer'!$C$2</f>
        <v>10943.4</v>
      </c>
      <c r="DH7" s="452">
        <f>_xlfn.XLOOKUP($A7,'Actuals Dep Summer'!$B:$B,'Actuals Dep Summer'!H:H,0,0)*'Actuals Dep Summer'!$F$2*'Actuals Dep Summer'!$C$3</f>
        <v>1300.6499999999999</v>
      </c>
      <c r="DI7" s="452">
        <f>_xlfn.XLOOKUP($A7,'Actuals Dep Summer'!$B:$B,'Actuals Dep Summer'!I:I,0,0)*'Actuals Dep Summer'!$F$2*'Actuals Dep Summer'!$C$4</f>
        <v>62.4</v>
      </c>
      <c r="DJ7" s="452">
        <f>_xlfn.XLOOKUP($A7,'Actuals Summer'!$A:$A,'Actuals Summer'!P:P,0,0)</f>
        <v>15405</v>
      </c>
      <c r="DK7" s="452">
        <f>_xlfn.XLOOKUP($A7,'Actuals Summer'!$A:$A,'Actuals Summer'!O:O,0,0)</f>
        <v>5891.7368421052633</v>
      </c>
      <c r="DL7" s="452"/>
      <c r="DM7" s="452">
        <f>_xlfn.XLOOKUP($A7,'Actuals Summer'!$A:$A,'Actuals Summer'!M:M,0,0)</f>
        <v>320.89</v>
      </c>
      <c r="DN7" s="453">
        <f t="shared" si="1"/>
        <v>201286.72684210524</v>
      </c>
      <c r="DO7" s="453">
        <f>_xlfn.XLOOKUP(A7,'Actuals Summer'!A:A,'Actuals Summer'!S:S,0,0)-'Summer data team '!DN7</f>
        <v>0</v>
      </c>
      <c r="DP7" s="463">
        <f t="shared" si="2"/>
        <v>-5726.2399999999907</v>
      </c>
    </row>
    <row r="8" spans="1:120" ht="13" x14ac:dyDescent="0.3">
      <c r="A8" s="364">
        <v>1006</v>
      </c>
      <c r="B8" s="364">
        <v>3301006</v>
      </c>
      <c r="C8" s="364" t="s">
        <v>77</v>
      </c>
      <c r="D8" s="506">
        <v>0</v>
      </c>
      <c r="E8" s="506">
        <v>0</v>
      </c>
      <c r="F8" s="506">
        <v>0</v>
      </c>
      <c r="G8" s="506">
        <v>33</v>
      </c>
      <c r="H8" s="506">
        <v>43</v>
      </c>
      <c r="I8" s="507">
        <v>0</v>
      </c>
      <c r="J8" s="507">
        <v>76</v>
      </c>
      <c r="K8" s="506">
        <v>13</v>
      </c>
      <c r="L8" s="506">
        <v>17</v>
      </c>
      <c r="M8" s="507">
        <v>30</v>
      </c>
      <c r="N8" s="506">
        <v>0</v>
      </c>
      <c r="O8" s="506">
        <v>0</v>
      </c>
      <c r="P8" s="506">
        <v>495</v>
      </c>
      <c r="Q8" s="506">
        <v>645</v>
      </c>
      <c r="R8" s="507">
        <v>1140</v>
      </c>
      <c r="S8" s="506">
        <v>0</v>
      </c>
      <c r="T8" s="506">
        <v>0</v>
      </c>
      <c r="U8" s="506">
        <v>195</v>
      </c>
      <c r="V8" s="506">
        <v>255</v>
      </c>
      <c r="W8" s="507">
        <v>450</v>
      </c>
      <c r="X8" s="506">
        <v>14</v>
      </c>
      <c r="Y8" s="506">
        <v>210</v>
      </c>
      <c r="Z8" s="508">
        <v>90</v>
      </c>
      <c r="AA8" s="506">
        <v>6</v>
      </c>
      <c r="AB8" s="506">
        <v>90</v>
      </c>
      <c r="AC8" s="508">
        <v>30</v>
      </c>
      <c r="AD8" s="506">
        <v>9</v>
      </c>
      <c r="AE8" s="506">
        <v>135</v>
      </c>
      <c r="AF8" s="508">
        <v>15</v>
      </c>
      <c r="AG8" s="509">
        <v>0</v>
      </c>
      <c r="AH8" s="509">
        <v>0</v>
      </c>
      <c r="AI8" s="508">
        <v>0</v>
      </c>
      <c r="AJ8" s="509">
        <v>23</v>
      </c>
      <c r="AK8" s="509">
        <v>345</v>
      </c>
      <c r="AL8" s="508">
        <v>45</v>
      </c>
      <c r="AM8" s="506">
        <v>23</v>
      </c>
      <c r="AN8" s="506">
        <v>345</v>
      </c>
      <c r="AO8" s="508">
        <v>45</v>
      </c>
      <c r="AP8" s="508"/>
      <c r="AQ8" s="508">
        <f t="shared" si="3"/>
        <v>23</v>
      </c>
      <c r="AR8" s="509">
        <v>0</v>
      </c>
      <c r="AS8" s="509">
        <v>0</v>
      </c>
      <c r="AT8" s="508">
        <v>0</v>
      </c>
      <c r="AU8" s="509">
        <v>2</v>
      </c>
      <c r="AV8" s="509">
        <v>30</v>
      </c>
      <c r="AW8" s="508">
        <v>30</v>
      </c>
      <c r="AX8" s="506">
        <v>2</v>
      </c>
      <c r="AY8" s="506">
        <v>30</v>
      </c>
      <c r="AZ8" s="508">
        <v>30</v>
      </c>
      <c r="BA8" s="508"/>
      <c r="BB8" s="508">
        <f t="shared" si="4"/>
        <v>4</v>
      </c>
      <c r="BC8" s="509">
        <v>0</v>
      </c>
      <c r="BD8" s="509">
        <v>9</v>
      </c>
      <c r="BE8" s="506">
        <v>9</v>
      </c>
      <c r="BF8" s="200"/>
      <c r="BG8" s="200"/>
      <c r="BH8" s="200"/>
      <c r="BI8" s="200"/>
      <c r="BJ8" s="200"/>
      <c r="BK8" s="200"/>
      <c r="BL8" s="200"/>
      <c r="BM8" s="505">
        <f t="shared" si="5"/>
        <v>0</v>
      </c>
      <c r="BN8" s="200">
        <f t="shared" si="6"/>
        <v>0</v>
      </c>
      <c r="BO8" s="200">
        <f t="shared" si="26"/>
        <v>0</v>
      </c>
      <c r="BP8" s="200">
        <f t="shared" si="7"/>
        <v>14820</v>
      </c>
      <c r="BQ8" s="200">
        <f t="shared" si="8"/>
        <v>5850</v>
      </c>
      <c r="BR8" s="200">
        <f t="shared" si="9"/>
        <v>3900</v>
      </c>
      <c r="BS8" s="200">
        <f t="shared" si="10"/>
        <v>1560</v>
      </c>
      <c r="BT8" s="200">
        <f t="shared" si="11"/>
        <v>1950</v>
      </c>
      <c r="BU8" s="200">
        <f t="shared" si="12"/>
        <v>4485</v>
      </c>
      <c r="BV8" s="200">
        <v>0</v>
      </c>
      <c r="BW8" s="200">
        <v>2</v>
      </c>
      <c r="BX8" s="200">
        <f t="shared" si="13"/>
        <v>9</v>
      </c>
      <c r="CB8" s="381">
        <f>_xlfn.IFNA(VLOOKUP(A8,'Actuals Summer'!$A:$AG,23,FALSE),0)</f>
        <v>14820</v>
      </c>
      <c r="CC8" s="381">
        <f>_xlfn.IFNA(VLOOKUP(A8,'Actuals Summer'!$A:$AG,24,FALSE),0)</f>
        <v>5850</v>
      </c>
      <c r="CD8" s="381">
        <f>_xlfn.IFNA(VLOOKUP(A8,'Actuals Summer'!$A:$AG,25,FALSE),0)</f>
        <v>0</v>
      </c>
      <c r="CE8" s="381">
        <f>_xlfn.IFNA(VLOOKUP(A8,'Actuals Summer'!$A:$AG,26,FALSE),0)</f>
        <v>0</v>
      </c>
      <c r="CF8" s="381">
        <f>_xlfn.IFNA(VLOOKUP(A8,'Actuals Summer'!$A:$AG,27,FALSE),0)</f>
        <v>0</v>
      </c>
      <c r="CG8" s="381">
        <f>_xlfn.IFNA(VLOOKUP(A8,'Actuals Dep Summer'!B:O,6,FALSE)*$BN$3,0)</f>
        <v>2730</v>
      </c>
      <c r="CH8" s="381">
        <f>_xlfn.IFNA(VLOOKUP(A8,'Actuals Dep Summer'!B:O,7,FALSE)*$BN$3,0)</f>
        <v>1170</v>
      </c>
      <c r="CI8" s="381">
        <f>_xlfn.IFNA(VLOOKUP(A8,'Actuals Dep Summer'!B:O,8,FALSE)*$BN$3,0)</f>
        <v>1755</v>
      </c>
      <c r="CJ8" s="381">
        <f>_xlfn.IFNA(VLOOKUP(A8,'Actuals Summer'!$A:$AG,31,FALSE),0)*$BN$3</f>
        <v>25.985695947185036</v>
      </c>
      <c r="CK8" s="381"/>
      <c r="CL8" s="381">
        <f>_xlfn.IFNA(VLOOKUP(A8,'Actuals Summer'!$A:$AG,32,FALSE),0)*$BN$3</f>
        <v>58305</v>
      </c>
      <c r="CM8" s="381">
        <f>_xlfn.IFNA(VLOOKUP(A8,'Actuals Summer'!$A:$AG,33,FALSE),0)</f>
        <v>8.9998671477775947</v>
      </c>
      <c r="CP8" s="458">
        <f t="shared" si="14"/>
        <v>0</v>
      </c>
      <c r="CQ8" s="458">
        <f t="shared" si="15"/>
        <v>0</v>
      </c>
      <c r="CR8" s="458">
        <f t="shared" si="0"/>
        <v>0</v>
      </c>
      <c r="CS8" s="458">
        <f t="shared" si="16"/>
        <v>83881.2</v>
      </c>
      <c r="CT8" s="458">
        <f t="shared" si="17"/>
        <v>33111</v>
      </c>
      <c r="CU8" s="458">
        <f t="shared" si="18"/>
        <v>2379</v>
      </c>
      <c r="CV8" s="458">
        <f t="shared" si="19"/>
        <v>452.4</v>
      </c>
      <c r="CW8" s="458">
        <f t="shared" si="20"/>
        <v>156</v>
      </c>
      <c r="CX8" s="458">
        <f t="shared" si="21"/>
        <v>4485</v>
      </c>
      <c r="CY8" s="458">
        <f t="shared" si="22"/>
        <v>0</v>
      </c>
      <c r="CZ8" s="458">
        <f t="shared" si="23"/>
        <v>372.89473684210526</v>
      </c>
      <c r="DA8" s="458">
        <f t="shared" si="24"/>
        <v>8442</v>
      </c>
      <c r="DB8" s="458">
        <f t="shared" si="25"/>
        <v>133279.49473684211</v>
      </c>
      <c r="DC8" s="452">
        <f>_xlfn.XLOOKUP($A8,'Actuals Summer'!$A:$A,'Actuals Summer'!L:L,0,0)</f>
        <v>0</v>
      </c>
      <c r="DD8" s="452">
        <f>_xlfn.XLOOKUP($A8,'Actuals Summer'!$A:$A,'Actuals Summer'!K:K,0,0)+_xlfn.XLOOKUP($A8,'Actuals Summer'!$A:$A,'Actuals Summer'!Q:Q,0,0)</f>
        <v>0</v>
      </c>
      <c r="DE8" s="452">
        <f>_xlfn.XLOOKUP($A8,'Actuals Summer'!$A:$A,'Actuals Summer'!I:I,0,0)+_xlfn.XLOOKUP($A8,'Actuals Summer'!$A:$A,'Actuals Summer'!R:R,0,0)</f>
        <v>83881.2</v>
      </c>
      <c r="DF8" s="452">
        <f>_xlfn.XLOOKUP($A8,'Actuals Summer'!$A:$A,'Actuals Summer'!J:J,0,0)</f>
        <v>33111</v>
      </c>
      <c r="DG8" s="452">
        <f>_xlfn.XLOOKUP($A8,'Actuals Dep Summer'!$B:$B,'Actuals Dep Summer'!G:G,0,0)*'Actuals Dep Summer'!$F$2*'Actuals Dep Summer'!$C$2</f>
        <v>1665.3</v>
      </c>
      <c r="DH8" s="452">
        <f>_xlfn.XLOOKUP($A8,'Actuals Dep Summer'!$B:$B,'Actuals Dep Summer'!H:H,0,0)*'Actuals Dep Summer'!$F$2*'Actuals Dep Summer'!$C$3</f>
        <v>339.29999999999995</v>
      </c>
      <c r="DI8" s="452">
        <f>_xlfn.XLOOKUP($A8,'Actuals Dep Summer'!$B:$B,'Actuals Dep Summer'!I:I,0,0)*'Actuals Dep Summer'!$F$2*'Actuals Dep Summer'!$C$4</f>
        <v>140.4</v>
      </c>
      <c r="DJ8" s="452">
        <f>_xlfn.XLOOKUP($A8,'Actuals Summer'!$A:$A,'Actuals Summer'!P:P,0,0)</f>
        <v>4485</v>
      </c>
      <c r="DK8" s="452">
        <f>_xlfn.XLOOKUP($A8,'Actuals Summer'!$A:$A,'Actuals Summer'!O:O,0,0)</f>
        <v>149.15789473684211</v>
      </c>
      <c r="DL8" s="452"/>
      <c r="DM8" s="452">
        <f>_xlfn.XLOOKUP($A8,'Actuals Summer'!$A:$A,'Actuals Summer'!M:M,0,0)</f>
        <v>2888.0099999999998</v>
      </c>
      <c r="DN8" s="453">
        <f t="shared" si="1"/>
        <v>126659.36789473683</v>
      </c>
      <c r="DO8" s="453">
        <f>_xlfn.XLOOKUP(A8,'Actuals Summer'!A:A,'Actuals Summer'!S:S,0,0)-'Summer data team '!DN8</f>
        <v>0</v>
      </c>
      <c r="DP8" s="463">
        <f t="shared" si="2"/>
        <v>6620.126842105281</v>
      </c>
    </row>
    <row r="9" spans="1:120" ht="13" x14ac:dyDescent="0.3">
      <c r="A9" s="364">
        <v>1008</v>
      </c>
      <c r="B9" s="364">
        <v>3301008</v>
      </c>
      <c r="C9" s="364" t="s">
        <v>247</v>
      </c>
      <c r="D9" s="506">
        <v>0</v>
      </c>
      <c r="E9" s="506">
        <v>0</v>
      </c>
      <c r="F9" s="506">
        <v>0</v>
      </c>
      <c r="G9" s="506">
        <v>35</v>
      </c>
      <c r="H9" s="506">
        <v>31</v>
      </c>
      <c r="I9" s="507">
        <v>0</v>
      </c>
      <c r="J9" s="507">
        <v>66</v>
      </c>
      <c r="K9" s="506">
        <v>16</v>
      </c>
      <c r="L9" s="506">
        <v>19</v>
      </c>
      <c r="M9" s="507">
        <v>35</v>
      </c>
      <c r="N9" s="506">
        <v>0</v>
      </c>
      <c r="O9" s="506">
        <v>0</v>
      </c>
      <c r="P9" s="506">
        <v>525</v>
      </c>
      <c r="Q9" s="506">
        <v>465</v>
      </c>
      <c r="R9" s="507">
        <v>990</v>
      </c>
      <c r="S9" s="506">
        <v>0</v>
      </c>
      <c r="T9" s="506">
        <v>0</v>
      </c>
      <c r="U9" s="506">
        <v>240</v>
      </c>
      <c r="V9" s="506">
        <v>285</v>
      </c>
      <c r="W9" s="507">
        <v>525</v>
      </c>
      <c r="X9" s="506">
        <v>1</v>
      </c>
      <c r="Y9" s="506">
        <v>15</v>
      </c>
      <c r="Z9" s="508">
        <v>0</v>
      </c>
      <c r="AA9" s="506">
        <v>2</v>
      </c>
      <c r="AB9" s="506">
        <v>30</v>
      </c>
      <c r="AC9" s="508">
        <v>0</v>
      </c>
      <c r="AD9" s="506">
        <v>3</v>
      </c>
      <c r="AE9" s="506">
        <v>45</v>
      </c>
      <c r="AF9" s="508">
        <v>45</v>
      </c>
      <c r="AG9" s="509">
        <v>0</v>
      </c>
      <c r="AH9" s="509">
        <v>0</v>
      </c>
      <c r="AI9" s="508">
        <v>0</v>
      </c>
      <c r="AJ9" s="509">
        <v>21</v>
      </c>
      <c r="AK9" s="509">
        <v>315</v>
      </c>
      <c r="AL9" s="508">
        <v>45</v>
      </c>
      <c r="AM9" s="506">
        <v>21</v>
      </c>
      <c r="AN9" s="506">
        <v>315</v>
      </c>
      <c r="AO9" s="508">
        <v>45</v>
      </c>
      <c r="AP9" s="508"/>
      <c r="AQ9" s="508">
        <f t="shared" si="3"/>
        <v>21</v>
      </c>
      <c r="AR9" s="509">
        <v>0</v>
      </c>
      <c r="AS9" s="509">
        <v>0</v>
      </c>
      <c r="AT9" s="508">
        <v>0</v>
      </c>
      <c r="AU9" s="509">
        <v>0</v>
      </c>
      <c r="AV9" s="509">
        <v>0</v>
      </c>
      <c r="AW9" s="508">
        <v>0</v>
      </c>
      <c r="AX9" s="506">
        <v>0</v>
      </c>
      <c r="AY9" s="506">
        <v>0</v>
      </c>
      <c r="AZ9" s="508">
        <v>0</v>
      </c>
      <c r="BA9" s="508"/>
      <c r="BB9" s="508">
        <f t="shared" si="4"/>
        <v>0</v>
      </c>
      <c r="BC9" s="509">
        <v>0</v>
      </c>
      <c r="BD9" s="509">
        <v>1</v>
      </c>
      <c r="BE9" s="506">
        <v>1</v>
      </c>
      <c r="BF9" s="200"/>
      <c r="BG9" s="200"/>
      <c r="BH9" s="200"/>
      <c r="BI9" s="200"/>
      <c r="BJ9" s="200"/>
      <c r="BK9" s="200"/>
      <c r="BL9" s="200"/>
      <c r="BM9" s="505">
        <f t="shared" si="5"/>
        <v>0</v>
      </c>
      <c r="BN9" s="200">
        <f t="shared" si="6"/>
        <v>0</v>
      </c>
      <c r="BO9" s="200">
        <f t="shared" si="26"/>
        <v>0</v>
      </c>
      <c r="BP9" s="200">
        <f t="shared" si="7"/>
        <v>12870</v>
      </c>
      <c r="BQ9" s="200">
        <f t="shared" si="8"/>
        <v>6825</v>
      </c>
      <c r="BR9" s="200">
        <f t="shared" si="9"/>
        <v>195</v>
      </c>
      <c r="BS9" s="200">
        <f t="shared" si="10"/>
        <v>390</v>
      </c>
      <c r="BT9" s="200">
        <f t="shared" si="11"/>
        <v>1170</v>
      </c>
      <c r="BU9" s="200">
        <f t="shared" si="12"/>
        <v>4095</v>
      </c>
      <c r="BV9" s="200">
        <v>0</v>
      </c>
      <c r="BW9" s="200">
        <v>0</v>
      </c>
      <c r="BX9" s="200">
        <f t="shared" si="13"/>
        <v>1</v>
      </c>
      <c r="CB9" s="381">
        <f>_xlfn.IFNA(VLOOKUP(A9,'Actuals Summer'!$A:$AG,23,FALSE),0)</f>
        <v>12870</v>
      </c>
      <c r="CC9" s="381">
        <f>_xlfn.IFNA(VLOOKUP(A9,'Actuals Summer'!$A:$AG,24,FALSE),0)</f>
        <v>6825</v>
      </c>
      <c r="CD9" s="381">
        <f>_xlfn.IFNA(VLOOKUP(A9,'Actuals Summer'!$A:$AG,25,FALSE),0)</f>
        <v>0</v>
      </c>
      <c r="CE9" s="381">
        <f>_xlfn.IFNA(VLOOKUP(A9,'Actuals Summer'!$A:$AG,26,FALSE),0)</f>
        <v>0</v>
      </c>
      <c r="CF9" s="381">
        <f>_xlfn.IFNA(VLOOKUP(A9,'Actuals Summer'!$A:$AG,27,FALSE),0)</f>
        <v>0</v>
      </c>
      <c r="CG9" s="381">
        <f>_xlfn.IFNA(VLOOKUP(A9,'Actuals Dep Summer'!B:O,6,FALSE)*$BN$3,0)</f>
        <v>195</v>
      </c>
      <c r="CH9" s="381">
        <f>_xlfn.IFNA(VLOOKUP(A9,'Actuals Dep Summer'!B:O,7,FALSE)*$BN$3,0)</f>
        <v>390</v>
      </c>
      <c r="CI9" s="381">
        <f>_xlfn.IFNA(VLOOKUP(A9,'Actuals Dep Summer'!B:O,8,FALSE)*$BN$3,0)</f>
        <v>585</v>
      </c>
      <c r="CJ9" s="381">
        <f>_xlfn.IFNA(VLOOKUP(A9,'Actuals Summer'!$A:$AG,31,FALSE),0)*$BN$3</f>
        <v>0</v>
      </c>
      <c r="CK9" s="381"/>
      <c r="CL9" s="381">
        <f>_xlfn.IFNA(VLOOKUP(A9,'Actuals Summer'!$A:$AG,32,FALSE),0)*$BN$3</f>
        <v>53235</v>
      </c>
      <c r="CM9" s="381">
        <f>_xlfn.IFNA(VLOOKUP(A9,'Actuals Summer'!$A:$AG,33,FALSE),0)</f>
        <v>0.99998523864195499</v>
      </c>
      <c r="CP9" s="458">
        <f t="shared" si="14"/>
        <v>0</v>
      </c>
      <c r="CQ9" s="458">
        <f t="shared" si="15"/>
        <v>0</v>
      </c>
      <c r="CR9" s="458">
        <f t="shared" si="0"/>
        <v>0</v>
      </c>
      <c r="CS9" s="458">
        <f t="shared" si="16"/>
        <v>72844.2</v>
      </c>
      <c r="CT9" s="458">
        <f t="shared" si="17"/>
        <v>38629.5</v>
      </c>
      <c r="CU9" s="458">
        <f t="shared" si="18"/>
        <v>118.95</v>
      </c>
      <c r="CV9" s="458">
        <f t="shared" si="19"/>
        <v>113.1</v>
      </c>
      <c r="CW9" s="458">
        <f t="shared" si="20"/>
        <v>93.600000000000009</v>
      </c>
      <c r="CX9" s="458">
        <f t="shared" si="21"/>
        <v>4095</v>
      </c>
      <c r="CY9" s="458">
        <f t="shared" si="22"/>
        <v>0</v>
      </c>
      <c r="CZ9" s="458">
        <f t="shared" si="23"/>
        <v>0</v>
      </c>
      <c r="DA9" s="458">
        <f t="shared" si="24"/>
        <v>938</v>
      </c>
      <c r="DB9" s="458">
        <f t="shared" si="25"/>
        <v>116832.35</v>
      </c>
      <c r="DC9" s="452">
        <f>_xlfn.XLOOKUP($A9,'Actuals Summer'!$A:$A,'Actuals Summer'!L:L,0,0)</f>
        <v>0</v>
      </c>
      <c r="DD9" s="452">
        <f>_xlfn.XLOOKUP($A9,'Actuals Summer'!$A:$A,'Actuals Summer'!K:K,0,0)+_xlfn.XLOOKUP($A9,'Actuals Summer'!$A:$A,'Actuals Summer'!Q:Q,0,0)</f>
        <v>0</v>
      </c>
      <c r="DE9" s="452">
        <f>_xlfn.XLOOKUP($A9,'Actuals Summer'!$A:$A,'Actuals Summer'!I:I,0,0)+_xlfn.XLOOKUP($A9,'Actuals Summer'!$A:$A,'Actuals Summer'!R:R,0,0)</f>
        <v>72844.2</v>
      </c>
      <c r="DF9" s="452">
        <f>_xlfn.XLOOKUP($A9,'Actuals Summer'!$A:$A,'Actuals Summer'!J:J,0,0)</f>
        <v>38629.5</v>
      </c>
      <c r="DG9" s="452">
        <f>_xlfn.XLOOKUP($A9,'Actuals Dep Summer'!$B:$B,'Actuals Dep Summer'!G:G,0,0)*'Actuals Dep Summer'!$F$2*'Actuals Dep Summer'!$C$2</f>
        <v>118.95</v>
      </c>
      <c r="DH9" s="452">
        <f>_xlfn.XLOOKUP($A9,'Actuals Dep Summer'!$B:$B,'Actuals Dep Summer'!H:H,0,0)*'Actuals Dep Summer'!$F$2*'Actuals Dep Summer'!$C$3</f>
        <v>113.1</v>
      </c>
      <c r="DI9" s="452">
        <f>_xlfn.XLOOKUP($A9,'Actuals Dep Summer'!$B:$B,'Actuals Dep Summer'!I:I,0,0)*'Actuals Dep Summer'!$F$2*'Actuals Dep Summer'!$C$4</f>
        <v>46.800000000000004</v>
      </c>
      <c r="DJ9" s="452">
        <f>_xlfn.XLOOKUP($A9,'Actuals Summer'!$A:$A,'Actuals Summer'!P:P,0,0)</f>
        <v>4095</v>
      </c>
      <c r="DK9" s="452">
        <f>_xlfn.XLOOKUP($A9,'Actuals Summer'!$A:$A,'Actuals Summer'!O:O,0,0)</f>
        <v>0</v>
      </c>
      <c r="DL9" s="452"/>
      <c r="DM9" s="452">
        <f>_xlfn.XLOOKUP($A9,'Actuals Summer'!$A:$A,'Actuals Summer'!M:M,0,0)</f>
        <v>320.89</v>
      </c>
      <c r="DN9" s="453">
        <f t="shared" si="1"/>
        <v>116168.44</v>
      </c>
      <c r="DO9" s="453">
        <f>_xlfn.XLOOKUP(A9,'Actuals Summer'!A:A,'Actuals Summer'!S:S,0,0)-'Summer data team '!DN9</f>
        <v>0</v>
      </c>
      <c r="DP9" s="463">
        <f t="shared" si="2"/>
        <v>663.91000000000349</v>
      </c>
    </row>
    <row r="10" spans="1:120" ht="13" x14ac:dyDescent="0.3">
      <c r="A10" s="364">
        <v>1009</v>
      </c>
      <c r="B10" s="364">
        <v>3301009</v>
      </c>
      <c r="C10" s="364" t="s">
        <v>248</v>
      </c>
      <c r="D10" s="506">
        <v>0</v>
      </c>
      <c r="E10" s="506">
        <v>22</v>
      </c>
      <c r="F10" s="506">
        <v>5</v>
      </c>
      <c r="G10" s="506">
        <v>52</v>
      </c>
      <c r="H10" s="506">
        <v>35</v>
      </c>
      <c r="I10" s="507">
        <v>27</v>
      </c>
      <c r="J10" s="507">
        <v>87</v>
      </c>
      <c r="K10" s="506">
        <v>10</v>
      </c>
      <c r="L10" s="506">
        <v>7</v>
      </c>
      <c r="M10" s="507">
        <v>17</v>
      </c>
      <c r="N10" s="506">
        <v>0</v>
      </c>
      <c r="O10" s="506">
        <v>330</v>
      </c>
      <c r="P10" s="506">
        <v>780</v>
      </c>
      <c r="Q10" s="506">
        <v>525</v>
      </c>
      <c r="R10" s="507">
        <v>1305</v>
      </c>
      <c r="S10" s="506">
        <v>75</v>
      </c>
      <c r="T10" s="506">
        <v>405</v>
      </c>
      <c r="U10" s="506">
        <v>150</v>
      </c>
      <c r="V10" s="506">
        <v>105</v>
      </c>
      <c r="W10" s="507">
        <v>255</v>
      </c>
      <c r="X10" s="506">
        <v>47</v>
      </c>
      <c r="Y10" s="506">
        <v>705</v>
      </c>
      <c r="Z10" s="508">
        <v>120</v>
      </c>
      <c r="AA10" s="506">
        <v>3</v>
      </c>
      <c r="AB10" s="506">
        <v>45</v>
      </c>
      <c r="AC10" s="508">
        <v>30</v>
      </c>
      <c r="AD10" s="506">
        <v>5</v>
      </c>
      <c r="AE10" s="506">
        <v>75</v>
      </c>
      <c r="AF10" s="508">
        <v>30</v>
      </c>
      <c r="AG10" s="509">
        <v>16</v>
      </c>
      <c r="AH10" s="509">
        <v>240</v>
      </c>
      <c r="AI10" s="508">
        <v>0</v>
      </c>
      <c r="AJ10" s="509">
        <v>28</v>
      </c>
      <c r="AK10" s="509">
        <v>420</v>
      </c>
      <c r="AL10" s="508">
        <v>0</v>
      </c>
      <c r="AM10" s="506">
        <v>44</v>
      </c>
      <c r="AN10" s="506">
        <v>660</v>
      </c>
      <c r="AO10" s="508">
        <v>0</v>
      </c>
      <c r="AP10" s="508">
        <v>1</v>
      </c>
      <c r="AQ10" s="508">
        <f t="shared" si="3"/>
        <v>45</v>
      </c>
      <c r="AR10" s="509">
        <v>14</v>
      </c>
      <c r="AS10" s="509">
        <v>210</v>
      </c>
      <c r="AT10" s="508">
        <v>0</v>
      </c>
      <c r="AU10" s="509">
        <v>26</v>
      </c>
      <c r="AV10" s="509">
        <v>390</v>
      </c>
      <c r="AW10" s="508">
        <v>0</v>
      </c>
      <c r="AX10" s="506">
        <v>40</v>
      </c>
      <c r="AY10" s="506">
        <v>600</v>
      </c>
      <c r="AZ10" s="508">
        <v>0</v>
      </c>
      <c r="BA10" s="508"/>
      <c r="BB10" s="508">
        <f t="shared" si="4"/>
        <v>66</v>
      </c>
      <c r="BC10" s="509">
        <v>2</v>
      </c>
      <c r="BD10" s="509">
        <v>5</v>
      </c>
      <c r="BE10" s="506">
        <v>7</v>
      </c>
      <c r="BF10" s="200"/>
      <c r="BG10" s="200"/>
      <c r="BH10" s="200"/>
      <c r="BI10" s="200"/>
      <c r="BJ10" s="200"/>
      <c r="BK10" s="200"/>
      <c r="BL10" s="200"/>
      <c r="BM10" s="505">
        <f t="shared" si="5"/>
        <v>0</v>
      </c>
      <c r="BN10" s="200">
        <f t="shared" si="6"/>
        <v>4290</v>
      </c>
      <c r="BO10" s="200">
        <f t="shared" si="26"/>
        <v>975</v>
      </c>
      <c r="BP10" s="200">
        <f t="shared" si="7"/>
        <v>16965</v>
      </c>
      <c r="BQ10" s="200">
        <f t="shared" si="8"/>
        <v>3315</v>
      </c>
      <c r="BR10" s="200">
        <f t="shared" si="9"/>
        <v>10725</v>
      </c>
      <c r="BS10" s="200">
        <f t="shared" si="10"/>
        <v>975</v>
      </c>
      <c r="BT10" s="200">
        <f t="shared" si="11"/>
        <v>1365</v>
      </c>
      <c r="BU10" s="200">
        <f t="shared" si="12"/>
        <v>8580</v>
      </c>
      <c r="BV10" s="200">
        <v>40</v>
      </c>
      <c r="BW10" s="200">
        <v>0</v>
      </c>
      <c r="BX10" s="200">
        <f t="shared" si="13"/>
        <v>7</v>
      </c>
      <c r="CB10" s="381">
        <f>_xlfn.IFNA(VLOOKUP(A10,'Actuals Summer'!$A:$AG,23,FALSE),0)</f>
        <v>16965</v>
      </c>
      <c r="CC10" s="381">
        <f>_xlfn.IFNA(VLOOKUP(A10,'Actuals Summer'!$A:$AG,24,FALSE),0)</f>
        <v>3315</v>
      </c>
      <c r="CD10" s="381">
        <f>_xlfn.IFNA(VLOOKUP(A10,'Actuals Summer'!$A:$AG,25,FALSE),0)</f>
        <v>7800</v>
      </c>
      <c r="CE10" s="381">
        <f>_xlfn.IFNA(VLOOKUP(A10,'Actuals Summer'!$A:$AG,26,FALSE),0)</f>
        <v>0</v>
      </c>
      <c r="CF10" s="381">
        <f>_xlfn.IFNA(VLOOKUP(A10,'Actuals Summer'!$A:$AG,27,FALSE),0)</f>
        <v>0</v>
      </c>
      <c r="CG10" s="381">
        <f>_xlfn.IFNA(VLOOKUP(A10,'Actuals Dep Summer'!B:O,6,FALSE)*$BN$3,0)</f>
        <v>9165</v>
      </c>
      <c r="CH10" s="381">
        <f>_xlfn.IFNA(VLOOKUP(A10,'Actuals Dep Summer'!B:O,7,FALSE)*$BN$3,0)</f>
        <v>585</v>
      </c>
      <c r="CI10" s="381">
        <f>_xlfn.IFNA(VLOOKUP(A10,'Actuals Dep Summer'!B:O,8,FALSE)*$BN$3,0)</f>
        <v>975</v>
      </c>
      <c r="CJ10" s="381">
        <f>_xlfn.IFNA(VLOOKUP(A10,'Actuals Summer'!$A:$AG,31,FALSE),0)*$BN$3</f>
        <v>519.71391894370061</v>
      </c>
      <c r="CK10" s="381"/>
      <c r="CL10" s="381">
        <f>_xlfn.IFNA(VLOOKUP(A10,'Actuals Summer'!$A:$AG,32,FALSE),0)*$BN$3</f>
        <v>114075</v>
      </c>
      <c r="CM10" s="381">
        <f>_xlfn.IFNA(VLOOKUP(A10,'Actuals Summer'!$A:$AG,33,FALSE),0)</f>
        <v>0</v>
      </c>
      <c r="CP10" s="458">
        <f t="shared" si="14"/>
        <v>0</v>
      </c>
      <c r="CQ10" s="458">
        <f t="shared" si="15"/>
        <v>36507.9</v>
      </c>
      <c r="CR10" s="458">
        <f t="shared" si="0"/>
        <v>8297.25</v>
      </c>
      <c r="CS10" s="458">
        <f t="shared" si="16"/>
        <v>96021.900000000009</v>
      </c>
      <c r="CT10" s="458">
        <f t="shared" si="17"/>
        <v>18762.900000000001</v>
      </c>
      <c r="CU10" s="458">
        <f t="shared" si="18"/>
        <v>6542.25</v>
      </c>
      <c r="CV10" s="458">
        <f t="shared" si="19"/>
        <v>282.75</v>
      </c>
      <c r="CW10" s="458">
        <f t="shared" si="20"/>
        <v>109.2</v>
      </c>
      <c r="CX10" s="458">
        <f t="shared" si="21"/>
        <v>8580</v>
      </c>
      <c r="CY10" s="458">
        <f t="shared" si="22"/>
        <v>2983.1578947368421</v>
      </c>
      <c r="CZ10" s="458">
        <f t="shared" si="23"/>
        <v>0</v>
      </c>
      <c r="DA10" s="458">
        <f t="shared" si="24"/>
        <v>6566</v>
      </c>
      <c r="DB10" s="458">
        <f t="shared" si="25"/>
        <v>184653.30789473688</v>
      </c>
      <c r="DC10" s="452">
        <f>_xlfn.XLOOKUP($A10,'Actuals Summer'!$A:$A,'Actuals Summer'!L:L,0,0)</f>
        <v>0</v>
      </c>
      <c r="DD10" s="452">
        <f>_xlfn.XLOOKUP($A10,'Actuals Summer'!$A:$A,'Actuals Summer'!K:K,0,0)+_xlfn.XLOOKUP($A10,'Actuals Summer'!$A:$A,'Actuals Summer'!Q:Q,0,0)</f>
        <v>66378</v>
      </c>
      <c r="DE10" s="452">
        <f>_xlfn.XLOOKUP($A10,'Actuals Summer'!$A:$A,'Actuals Summer'!I:I,0,0)+_xlfn.XLOOKUP($A10,'Actuals Summer'!$A:$A,'Actuals Summer'!R:R,0,0)</f>
        <v>96021.900000000009</v>
      </c>
      <c r="DF10" s="452">
        <f>_xlfn.XLOOKUP($A10,'Actuals Summer'!$A:$A,'Actuals Summer'!J:J,0,0)</f>
        <v>18762.900000000001</v>
      </c>
      <c r="DG10" s="452">
        <f>_xlfn.XLOOKUP($A10,'Actuals Dep Summer'!$B:$B,'Actuals Dep Summer'!G:G,0,0)*'Actuals Dep Summer'!$F$2*'Actuals Dep Summer'!$C$2</f>
        <v>5590.65</v>
      </c>
      <c r="DH10" s="452">
        <f>_xlfn.XLOOKUP($A10,'Actuals Dep Summer'!$B:$B,'Actuals Dep Summer'!H:H,0,0)*'Actuals Dep Summer'!$F$2*'Actuals Dep Summer'!$C$3</f>
        <v>169.64999999999998</v>
      </c>
      <c r="DI10" s="452">
        <f>_xlfn.XLOOKUP($A10,'Actuals Dep Summer'!$B:$B,'Actuals Dep Summer'!I:I,0,0)*'Actuals Dep Summer'!$F$2*'Actuals Dep Summer'!$C$4</f>
        <v>78</v>
      </c>
      <c r="DJ10" s="452">
        <f>_xlfn.XLOOKUP($A10,'Actuals Summer'!$A:$A,'Actuals Summer'!P:P,0,0)</f>
        <v>8775</v>
      </c>
      <c r="DK10" s="452">
        <f>_xlfn.XLOOKUP($A10,'Actuals Summer'!$A:$A,'Actuals Summer'!O:O,0,0)</f>
        <v>2983.1578947368421</v>
      </c>
      <c r="DL10" s="452"/>
      <c r="DM10" s="452">
        <f>_xlfn.XLOOKUP($A10,'Actuals Summer'!$A:$A,'Actuals Summer'!M:M,0,0)</f>
        <v>0</v>
      </c>
      <c r="DN10" s="453">
        <f t="shared" si="1"/>
        <v>198759.25789473686</v>
      </c>
      <c r="DO10" s="453">
        <f>_xlfn.XLOOKUP(A10,'Actuals Summer'!A:A,'Actuals Summer'!S:S,0,0)-'Summer data team '!DN10</f>
        <v>0</v>
      </c>
      <c r="DP10" s="463">
        <f t="shared" si="2"/>
        <v>-14105.949999999983</v>
      </c>
    </row>
    <row r="11" spans="1:120" ht="13" x14ac:dyDescent="0.3">
      <c r="A11" s="364">
        <v>1010</v>
      </c>
      <c r="B11" s="364">
        <v>3301010</v>
      </c>
      <c r="C11" s="364" t="s">
        <v>249</v>
      </c>
      <c r="D11" s="506">
        <v>0</v>
      </c>
      <c r="E11" s="506">
        <v>38</v>
      </c>
      <c r="F11" s="506">
        <v>7</v>
      </c>
      <c r="G11" s="506">
        <v>88</v>
      </c>
      <c r="H11" s="506">
        <v>48</v>
      </c>
      <c r="I11" s="507">
        <v>45</v>
      </c>
      <c r="J11" s="507">
        <v>136</v>
      </c>
      <c r="K11" s="506">
        <v>8</v>
      </c>
      <c r="L11" s="506">
        <v>11</v>
      </c>
      <c r="M11" s="507">
        <v>19</v>
      </c>
      <c r="N11" s="506">
        <v>0</v>
      </c>
      <c r="O11" s="506">
        <v>570</v>
      </c>
      <c r="P11" s="506">
        <v>1320</v>
      </c>
      <c r="Q11" s="506">
        <v>720</v>
      </c>
      <c r="R11" s="507">
        <v>2040</v>
      </c>
      <c r="S11" s="506">
        <v>105</v>
      </c>
      <c r="T11" s="506">
        <v>675</v>
      </c>
      <c r="U11" s="506">
        <v>120</v>
      </c>
      <c r="V11" s="506">
        <v>165</v>
      </c>
      <c r="W11" s="507">
        <v>285</v>
      </c>
      <c r="X11" s="506">
        <v>8</v>
      </c>
      <c r="Y11" s="506">
        <v>120</v>
      </c>
      <c r="Z11" s="508">
        <v>0</v>
      </c>
      <c r="AA11" s="506">
        <v>36</v>
      </c>
      <c r="AB11" s="506">
        <v>540</v>
      </c>
      <c r="AC11" s="508">
        <v>30</v>
      </c>
      <c r="AD11" s="506">
        <v>129</v>
      </c>
      <c r="AE11" s="506">
        <v>1935</v>
      </c>
      <c r="AF11" s="508">
        <v>255</v>
      </c>
      <c r="AG11" s="509">
        <v>9</v>
      </c>
      <c r="AH11" s="509">
        <v>135</v>
      </c>
      <c r="AI11" s="508">
        <v>0</v>
      </c>
      <c r="AJ11" s="509">
        <v>46</v>
      </c>
      <c r="AK11" s="509">
        <v>690</v>
      </c>
      <c r="AL11" s="508">
        <v>60</v>
      </c>
      <c r="AM11" s="506">
        <v>55</v>
      </c>
      <c r="AN11" s="506">
        <v>825</v>
      </c>
      <c r="AO11" s="508">
        <v>60</v>
      </c>
      <c r="AP11" s="508"/>
      <c r="AQ11" s="508">
        <f t="shared" si="3"/>
        <v>55</v>
      </c>
      <c r="AR11" s="509">
        <v>3</v>
      </c>
      <c r="AS11" s="509">
        <v>45</v>
      </c>
      <c r="AT11" s="508">
        <v>0</v>
      </c>
      <c r="AU11" s="509">
        <v>15</v>
      </c>
      <c r="AV11" s="509">
        <v>225</v>
      </c>
      <c r="AW11" s="508">
        <v>60</v>
      </c>
      <c r="AX11" s="506">
        <v>18</v>
      </c>
      <c r="AY11" s="506">
        <v>270</v>
      </c>
      <c r="AZ11" s="508">
        <v>60</v>
      </c>
      <c r="BA11" s="508"/>
      <c r="BB11" s="508">
        <f t="shared" si="4"/>
        <v>33</v>
      </c>
      <c r="BC11" s="509">
        <v>0</v>
      </c>
      <c r="BD11" s="509">
        <v>11</v>
      </c>
      <c r="BE11" s="506">
        <v>11</v>
      </c>
      <c r="BF11" s="200"/>
      <c r="BG11" s="200"/>
      <c r="BH11" s="200"/>
      <c r="BI11" s="200"/>
      <c r="BJ11" s="200"/>
      <c r="BK11" s="200"/>
      <c r="BL11" s="200"/>
      <c r="BM11" s="505">
        <f t="shared" si="5"/>
        <v>0</v>
      </c>
      <c r="BN11" s="200">
        <f t="shared" si="6"/>
        <v>7410</v>
      </c>
      <c r="BO11" s="200">
        <f t="shared" si="26"/>
        <v>1365</v>
      </c>
      <c r="BP11" s="200">
        <f t="shared" si="7"/>
        <v>26520</v>
      </c>
      <c r="BQ11" s="200">
        <f t="shared" si="8"/>
        <v>3705</v>
      </c>
      <c r="BR11" s="200">
        <f t="shared" si="9"/>
        <v>1560</v>
      </c>
      <c r="BS11" s="200">
        <f t="shared" si="10"/>
        <v>7410</v>
      </c>
      <c r="BT11" s="200">
        <f t="shared" si="11"/>
        <v>28470</v>
      </c>
      <c r="BU11" s="200">
        <f t="shared" si="12"/>
        <v>10725</v>
      </c>
      <c r="BV11" s="200">
        <v>14</v>
      </c>
      <c r="BW11" s="200">
        <v>4</v>
      </c>
      <c r="BX11" s="200">
        <f t="shared" si="13"/>
        <v>11</v>
      </c>
      <c r="CB11" s="381">
        <f>_xlfn.IFNA(VLOOKUP(A11,'Actuals Summer'!$A:$AG,23,FALSE),0)</f>
        <v>26520</v>
      </c>
      <c r="CC11" s="381">
        <f>_xlfn.IFNA(VLOOKUP(A11,'Actuals Summer'!$A:$AG,24,FALSE),0)</f>
        <v>3705</v>
      </c>
      <c r="CD11" s="381">
        <f>_xlfn.IFNA(VLOOKUP(A11,'Actuals Summer'!$A:$AG,25,FALSE),0)</f>
        <v>9555</v>
      </c>
      <c r="CE11" s="381">
        <f>_xlfn.IFNA(VLOOKUP(A11,'Actuals Summer'!$A:$AG,26,FALSE),0)</f>
        <v>0</v>
      </c>
      <c r="CF11" s="381">
        <f>_xlfn.IFNA(VLOOKUP(A11,'Actuals Summer'!$A:$AG,27,FALSE),0)</f>
        <v>0</v>
      </c>
      <c r="CG11" s="381">
        <f>_xlfn.IFNA(VLOOKUP(A11,'Actuals Dep Summer'!B:O,6,FALSE)*$BN$3,0)</f>
        <v>1560</v>
      </c>
      <c r="CH11" s="381">
        <f>_xlfn.IFNA(VLOOKUP(A11,'Actuals Dep Summer'!B:O,7,FALSE)*$BN$3,0)</f>
        <v>7020</v>
      </c>
      <c r="CI11" s="381">
        <f>_xlfn.IFNA(VLOOKUP(A11,'Actuals Dep Summer'!B:O,8,FALSE)*$BN$3,0)</f>
        <v>25155</v>
      </c>
      <c r="CJ11" s="381">
        <f>_xlfn.IFNA(VLOOKUP(A11,'Actuals Summer'!$A:$AG,31,FALSE),0)*$BN$3</f>
        <v>233.87126352466532</v>
      </c>
      <c r="CK11" s="381"/>
      <c r="CL11" s="381">
        <f>_xlfn.IFNA(VLOOKUP(A11,'Actuals Summer'!$A:$AG,32,FALSE),0)*$BN$3</f>
        <v>139425</v>
      </c>
      <c r="CM11" s="381">
        <f>_xlfn.IFNA(VLOOKUP(A11,'Actuals Summer'!$A:$AG,33,FALSE),0)</f>
        <v>10.999837625061506</v>
      </c>
      <c r="CP11" s="458">
        <f t="shared" si="14"/>
        <v>0</v>
      </c>
      <c r="CQ11" s="458">
        <f t="shared" si="15"/>
        <v>63059.1</v>
      </c>
      <c r="CR11" s="458">
        <f t="shared" si="0"/>
        <v>11616.15</v>
      </c>
      <c r="CS11" s="458">
        <f t="shared" si="16"/>
        <v>150103.20000000001</v>
      </c>
      <c r="CT11" s="458">
        <f t="shared" si="17"/>
        <v>20970.3</v>
      </c>
      <c r="CU11" s="458">
        <f t="shared" si="18"/>
        <v>951.6</v>
      </c>
      <c r="CV11" s="458">
        <f t="shared" si="19"/>
        <v>2148.8999999999996</v>
      </c>
      <c r="CW11" s="458">
        <f t="shared" si="20"/>
        <v>2277.6</v>
      </c>
      <c r="CX11" s="458">
        <f t="shared" si="21"/>
        <v>10725</v>
      </c>
      <c r="CY11" s="458">
        <f t="shared" si="22"/>
        <v>1044.1052631578946</v>
      </c>
      <c r="CZ11" s="458">
        <f t="shared" si="23"/>
        <v>745.78947368421052</v>
      </c>
      <c r="DA11" s="458">
        <f t="shared" si="24"/>
        <v>10318</v>
      </c>
      <c r="DB11" s="458">
        <f t="shared" si="25"/>
        <v>273959.74473684211</v>
      </c>
      <c r="DC11" s="452">
        <f>_xlfn.XLOOKUP($A11,'Actuals Summer'!$A:$A,'Actuals Summer'!L:L,0,0)</f>
        <v>0</v>
      </c>
      <c r="DD11" s="452">
        <f>_xlfn.XLOOKUP($A11,'Actuals Summer'!$A:$A,'Actuals Summer'!K:K,0,0)+_xlfn.XLOOKUP($A11,'Actuals Summer'!$A:$A,'Actuals Summer'!Q:Q,0,0)</f>
        <v>81313.05</v>
      </c>
      <c r="DE11" s="452">
        <f>_xlfn.XLOOKUP($A11,'Actuals Summer'!$A:$A,'Actuals Summer'!I:I,0,0)+_xlfn.XLOOKUP($A11,'Actuals Summer'!$A:$A,'Actuals Summer'!R:R,0,0)</f>
        <v>150103.20000000001</v>
      </c>
      <c r="DF11" s="452">
        <f>_xlfn.XLOOKUP($A11,'Actuals Summer'!$A:$A,'Actuals Summer'!J:J,0,0)</f>
        <v>20970.3</v>
      </c>
      <c r="DG11" s="452">
        <f>_xlfn.XLOOKUP($A11,'Actuals Dep Summer'!$B:$B,'Actuals Dep Summer'!G:G,0,0)*'Actuals Dep Summer'!$F$2*'Actuals Dep Summer'!$C$2</f>
        <v>951.6</v>
      </c>
      <c r="DH11" s="452">
        <f>_xlfn.XLOOKUP($A11,'Actuals Dep Summer'!$B:$B,'Actuals Dep Summer'!H:H,0,0)*'Actuals Dep Summer'!$F$2*'Actuals Dep Summer'!$C$3</f>
        <v>2035.8</v>
      </c>
      <c r="DI11" s="452">
        <f>_xlfn.XLOOKUP($A11,'Actuals Dep Summer'!$B:$B,'Actuals Dep Summer'!I:I,0,0)*'Actuals Dep Summer'!$F$2*'Actuals Dep Summer'!$C$4</f>
        <v>2012.4</v>
      </c>
      <c r="DJ11" s="452">
        <f>_xlfn.XLOOKUP($A11,'Actuals Summer'!$A:$A,'Actuals Summer'!P:P,0,0)</f>
        <v>10725</v>
      </c>
      <c r="DK11" s="452">
        <f>_xlfn.XLOOKUP($A11,'Actuals Summer'!$A:$A,'Actuals Summer'!O:O,0,0)</f>
        <v>1342.421052631579</v>
      </c>
      <c r="DL11" s="452"/>
      <c r="DM11" s="452">
        <f>_xlfn.XLOOKUP($A11,'Actuals Summer'!$A:$A,'Actuals Summer'!M:M,0,0)</f>
        <v>3529.79</v>
      </c>
      <c r="DN11" s="453">
        <f t="shared" si="1"/>
        <v>272983.56105263153</v>
      </c>
      <c r="DO11" s="453">
        <f>_xlfn.XLOOKUP(A11,'Actuals Summer'!A:A,'Actuals Summer'!S:S,0,0)-'Summer data team '!DN11</f>
        <v>0</v>
      </c>
      <c r="DP11" s="463">
        <f t="shared" si="2"/>
        <v>976.18368421058403</v>
      </c>
    </row>
    <row r="12" spans="1:120" ht="13" x14ac:dyDescent="0.3">
      <c r="A12" s="364">
        <v>1012</v>
      </c>
      <c r="B12" s="364">
        <v>3301012</v>
      </c>
      <c r="C12" s="364" t="s">
        <v>109</v>
      </c>
      <c r="D12" s="506">
        <v>0</v>
      </c>
      <c r="E12" s="506">
        <v>21</v>
      </c>
      <c r="F12" s="506">
        <v>6</v>
      </c>
      <c r="G12" s="506">
        <v>65</v>
      </c>
      <c r="H12" s="506">
        <v>48</v>
      </c>
      <c r="I12" s="507">
        <v>27</v>
      </c>
      <c r="J12" s="507">
        <v>113</v>
      </c>
      <c r="K12" s="506">
        <v>14</v>
      </c>
      <c r="L12" s="506">
        <v>11</v>
      </c>
      <c r="M12" s="507">
        <v>25</v>
      </c>
      <c r="N12" s="506">
        <v>0</v>
      </c>
      <c r="O12" s="506">
        <v>315</v>
      </c>
      <c r="P12" s="506">
        <v>960</v>
      </c>
      <c r="Q12" s="506">
        <v>720</v>
      </c>
      <c r="R12" s="507">
        <v>1680</v>
      </c>
      <c r="S12" s="506">
        <v>90</v>
      </c>
      <c r="T12" s="506">
        <v>405</v>
      </c>
      <c r="U12" s="506">
        <v>210</v>
      </c>
      <c r="V12" s="506">
        <v>159</v>
      </c>
      <c r="W12" s="507">
        <v>369</v>
      </c>
      <c r="X12" s="506">
        <v>21</v>
      </c>
      <c r="Y12" s="506">
        <v>315</v>
      </c>
      <c r="Z12" s="508">
        <v>30</v>
      </c>
      <c r="AA12" s="506">
        <v>31</v>
      </c>
      <c r="AB12" s="506">
        <v>450</v>
      </c>
      <c r="AC12" s="508">
        <v>90</v>
      </c>
      <c r="AD12" s="506">
        <v>21</v>
      </c>
      <c r="AE12" s="506">
        <v>315</v>
      </c>
      <c r="AF12" s="508">
        <v>60</v>
      </c>
      <c r="AG12" s="509">
        <v>15</v>
      </c>
      <c r="AH12" s="509">
        <v>225</v>
      </c>
      <c r="AI12" s="508">
        <v>0</v>
      </c>
      <c r="AJ12" s="509">
        <v>55</v>
      </c>
      <c r="AK12" s="509">
        <v>825</v>
      </c>
      <c r="AL12" s="508">
        <v>135</v>
      </c>
      <c r="AM12" s="506">
        <v>70</v>
      </c>
      <c r="AN12" s="506">
        <v>1050</v>
      </c>
      <c r="AO12" s="508">
        <v>135</v>
      </c>
      <c r="AP12" s="508"/>
      <c r="AQ12" s="508">
        <f t="shared" si="3"/>
        <v>70</v>
      </c>
      <c r="AR12" s="509">
        <v>0</v>
      </c>
      <c r="AS12" s="509">
        <v>0</v>
      </c>
      <c r="AT12" s="508">
        <v>0</v>
      </c>
      <c r="AU12" s="509">
        <v>0</v>
      </c>
      <c r="AV12" s="509">
        <v>0</v>
      </c>
      <c r="AW12" s="508">
        <v>0</v>
      </c>
      <c r="AX12" s="506">
        <v>0</v>
      </c>
      <c r="AY12" s="506">
        <v>0</v>
      </c>
      <c r="AZ12" s="508">
        <v>0</v>
      </c>
      <c r="BA12" s="508"/>
      <c r="BB12" s="508">
        <f t="shared" si="4"/>
        <v>0</v>
      </c>
      <c r="BC12" s="509">
        <v>1</v>
      </c>
      <c r="BD12" s="509">
        <v>2</v>
      </c>
      <c r="BE12" s="506">
        <v>3</v>
      </c>
      <c r="BF12" s="200"/>
      <c r="BG12" s="200"/>
      <c r="BH12" s="200"/>
      <c r="BI12" s="200"/>
      <c r="BJ12" s="200"/>
      <c r="BK12" s="200"/>
      <c r="BL12" s="200"/>
      <c r="BM12" s="505">
        <f t="shared" si="5"/>
        <v>0</v>
      </c>
      <c r="BN12" s="200">
        <f t="shared" si="6"/>
        <v>4095</v>
      </c>
      <c r="BO12" s="200">
        <f t="shared" si="26"/>
        <v>1170</v>
      </c>
      <c r="BP12" s="200">
        <f t="shared" si="7"/>
        <v>21840</v>
      </c>
      <c r="BQ12" s="200">
        <f t="shared" si="8"/>
        <v>4797</v>
      </c>
      <c r="BR12" s="200">
        <f t="shared" si="9"/>
        <v>4485</v>
      </c>
      <c r="BS12" s="200">
        <f t="shared" si="10"/>
        <v>7020</v>
      </c>
      <c r="BT12" s="200">
        <f t="shared" si="11"/>
        <v>4875</v>
      </c>
      <c r="BU12" s="200">
        <f t="shared" si="12"/>
        <v>13650</v>
      </c>
      <c r="BV12" s="200">
        <v>0</v>
      </c>
      <c r="BW12" s="200">
        <v>0</v>
      </c>
      <c r="BX12" s="200">
        <f t="shared" si="13"/>
        <v>3</v>
      </c>
      <c r="CB12" s="381">
        <f>_xlfn.IFNA(VLOOKUP(A12,'Actuals Summer'!$A:$AG,23,FALSE),0)</f>
        <v>21840</v>
      </c>
      <c r="CC12" s="381">
        <f>_xlfn.IFNA(VLOOKUP(A12,'Actuals Summer'!$A:$AG,24,FALSE),0)</f>
        <v>4797</v>
      </c>
      <c r="CD12" s="381">
        <f>_xlfn.IFNA(VLOOKUP(A12,'Actuals Summer'!$A:$AG,25,FALSE),0)</f>
        <v>4680</v>
      </c>
      <c r="CE12" s="381">
        <f>_xlfn.IFNA(VLOOKUP(A12,'Actuals Summer'!$A:$AG,26,FALSE),0)</f>
        <v>0</v>
      </c>
      <c r="CF12" s="381">
        <f>_xlfn.IFNA(VLOOKUP(A12,'Actuals Summer'!$A:$AG,27,FALSE),0)</f>
        <v>0</v>
      </c>
      <c r="CG12" s="381">
        <f>_xlfn.IFNA(VLOOKUP(A12,'Actuals Dep Summer'!B:O,6,FALSE)*$BN$3,0)</f>
        <v>4095</v>
      </c>
      <c r="CH12" s="381">
        <f>_xlfn.IFNA(VLOOKUP(A12,'Actuals Dep Summer'!B:O,7,FALSE)*$BN$3,0)</f>
        <v>5850</v>
      </c>
      <c r="CI12" s="381">
        <f>_xlfn.IFNA(VLOOKUP(A12,'Actuals Dep Summer'!B:O,8,FALSE)*$BN$3,0)</f>
        <v>4095</v>
      </c>
      <c r="CJ12" s="381">
        <f>_xlfn.IFNA(VLOOKUP(A12,'Actuals Summer'!$A:$AG,31,FALSE),0)*$BN$3</f>
        <v>0</v>
      </c>
      <c r="CK12" s="381"/>
      <c r="CL12" s="381">
        <f>_xlfn.IFNA(VLOOKUP(A12,'Actuals Summer'!$A:$AG,32,FALSE),0)*$BN$3</f>
        <v>177450</v>
      </c>
      <c r="CM12" s="381">
        <f>_xlfn.IFNA(VLOOKUP(A12,'Actuals Summer'!$A:$AG,33,FALSE),0)</f>
        <v>2.9999557159258652</v>
      </c>
      <c r="CP12" s="458">
        <f t="shared" si="14"/>
        <v>0</v>
      </c>
      <c r="CQ12" s="458">
        <f t="shared" si="15"/>
        <v>34848.449999999997</v>
      </c>
      <c r="CR12" s="458">
        <f t="shared" si="0"/>
        <v>9956.6999999999989</v>
      </c>
      <c r="CS12" s="458">
        <f t="shared" si="16"/>
        <v>123614.40000000001</v>
      </c>
      <c r="CT12" s="458">
        <f t="shared" si="17"/>
        <v>27151.02</v>
      </c>
      <c r="CU12" s="458">
        <f t="shared" si="18"/>
        <v>2735.85</v>
      </c>
      <c r="CV12" s="458">
        <f t="shared" si="19"/>
        <v>2035.8</v>
      </c>
      <c r="CW12" s="458">
        <f t="shared" si="20"/>
        <v>390</v>
      </c>
      <c r="CX12" s="458">
        <f t="shared" si="21"/>
        <v>13650</v>
      </c>
      <c r="CY12" s="458">
        <f t="shared" si="22"/>
        <v>0</v>
      </c>
      <c r="CZ12" s="458">
        <f t="shared" si="23"/>
        <v>0</v>
      </c>
      <c r="DA12" s="458">
        <f t="shared" si="24"/>
        <v>2814</v>
      </c>
      <c r="DB12" s="458">
        <f t="shared" si="25"/>
        <v>217196.21999999997</v>
      </c>
      <c r="DC12" s="452">
        <f>_xlfn.XLOOKUP($A12,'Actuals Summer'!$A:$A,'Actuals Summer'!L:L,0,0)</f>
        <v>0</v>
      </c>
      <c r="DD12" s="452">
        <f>_xlfn.XLOOKUP($A12,'Actuals Summer'!$A:$A,'Actuals Summer'!K:K,0,0)+_xlfn.XLOOKUP($A12,'Actuals Summer'!$A:$A,'Actuals Summer'!Q:Q,0,0)</f>
        <v>39826.799999999996</v>
      </c>
      <c r="DE12" s="452">
        <f>_xlfn.XLOOKUP($A12,'Actuals Summer'!$A:$A,'Actuals Summer'!I:I,0,0)+_xlfn.XLOOKUP($A12,'Actuals Summer'!$A:$A,'Actuals Summer'!R:R,0,0)</f>
        <v>123614.40000000001</v>
      </c>
      <c r="DF12" s="452">
        <f>_xlfn.XLOOKUP($A12,'Actuals Summer'!$A:$A,'Actuals Summer'!J:J,0,0)</f>
        <v>27151.02</v>
      </c>
      <c r="DG12" s="452">
        <f>_xlfn.XLOOKUP($A12,'Actuals Dep Summer'!$B:$B,'Actuals Dep Summer'!G:G,0,0)*'Actuals Dep Summer'!$F$2*'Actuals Dep Summer'!$C$2</f>
        <v>2497.9499999999998</v>
      </c>
      <c r="DH12" s="452">
        <f>_xlfn.XLOOKUP($A12,'Actuals Dep Summer'!$B:$B,'Actuals Dep Summer'!H:H,0,0)*'Actuals Dep Summer'!$F$2*'Actuals Dep Summer'!$C$3</f>
        <v>1696.4999999999998</v>
      </c>
      <c r="DI12" s="452">
        <f>_xlfn.XLOOKUP($A12,'Actuals Dep Summer'!$B:$B,'Actuals Dep Summer'!I:I,0,0)*'Actuals Dep Summer'!$F$2*'Actuals Dep Summer'!$C$4</f>
        <v>327.60000000000002</v>
      </c>
      <c r="DJ12" s="452">
        <f>_xlfn.XLOOKUP($A12,'Actuals Summer'!$A:$A,'Actuals Summer'!P:P,0,0)</f>
        <v>13650</v>
      </c>
      <c r="DK12" s="452">
        <f>_xlfn.XLOOKUP($A12,'Actuals Summer'!$A:$A,'Actuals Summer'!O:O,0,0)</f>
        <v>0</v>
      </c>
      <c r="DL12" s="452"/>
      <c r="DM12" s="452">
        <f>_xlfn.XLOOKUP($A12,'Actuals Summer'!$A:$A,'Actuals Summer'!M:M,0,0)</f>
        <v>962.67</v>
      </c>
      <c r="DN12" s="453">
        <f t="shared" si="1"/>
        <v>209726.94000000003</v>
      </c>
      <c r="DO12" s="453">
        <f>_xlfn.XLOOKUP(A12,'Actuals Summer'!A:A,'Actuals Summer'!S:S,0,0)-'Summer data team '!DN12</f>
        <v>0</v>
      </c>
      <c r="DP12" s="463">
        <f t="shared" si="2"/>
        <v>7469.2799999999406</v>
      </c>
    </row>
    <row r="13" spans="1:120" ht="13" x14ac:dyDescent="0.3">
      <c r="A13" s="364">
        <v>1014</v>
      </c>
      <c r="B13" s="364">
        <v>3301014</v>
      </c>
      <c r="C13" s="364" t="s">
        <v>167</v>
      </c>
      <c r="D13" s="506">
        <v>0</v>
      </c>
      <c r="E13" s="506">
        <v>21</v>
      </c>
      <c r="F13" s="506">
        <v>1</v>
      </c>
      <c r="G13" s="506">
        <v>65</v>
      </c>
      <c r="H13" s="506">
        <v>32</v>
      </c>
      <c r="I13" s="507">
        <v>22</v>
      </c>
      <c r="J13" s="507">
        <v>97</v>
      </c>
      <c r="K13" s="506">
        <v>18</v>
      </c>
      <c r="L13" s="506">
        <v>9</v>
      </c>
      <c r="M13" s="507">
        <v>27</v>
      </c>
      <c r="N13" s="506">
        <v>0</v>
      </c>
      <c r="O13" s="506">
        <v>315</v>
      </c>
      <c r="P13" s="506">
        <v>975</v>
      </c>
      <c r="Q13" s="506">
        <v>450</v>
      </c>
      <c r="R13" s="507">
        <v>1425</v>
      </c>
      <c r="S13" s="506">
        <v>15</v>
      </c>
      <c r="T13" s="506">
        <v>330</v>
      </c>
      <c r="U13" s="506">
        <v>270</v>
      </c>
      <c r="V13" s="506">
        <v>135</v>
      </c>
      <c r="W13" s="507">
        <v>405</v>
      </c>
      <c r="X13" s="506">
        <v>40</v>
      </c>
      <c r="Y13" s="506">
        <v>600</v>
      </c>
      <c r="Z13" s="508">
        <v>75</v>
      </c>
      <c r="AA13" s="506">
        <v>26</v>
      </c>
      <c r="AB13" s="506">
        <v>375</v>
      </c>
      <c r="AC13" s="508">
        <v>75</v>
      </c>
      <c r="AD13" s="506">
        <v>17</v>
      </c>
      <c r="AE13" s="506">
        <v>255</v>
      </c>
      <c r="AF13" s="508">
        <v>15</v>
      </c>
      <c r="AG13" s="509">
        <v>19</v>
      </c>
      <c r="AH13" s="509">
        <v>285</v>
      </c>
      <c r="AI13" s="508">
        <v>0</v>
      </c>
      <c r="AJ13" s="509">
        <v>49</v>
      </c>
      <c r="AK13" s="509">
        <v>735</v>
      </c>
      <c r="AL13" s="508">
        <v>75</v>
      </c>
      <c r="AM13" s="506">
        <v>68</v>
      </c>
      <c r="AN13" s="506">
        <v>1020</v>
      </c>
      <c r="AO13" s="508">
        <v>75</v>
      </c>
      <c r="AP13" s="508"/>
      <c r="AQ13" s="508">
        <f t="shared" si="3"/>
        <v>68</v>
      </c>
      <c r="AR13" s="509">
        <v>0</v>
      </c>
      <c r="AS13" s="509">
        <v>0</v>
      </c>
      <c r="AT13" s="508">
        <v>0</v>
      </c>
      <c r="AU13" s="509">
        <v>29</v>
      </c>
      <c r="AV13" s="509">
        <v>435</v>
      </c>
      <c r="AW13" s="508">
        <v>60</v>
      </c>
      <c r="AX13" s="506">
        <v>29</v>
      </c>
      <c r="AY13" s="506">
        <v>435</v>
      </c>
      <c r="AZ13" s="508">
        <v>60</v>
      </c>
      <c r="BA13" s="508"/>
      <c r="BB13" s="508">
        <f t="shared" si="4"/>
        <v>58</v>
      </c>
      <c r="BC13" s="509">
        <v>1</v>
      </c>
      <c r="BD13" s="509">
        <v>5</v>
      </c>
      <c r="BE13" s="506">
        <v>6</v>
      </c>
      <c r="BF13" s="200"/>
      <c r="BG13" s="200"/>
      <c r="BH13" s="200"/>
      <c r="BI13" s="200"/>
      <c r="BJ13" s="200"/>
      <c r="BK13" s="200"/>
      <c r="BL13" s="200"/>
      <c r="BM13" s="505">
        <f t="shared" si="5"/>
        <v>0</v>
      </c>
      <c r="BN13" s="200">
        <f t="shared" si="6"/>
        <v>4095</v>
      </c>
      <c r="BO13" s="200">
        <f t="shared" si="26"/>
        <v>195</v>
      </c>
      <c r="BP13" s="200">
        <f t="shared" si="7"/>
        <v>18525</v>
      </c>
      <c r="BQ13" s="200">
        <f t="shared" si="8"/>
        <v>5265</v>
      </c>
      <c r="BR13" s="200">
        <f t="shared" si="9"/>
        <v>8775</v>
      </c>
      <c r="BS13" s="200">
        <f t="shared" si="10"/>
        <v>5850</v>
      </c>
      <c r="BT13" s="200">
        <f t="shared" si="11"/>
        <v>3510</v>
      </c>
      <c r="BU13" s="200">
        <f t="shared" si="12"/>
        <v>13260</v>
      </c>
      <c r="BV13" s="200">
        <v>25</v>
      </c>
      <c r="BW13" s="200">
        <v>4</v>
      </c>
      <c r="BX13" s="200">
        <f t="shared" si="13"/>
        <v>6</v>
      </c>
      <c r="CB13" s="381">
        <f>_xlfn.IFNA(VLOOKUP(A13,'Actuals Summer'!$A:$AG,23,FALSE),0)</f>
        <v>18525</v>
      </c>
      <c r="CC13" s="381">
        <f>_xlfn.IFNA(VLOOKUP(A13,'Actuals Summer'!$A:$AG,24,FALSE),0)</f>
        <v>5265</v>
      </c>
      <c r="CD13" s="381">
        <f>_xlfn.IFNA(VLOOKUP(A13,'Actuals Summer'!$A:$AG,25,FALSE),0)</f>
        <v>4680</v>
      </c>
      <c r="CE13" s="381">
        <f>_xlfn.IFNA(VLOOKUP(A13,'Actuals Summer'!$A:$AG,26,FALSE),0)</f>
        <v>0</v>
      </c>
      <c r="CF13" s="381">
        <f>_xlfn.IFNA(VLOOKUP(A13,'Actuals Summer'!$A:$AG,27,FALSE),0)</f>
        <v>0</v>
      </c>
      <c r="CG13" s="381">
        <f>_xlfn.IFNA(VLOOKUP(A13,'Actuals Dep Summer'!B:O,6,FALSE)*$BN$3,0)</f>
        <v>7800</v>
      </c>
      <c r="CH13" s="381">
        <f>_xlfn.IFNA(VLOOKUP(A13,'Actuals Dep Summer'!B:O,7,FALSE)*$BN$3,0)</f>
        <v>4875</v>
      </c>
      <c r="CI13" s="381">
        <f>_xlfn.IFNA(VLOOKUP(A13,'Actuals Dep Summer'!B:O,8,FALSE)*$BN$3,0)</f>
        <v>3315</v>
      </c>
      <c r="CJ13" s="381">
        <f>_xlfn.IFNA(VLOOKUP(A13,'Actuals Summer'!$A:$AG,31,FALSE),0)*$BN$3</f>
        <v>376.79259123418296</v>
      </c>
      <c r="CK13" s="381"/>
      <c r="CL13" s="381">
        <f>_xlfn.IFNA(VLOOKUP(A13,'Actuals Summer'!$A:$AG,32,FALSE),0)*$BN$3</f>
        <v>172380</v>
      </c>
      <c r="CM13" s="381">
        <f>_xlfn.IFNA(VLOOKUP(A13,'Actuals Summer'!$A:$AG,33,FALSE),0)</f>
        <v>5.9999114318517304</v>
      </c>
      <c r="CP13" s="458">
        <f t="shared" si="14"/>
        <v>0</v>
      </c>
      <c r="CQ13" s="458">
        <f t="shared" si="15"/>
        <v>34848.449999999997</v>
      </c>
      <c r="CR13" s="458">
        <f t="shared" si="0"/>
        <v>1659.45</v>
      </c>
      <c r="CS13" s="458">
        <f t="shared" si="16"/>
        <v>104851.5</v>
      </c>
      <c r="CT13" s="458">
        <f t="shared" si="17"/>
        <v>29799.9</v>
      </c>
      <c r="CU13" s="458">
        <f t="shared" si="18"/>
        <v>5352.75</v>
      </c>
      <c r="CV13" s="458">
        <f t="shared" si="19"/>
        <v>1696.4999999999998</v>
      </c>
      <c r="CW13" s="458">
        <f t="shared" si="20"/>
        <v>280.8</v>
      </c>
      <c r="CX13" s="458">
        <f t="shared" si="21"/>
        <v>13260</v>
      </c>
      <c r="CY13" s="458">
        <f t="shared" si="22"/>
        <v>1864.473684210526</v>
      </c>
      <c r="CZ13" s="458">
        <f t="shared" si="23"/>
        <v>745.78947368421052</v>
      </c>
      <c r="DA13" s="458">
        <f t="shared" si="24"/>
        <v>5628</v>
      </c>
      <c r="DB13" s="458">
        <f t="shared" si="25"/>
        <v>199987.61315789472</v>
      </c>
      <c r="DC13" s="452">
        <f>_xlfn.XLOOKUP($A13,'Actuals Summer'!$A:$A,'Actuals Summer'!L:L,0,0)</f>
        <v>0</v>
      </c>
      <c r="DD13" s="452">
        <f>_xlfn.XLOOKUP($A13,'Actuals Summer'!$A:$A,'Actuals Summer'!K:K,0,0)+_xlfn.XLOOKUP($A13,'Actuals Summer'!$A:$A,'Actuals Summer'!Q:Q,0,0)</f>
        <v>39826.799999999996</v>
      </c>
      <c r="DE13" s="452">
        <f>_xlfn.XLOOKUP($A13,'Actuals Summer'!$A:$A,'Actuals Summer'!I:I,0,0)+_xlfn.XLOOKUP($A13,'Actuals Summer'!$A:$A,'Actuals Summer'!R:R,0,0)</f>
        <v>104851.5</v>
      </c>
      <c r="DF13" s="452">
        <f>_xlfn.XLOOKUP($A13,'Actuals Summer'!$A:$A,'Actuals Summer'!J:J,0,0)</f>
        <v>29799.9</v>
      </c>
      <c r="DG13" s="452">
        <f>_xlfn.XLOOKUP($A13,'Actuals Dep Summer'!$B:$B,'Actuals Dep Summer'!G:G,0,0)*'Actuals Dep Summer'!$F$2*'Actuals Dep Summer'!$C$2</f>
        <v>4758</v>
      </c>
      <c r="DH13" s="452">
        <f>_xlfn.XLOOKUP($A13,'Actuals Dep Summer'!$B:$B,'Actuals Dep Summer'!H:H,0,0)*'Actuals Dep Summer'!$F$2*'Actuals Dep Summer'!$C$3</f>
        <v>1413.75</v>
      </c>
      <c r="DI13" s="452">
        <f>_xlfn.XLOOKUP($A13,'Actuals Dep Summer'!$B:$B,'Actuals Dep Summer'!I:I,0,0)*'Actuals Dep Summer'!$F$2*'Actuals Dep Summer'!$C$4</f>
        <v>265.2</v>
      </c>
      <c r="DJ13" s="452">
        <f>_xlfn.XLOOKUP($A13,'Actuals Summer'!$A:$A,'Actuals Summer'!P:P,0,0)</f>
        <v>13260</v>
      </c>
      <c r="DK13" s="452">
        <f>_xlfn.XLOOKUP($A13,'Actuals Summer'!$A:$A,'Actuals Summer'!O:O,0,0)</f>
        <v>2162.7894736842104</v>
      </c>
      <c r="DL13" s="452"/>
      <c r="DM13" s="452">
        <f>_xlfn.XLOOKUP($A13,'Actuals Summer'!$A:$A,'Actuals Summer'!M:M,0,0)</f>
        <v>1925.34</v>
      </c>
      <c r="DN13" s="453">
        <f t="shared" si="1"/>
        <v>198263.2794736842</v>
      </c>
      <c r="DO13" s="453">
        <f>_xlfn.XLOOKUP(A13,'Actuals Summer'!A:A,'Actuals Summer'!S:S,0,0)-'Summer data team '!DN13</f>
        <v>0</v>
      </c>
      <c r="DP13" s="463">
        <f t="shared" si="2"/>
        <v>1724.33368421052</v>
      </c>
    </row>
    <row r="14" spans="1:120" ht="13" x14ac:dyDescent="0.3">
      <c r="A14" s="364">
        <v>1015</v>
      </c>
      <c r="B14" s="364">
        <v>3301015</v>
      </c>
      <c r="C14" s="364" t="s">
        <v>250</v>
      </c>
      <c r="D14" s="506">
        <v>0</v>
      </c>
      <c r="E14" s="506">
        <v>6</v>
      </c>
      <c r="F14" s="506">
        <v>5</v>
      </c>
      <c r="G14" s="506">
        <v>58</v>
      </c>
      <c r="H14" s="506">
        <v>35</v>
      </c>
      <c r="I14" s="507">
        <v>11</v>
      </c>
      <c r="J14" s="507">
        <v>93</v>
      </c>
      <c r="K14" s="506">
        <v>18</v>
      </c>
      <c r="L14" s="506">
        <v>22</v>
      </c>
      <c r="M14" s="507">
        <v>40</v>
      </c>
      <c r="N14" s="506">
        <v>0</v>
      </c>
      <c r="O14" s="506">
        <v>90</v>
      </c>
      <c r="P14" s="506">
        <v>870</v>
      </c>
      <c r="Q14" s="506">
        <v>525</v>
      </c>
      <c r="R14" s="507">
        <v>1395</v>
      </c>
      <c r="S14" s="506">
        <v>75</v>
      </c>
      <c r="T14" s="506">
        <v>165</v>
      </c>
      <c r="U14" s="506">
        <v>270</v>
      </c>
      <c r="V14" s="506">
        <v>330</v>
      </c>
      <c r="W14" s="507">
        <v>600</v>
      </c>
      <c r="X14" s="506">
        <v>10</v>
      </c>
      <c r="Y14" s="506">
        <v>150</v>
      </c>
      <c r="Z14" s="508">
        <v>60</v>
      </c>
      <c r="AA14" s="506">
        <v>10</v>
      </c>
      <c r="AB14" s="506">
        <v>150</v>
      </c>
      <c r="AC14" s="508">
        <v>75</v>
      </c>
      <c r="AD14" s="506">
        <v>6</v>
      </c>
      <c r="AE14" s="506">
        <v>90</v>
      </c>
      <c r="AF14" s="508">
        <v>30</v>
      </c>
      <c r="AG14" s="509">
        <v>6</v>
      </c>
      <c r="AH14" s="509">
        <v>90</v>
      </c>
      <c r="AI14" s="508">
        <v>0</v>
      </c>
      <c r="AJ14" s="509">
        <v>40</v>
      </c>
      <c r="AK14" s="509">
        <v>600</v>
      </c>
      <c r="AL14" s="508">
        <v>120</v>
      </c>
      <c r="AM14" s="506">
        <v>46</v>
      </c>
      <c r="AN14" s="506">
        <v>690</v>
      </c>
      <c r="AO14" s="508">
        <v>120</v>
      </c>
      <c r="AP14" s="508"/>
      <c r="AQ14" s="508">
        <f t="shared" si="3"/>
        <v>46</v>
      </c>
      <c r="AR14" s="509">
        <v>6</v>
      </c>
      <c r="AS14" s="509">
        <v>90</v>
      </c>
      <c r="AT14" s="508">
        <v>0</v>
      </c>
      <c r="AU14" s="509">
        <v>40</v>
      </c>
      <c r="AV14" s="509">
        <v>600</v>
      </c>
      <c r="AW14" s="508">
        <v>120</v>
      </c>
      <c r="AX14" s="506">
        <v>46</v>
      </c>
      <c r="AY14" s="506">
        <v>690</v>
      </c>
      <c r="AZ14" s="508">
        <v>120</v>
      </c>
      <c r="BA14" s="508"/>
      <c r="BB14" s="508">
        <f t="shared" si="4"/>
        <v>86</v>
      </c>
      <c r="BC14" s="509">
        <v>0</v>
      </c>
      <c r="BD14" s="509">
        <v>10</v>
      </c>
      <c r="BE14" s="506">
        <v>10</v>
      </c>
      <c r="BF14" s="200"/>
      <c r="BG14" s="200"/>
      <c r="BH14" s="200"/>
      <c r="BI14" s="200"/>
      <c r="BJ14" s="200"/>
      <c r="BK14" s="200"/>
      <c r="BL14" s="200"/>
      <c r="BM14" s="505">
        <f t="shared" si="5"/>
        <v>0</v>
      </c>
      <c r="BN14" s="200">
        <f t="shared" si="6"/>
        <v>1170</v>
      </c>
      <c r="BO14" s="200">
        <f t="shared" si="26"/>
        <v>975</v>
      </c>
      <c r="BP14" s="200">
        <f t="shared" si="7"/>
        <v>18135</v>
      </c>
      <c r="BQ14" s="200">
        <f t="shared" si="8"/>
        <v>7800</v>
      </c>
      <c r="BR14" s="200">
        <f t="shared" si="9"/>
        <v>2730</v>
      </c>
      <c r="BS14" s="200">
        <f t="shared" si="10"/>
        <v>2925</v>
      </c>
      <c r="BT14" s="200">
        <f t="shared" si="11"/>
        <v>1560</v>
      </c>
      <c r="BU14" s="200">
        <f t="shared" si="12"/>
        <v>8970</v>
      </c>
      <c r="BV14" s="200">
        <v>38</v>
      </c>
      <c r="BW14" s="200">
        <v>8</v>
      </c>
      <c r="BX14" s="200">
        <f t="shared" si="13"/>
        <v>10</v>
      </c>
      <c r="CB14" s="381">
        <f>_xlfn.IFNA(VLOOKUP(A14,'Actuals Summer'!$A:$AG,23,FALSE),0)</f>
        <v>18135</v>
      </c>
      <c r="CC14" s="381">
        <f>_xlfn.IFNA(VLOOKUP(A14,'Actuals Summer'!$A:$AG,24,FALSE),0)</f>
        <v>7800</v>
      </c>
      <c r="CD14" s="381">
        <f>_xlfn.IFNA(VLOOKUP(A14,'Actuals Summer'!$A:$AG,25,FALSE),0)</f>
        <v>2925</v>
      </c>
      <c r="CE14" s="381">
        <f>_xlfn.IFNA(VLOOKUP(A14,'Actuals Summer'!$A:$AG,26,FALSE),0)</f>
        <v>0</v>
      </c>
      <c r="CF14" s="381">
        <f>_xlfn.IFNA(VLOOKUP(A14,'Actuals Summer'!$A:$AG,27,FALSE),0)</f>
        <v>0</v>
      </c>
      <c r="CG14" s="381">
        <f>_xlfn.IFNA(VLOOKUP(A14,'Actuals Dep Summer'!B:O,6,FALSE)*$BN$3,0)</f>
        <v>1950</v>
      </c>
      <c r="CH14" s="381">
        <f>_xlfn.IFNA(VLOOKUP(A14,'Actuals Dep Summer'!B:O,7,FALSE)*$BN$3,0)</f>
        <v>1950</v>
      </c>
      <c r="CI14" s="381">
        <f>_xlfn.IFNA(VLOOKUP(A14,'Actuals Dep Summer'!B:O,8,FALSE)*$BN$3,0)</f>
        <v>1170</v>
      </c>
      <c r="CJ14" s="381">
        <f>_xlfn.IFNA(VLOOKUP(A14,'Actuals Summer'!$A:$AG,31,FALSE),0)*$BN$3</f>
        <v>597.67100678525583</v>
      </c>
      <c r="CK14" s="381"/>
      <c r="CL14" s="381">
        <f>_xlfn.IFNA(VLOOKUP(A14,'Actuals Summer'!$A:$AG,32,FALSE),0)*$BN$3</f>
        <v>116610</v>
      </c>
      <c r="CM14" s="381">
        <f>_xlfn.IFNA(VLOOKUP(A14,'Actuals Summer'!$A:$AG,33,FALSE),0)</f>
        <v>9.9998523864195494</v>
      </c>
      <c r="CP14" s="458">
        <f t="shared" si="14"/>
        <v>0</v>
      </c>
      <c r="CQ14" s="458">
        <f t="shared" si="15"/>
        <v>9956.6999999999989</v>
      </c>
      <c r="CR14" s="458">
        <f t="shared" si="0"/>
        <v>8297.25</v>
      </c>
      <c r="CS14" s="458">
        <f t="shared" si="16"/>
        <v>102644.1</v>
      </c>
      <c r="CT14" s="458">
        <f t="shared" si="17"/>
        <v>44148</v>
      </c>
      <c r="CU14" s="458">
        <f t="shared" si="18"/>
        <v>1665.3</v>
      </c>
      <c r="CV14" s="458">
        <f t="shared" si="19"/>
        <v>848.24999999999989</v>
      </c>
      <c r="CW14" s="458">
        <f t="shared" si="20"/>
        <v>124.8</v>
      </c>
      <c r="CX14" s="458">
        <f t="shared" si="21"/>
        <v>8970</v>
      </c>
      <c r="CY14" s="458">
        <f t="shared" si="22"/>
        <v>2834</v>
      </c>
      <c r="CZ14" s="458">
        <f t="shared" si="23"/>
        <v>1491.578947368421</v>
      </c>
      <c r="DA14" s="458">
        <f t="shared" si="24"/>
        <v>9380</v>
      </c>
      <c r="DB14" s="458">
        <f t="shared" si="25"/>
        <v>190359.97894736839</v>
      </c>
      <c r="DC14" s="452">
        <f>_xlfn.XLOOKUP($A14,'Actuals Summer'!$A:$A,'Actuals Summer'!L:L,0,0)</f>
        <v>0</v>
      </c>
      <c r="DD14" s="452">
        <f>_xlfn.XLOOKUP($A14,'Actuals Summer'!$A:$A,'Actuals Summer'!K:K,0,0)+_xlfn.XLOOKUP($A14,'Actuals Summer'!$A:$A,'Actuals Summer'!Q:Q,0,0)</f>
        <v>24891.75</v>
      </c>
      <c r="DE14" s="452">
        <f>_xlfn.XLOOKUP($A14,'Actuals Summer'!$A:$A,'Actuals Summer'!I:I,0,0)+_xlfn.XLOOKUP($A14,'Actuals Summer'!$A:$A,'Actuals Summer'!R:R,0,0)</f>
        <v>102644.1</v>
      </c>
      <c r="DF14" s="452">
        <f>_xlfn.XLOOKUP($A14,'Actuals Summer'!$A:$A,'Actuals Summer'!J:J,0,0)</f>
        <v>44148</v>
      </c>
      <c r="DG14" s="452">
        <f>_xlfn.XLOOKUP($A14,'Actuals Dep Summer'!$B:$B,'Actuals Dep Summer'!G:G,0,0)*'Actuals Dep Summer'!$F$2*'Actuals Dep Summer'!$C$2</f>
        <v>1189.5</v>
      </c>
      <c r="DH14" s="452">
        <f>_xlfn.XLOOKUP($A14,'Actuals Dep Summer'!$B:$B,'Actuals Dep Summer'!H:H,0,0)*'Actuals Dep Summer'!$F$2*'Actuals Dep Summer'!$C$3</f>
        <v>565.5</v>
      </c>
      <c r="DI14" s="452">
        <f>_xlfn.XLOOKUP($A14,'Actuals Dep Summer'!$B:$B,'Actuals Dep Summer'!I:I,0,0)*'Actuals Dep Summer'!$F$2*'Actuals Dep Summer'!$C$4</f>
        <v>93.600000000000009</v>
      </c>
      <c r="DJ14" s="452">
        <f>_xlfn.XLOOKUP($A14,'Actuals Summer'!$A:$A,'Actuals Summer'!P:P,0,0)</f>
        <v>8970</v>
      </c>
      <c r="DK14" s="452">
        <f>_xlfn.XLOOKUP($A14,'Actuals Summer'!$A:$A,'Actuals Summer'!O:O,0,0)</f>
        <v>3430.6315789473683</v>
      </c>
      <c r="DL14" s="452"/>
      <c r="DM14" s="452">
        <f>_xlfn.XLOOKUP($A14,'Actuals Summer'!$A:$A,'Actuals Summer'!M:M,0,0)</f>
        <v>3208.8999999999996</v>
      </c>
      <c r="DN14" s="453">
        <f t="shared" si="1"/>
        <v>189141.98157894737</v>
      </c>
      <c r="DO14" s="453">
        <f>_xlfn.XLOOKUP(A14,'Actuals Summer'!A:A,'Actuals Summer'!S:S,0,0)-'Summer data team '!DN14</f>
        <v>0</v>
      </c>
      <c r="DP14" s="463">
        <f t="shared" si="2"/>
        <v>1217.9973684210272</v>
      </c>
    </row>
    <row r="15" spans="1:120" ht="13" x14ac:dyDescent="0.3">
      <c r="A15" s="364">
        <v>1016</v>
      </c>
      <c r="B15" s="364">
        <v>3301016</v>
      </c>
      <c r="C15" s="364" t="s">
        <v>101</v>
      </c>
      <c r="D15" s="506">
        <v>0</v>
      </c>
      <c r="E15" s="506">
        <v>10</v>
      </c>
      <c r="F15" s="506">
        <v>6</v>
      </c>
      <c r="G15" s="506">
        <v>39</v>
      </c>
      <c r="H15" s="506">
        <v>39</v>
      </c>
      <c r="I15" s="507">
        <v>16</v>
      </c>
      <c r="J15" s="507">
        <v>78</v>
      </c>
      <c r="K15" s="506">
        <v>13</v>
      </c>
      <c r="L15" s="506">
        <v>17</v>
      </c>
      <c r="M15" s="507">
        <v>30</v>
      </c>
      <c r="N15" s="506">
        <v>0</v>
      </c>
      <c r="O15" s="506">
        <v>150</v>
      </c>
      <c r="P15" s="506">
        <v>585</v>
      </c>
      <c r="Q15" s="506">
        <v>585</v>
      </c>
      <c r="R15" s="507">
        <v>1170</v>
      </c>
      <c r="S15" s="506">
        <v>90</v>
      </c>
      <c r="T15" s="506">
        <v>240</v>
      </c>
      <c r="U15" s="506">
        <v>195</v>
      </c>
      <c r="V15" s="506">
        <v>245</v>
      </c>
      <c r="W15" s="507">
        <v>440</v>
      </c>
      <c r="X15" s="506">
        <v>24</v>
      </c>
      <c r="Y15" s="506">
        <v>360</v>
      </c>
      <c r="Z15" s="508">
        <v>60</v>
      </c>
      <c r="AA15" s="506">
        <v>8</v>
      </c>
      <c r="AB15" s="506">
        <v>120</v>
      </c>
      <c r="AC15" s="508">
        <v>90</v>
      </c>
      <c r="AD15" s="506">
        <v>9</v>
      </c>
      <c r="AE15" s="506">
        <v>135</v>
      </c>
      <c r="AF15" s="508">
        <v>66.5</v>
      </c>
      <c r="AG15" s="509">
        <v>9</v>
      </c>
      <c r="AH15" s="509">
        <v>135</v>
      </c>
      <c r="AI15" s="508">
        <v>0</v>
      </c>
      <c r="AJ15" s="509">
        <v>32</v>
      </c>
      <c r="AK15" s="509">
        <v>480</v>
      </c>
      <c r="AL15" s="508">
        <v>105</v>
      </c>
      <c r="AM15" s="506">
        <v>41</v>
      </c>
      <c r="AN15" s="506">
        <v>615</v>
      </c>
      <c r="AO15" s="508">
        <v>105</v>
      </c>
      <c r="AP15" s="508"/>
      <c r="AQ15" s="508">
        <f t="shared" si="3"/>
        <v>41</v>
      </c>
      <c r="AR15" s="509">
        <v>9</v>
      </c>
      <c r="AS15" s="509">
        <v>135</v>
      </c>
      <c r="AT15" s="508">
        <v>0</v>
      </c>
      <c r="AU15" s="509">
        <v>31</v>
      </c>
      <c r="AV15" s="509">
        <v>465</v>
      </c>
      <c r="AW15" s="508">
        <v>90</v>
      </c>
      <c r="AX15" s="506">
        <v>40</v>
      </c>
      <c r="AY15" s="506">
        <v>600</v>
      </c>
      <c r="AZ15" s="508">
        <v>90</v>
      </c>
      <c r="BA15" s="508"/>
      <c r="BB15" s="508">
        <f t="shared" si="4"/>
        <v>71</v>
      </c>
      <c r="BC15" s="509">
        <v>0</v>
      </c>
      <c r="BD15" s="509">
        <v>0</v>
      </c>
      <c r="BE15" s="506">
        <v>0</v>
      </c>
      <c r="BF15" s="200"/>
      <c r="BG15" s="200"/>
      <c r="BH15" s="200"/>
      <c r="BI15" s="200"/>
      <c r="BJ15" s="200"/>
      <c r="BK15" s="200"/>
      <c r="BL15" s="200"/>
      <c r="BM15" s="505">
        <f t="shared" si="5"/>
        <v>0</v>
      </c>
      <c r="BN15" s="200">
        <f t="shared" si="6"/>
        <v>1950</v>
      </c>
      <c r="BO15" s="200">
        <f t="shared" si="26"/>
        <v>1170</v>
      </c>
      <c r="BP15" s="200">
        <f t="shared" si="7"/>
        <v>15210</v>
      </c>
      <c r="BQ15" s="200">
        <f t="shared" si="8"/>
        <v>5720</v>
      </c>
      <c r="BR15" s="200">
        <f t="shared" si="9"/>
        <v>5460</v>
      </c>
      <c r="BS15" s="200">
        <f t="shared" si="10"/>
        <v>2730</v>
      </c>
      <c r="BT15" s="200">
        <f t="shared" si="11"/>
        <v>2619.5</v>
      </c>
      <c r="BU15" s="200">
        <f t="shared" si="12"/>
        <v>7995</v>
      </c>
      <c r="BV15" s="200">
        <v>34</v>
      </c>
      <c r="BW15" s="200">
        <v>6</v>
      </c>
      <c r="BX15" s="200">
        <f t="shared" si="13"/>
        <v>0</v>
      </c>
      <c r="CB15" s="381">
        <f>_xlfn.IFNA(VLOOKUP(A15,'Actuals Summer'!$A:$AG,23,FALSE),0)</f>
        <v>15210</v>
      </c>
      <c r="CC15" s="381">
        <f>_xlfn.IFNA(VLOOKUP(A15,'Actuals Summer'!$A:$AG,24,FALSE),0)</f>
        <v>5720</v>
      </c>
      <c r="CD15" s="381">
        <f>_xlfn.IFNA(VLOOKUP(A15,'Actuals Summer'!$A:$AG,25,FALSE),0)</f>
        <v>2340</v>
      </c>
      <c r="CE15" s="381">
        <f>_xlfn.IFNA(VLOOKUP(A15,'Actuals Summer'!$A:$AG,26,FALSE),0)</f>
        <v>0</v>
      </c>
      <c r="CF15" s="381">
        <f>_xlfn.IFNA(VLOOKUP(A15,'Actuals Summer'!$A:$AG,27,FALSE),0)</f>
        <v>0</v>
      </c>
      <c r="CG15" s="381">
        <f>_xlfn.IFNA(VLOOKUP(A15,'Actuals Dep Summer'!B:O,6,FALSE)*$BN$3,0)</f>
        <v>4680</v>
      </c>
      <c r="CH15" s="381">
        <f>_xlfn.IFNA(VLOOKUP(A15,'Actuals Dep Summer'!B:O,7,FALSE)*$BN$3,0)</f>
        <v>1560</v>
      </c>
      <c r="CI15" s="381">
        <f>_xlfn.IFNA(VLOOKUP(A15,'Actuals Dep Summer'!B:O,8,FALSE)*$BN$3,0)</f>
        <v>1755</v>
      </c>
      <c r="CJ15" s="381">
        <f>_xlfn.IFNA(VLOOKUP(A15,'Actuals Summer'!$A:$AG,31,FALSE),0)*$BN$3</f>
        <v>519.71391894370061</v>
      </c>
      <c r="CK15" s="381"/>
      <c r="CL15" s="381">
        <f>_xlfn.IFNA(VLOOKUP(A15,'Actuals Summer'!$A:$AG,32,FALSE),0)*$BN$3</f>
        <v>103935</v>
      </c>
      <c r="CM15" s="381">
        <f>_xlfn.IFNA(VLOOKUP(A15,'Actuals Summer'!$A:$AG,33,FALSE),0)</f>
        <v>0</v>
      </c>
      <c r="CP15" s="458">
        <f t="shared" si="14"/>
        <v>0</v>
      </c>
      <c r="CQ15" s="458">
        <f t="shared" si="15"/>
        <v>16594.5</v>
      </c>
      <c r="CR15" s="458">
        <f t="shared" si="0"/>
        <v>9956.6999999999989</v>
      </c>
      <c r="CS15" s="458">
        <f t="shared" si="16"/>
        <v>86088.6</v>
      </c>
      <c r="CT15" s="458">
        <f t="shared" si="17"/>
        <v>32375.200000000001</v>
      </c>
      <c r="CU15" s="458">
        <f t="shared" si="18"/>
        <v>3330.6</v>
      </c>
      <c r="CV15" s="458">
        <f t="shared" si="19"/>
        <v>791.69999999999993</v>
      </c>
      <c r="CW15" s="458">
        <f t="shared" si="20"/>
        <v>209.56</v>
      </c>
      <c r="CX15" s="458">
        <f t="shared" si="21"/>
        <v>7995</v>
      </c>
      <c r="CY15" s="458">
        <f t="shared" si="22"/>
        <v>2535.6842105263154</v>
      </c>
      <c r="CZ15" s="458">
        <f t="shared" si="23"/>
        <v>1118.6842105263158</v>
      </c>
      <c r="DA15" s="458">
        <f t="shared" si="24"/>
        <v>0</v>
      </c>
      <c r="DB15" s="458">
        <f t="shared" si="25"/>
        <v>160996.22842105266</v>
      </c>
      <c r="DC15" s="452">
        <f>_xlfn.XLOOKUP($A15,'Actuals Summer'!$A:$A,'Actuals Summer'!L:L,0,0)</f>
        <v>0</v>
      </c>
      <c r="DD15" s="452">
        <f>_xlfn.XLOOKUP($A15,'Actuals Summer'!$A:$A,'Actuals Summer'!K:K,0,0)+_xlfn.XLOOKUP($A15,'Actuals Summer'!$A:$A,'Actuals Summer'!Q:Q,0,0)</f>
        <v>19913.399999999998</v>
      </c>
      <c r="DE15" s="452">
        <f>_xlfn.XLOOKUP($A15,'Actuals Summer'!$A:$A,'Actuals Summer'!I:I,0,0)+_xlfn.XLOOKUP($A15,'Actuals Summer'!$A:$A,'Actuals Summer'!R:R,0,0)</f>
        <v>86088.6</v>
      </c>
      <c r="DF15" s="452">
        <f>_xlfn.XLOOKUP($A15,'Actuals Summer'!$A:$A,'Actuals Summer'!J:J,0,0)</f>
        <v>32375.200000000001</v>
      </c>
      <c r="DG15" s="452">
        <f>_xlfn.XLOOKUP($A15,'Actuals Dep Summer'!$B:$B,'Actuals Dep Summer'!G:G,0,0)*'Actuals Dep Summer'!$F$2*'Actuals Dep Summer'!$C$2</f>
        <v>2854.7999999999997</v>
      </c>
      <c r="DH15" s="452">
        <f>_xlfn.XLOOKUP($A15,'Actuals Dep Summer'!$B:$B,'Actuals Dep Summer'!H:H,0,0)*'Actuals Dep Summer'!$F$2*'Actuals Dep Summer'!$C$3</f>
        <v>452.4</v>
      </c>
      <c r="DI15" s="452">
        <f>_xlfn.XLOOKUP($A15,'Actuals Dep Summer'!$B:$B,'Actuals Dep Summer'!I:I,0,0)*'Actuals Dep Summer'!$F$2*'Actuals Dep Summer'!$C$4</f>
        <v>140.4</v>
      </c>
      <c r="DJ15" s="452">
        <f>_xlfn.XLOOKUP($A15,'Actuals Summer'!$A:$A,'Actuals Summer'!P:P,0,0)</f>
        <v>7995</v>
      </c>
      <c r="DK15" s="452">
        <f>_xlfn.XLOOKUP($A15,'Actuals Summer'!$A:$A,'Actuals Summer'!O:O,0,0)</f>
        <v>2983.1578947368421</v>
      </c>
      <c r="DL15" s="452"/>
      <c r="DM15" s="452">
        <f>_xlfn.XLOOKUP($A15,'Actuals Summer'!$A:$A,'Actuals Summer'!M:M,0,0)</f>
        <v>0</v>
      </c>
      <c r="DN15" s="453">
        <f t="shared" si="1"/>
        <v>152802.95789473684</v>
      </c>
      <c r="DO15" s="453">
        <f>_xlfn.XLOOKUP(A15,'Actuals Summer'!A:A,'Actuals Summer'!S:S,0,0)-'Summer data team '!DN15</f>
        <v>0</v>
      </c>
      <c r="DP15" s="463">
        <f t="shared" si="2"/>
        <v>8193.2705263158132</v>
      </c>
    </row>
    <row r="16" spans="1:120" ht="13" x14ac:dyDescent="0.3">
      <c r="A16" s="364">
        <v>1017</v>
      </c>
      <c r="B16" s="364">
        <v>3301017</v>
      </c>
      <c r="C16" s="364" t="s">
        <v>29</v>
      </c>
      <c r="D16" s="506">
        <v>0</v>
      </c>
      <c r="E16" s="506">
        <v>22</v>
      </c>
      <c r="F16" s="506">
        <v>16</v>
      </c>
      <c r="G16" s="506">
        <v>64</v>
      </c>
      <c r="H16" s="506">
        <v>48</v>
      </c>
      <c r="I16" s="507">
        <v>38</v>
      </c>
      <c r="J16" s="507">
        <v>112</v>
      </c>
      <c r="K16" s="506">
        <v>27</v>
      </c>
      <c r="L16" s="506">
        <v>26</v>
      </c>
      <c r="M16" s="507">
        <v>53</v>
      </c>
      <c r="N16" s="506">
        <v>0</v>
      </c>
      <c r="O16" s="506">
        <v>330</v>
      </c>
      <c r="P16" s="506">
        <v>960</v>
      </c>
      <c r="Q16" s="506">
        <v>705</v>
      </c>
      <c r="R16" s="507">
        <v>1665</v>
      </c>
      <c r="S16" s="506">
        <v>240</v>
      </c>
      <c r="T16" s="506">
        <v>570</v>
      </c>
      <c r="U16" s="506">
        <v>405</v>
      </c>
      <c r="V16" s="506">
        <v>387</v>
      </c>
      <c r="W16" s="507">
        <v>792</v>
      </c>
      <c r="X16" s="506">
        <v>22</v>
      </c>
      <c r="Y16" s="506">
        <v>330</v>
      </c>
      <c r="Z16" s="508">
        <v>90</v>
      </c>
      <c r="AA16" s="506">
        <v>27</v>
      </c>
      <c r="AB16" s="506">
        <v>405</v>
      </c>
      <c r="AC16" s="508">
        <v>120</v>
      </c>
      <c r="AD16" s="506">
        <v>23</v>
      </c>
      <c r="AE16" s="506">
        <v>345</v>
      </c>
      <c r="AF16" s="508">
        <v>120</v>
      </c>
      <c r="AG16" s="509">
        <v>17</v>
      </c>
      <c r="AH16" s="509">
        <v>255</v>
      </c>
      <c r="AI16" s="508">
        <v>0</v>
      </c>
      <c r="AJ16" s="509">
        <v>46</v>
      </c>
      <c r="AK16" s="509">
        <v>690</v>
      </c>
      <c r="AL16" s="508">
        <v>150</v>
      </c>
      <c r="AM16" s="506">
        <v>63</v>
      </c>
      <c r="AN16" s="506">
        <v>945</v>
      </c>
      <c r="AO16" s="508">
        <v>150</v>
      </c>
      <c r="AP16" s="508"/>
      <c r="AQ16" s="508">
        <f t="shared" si="3"/>
        <v>63</v>
      </c>
      <c r="AR16" s="509">
        <v>16</v>
      </c>
      <c r="AS16" s="509">
        <v>240</v>
      </c>
      <c r="AT16" s="508">
        <v>0</v>
      </c>
      <c r="AU16" s="509">
        <v>45</v>
      </c>
      <c r="AV16" s="509">
        <v>675</v>
      </c>
      <c r="AW16" s="508">
        <v>150</v>
      </c>
      <c r="AX16" s="506">
        <v>61</v>
      </c>
      <c r="AY16" s="506">
        <v>915</v>
      </c>
      <c r="AZ16" s="508">
        <v>150</v>
      </c>
      <c r="BA16" s="508"/>
      <c r="BB16" s="508">
        <f t="shared" si="4"/>
        <v>106</v>
      </c>
      <c r="BC16" s="509">
        <v>1</v>
      </c>
      <c r="BD16" s="509">
        <v>11</v>
      </c>
      <c r="BE16" s="506">
        <v>12</v>
      </c>
      <c r="BF16" s="200"/>
      <c r="BG16" s="200"/>
      <c r="BH16" s="200"/>
      <c r="BI16" s="200"/>
      <c r="BJ16" s="200"/>
      <c r="BK16" s="200"/>
      <c r="BL16" s="200"/>
      <c r="BM16" s="505">
        <f t="shared" si="5"/>
        <v>0</v>
      </c>
      <c r="BN16" s="200">
        <f t="shared" si="6"/>
        <v>4290</v>
      </c>
      <c r="BO16" s="200">
        <f t="shared" si="26"/>
        <v>3120</v>
      </c>
      <c r="BP16" s="200">
        <f t="shared" si="7"/>
        <v>21645</v>
      </c>
      <c r="BQ16" s="200">
        <f t="shared" si="8"/>
        <v>10296</v>
      </c>
      <c r="BR16" s="200">
        <f t="shared" si="9"/>
        <v>5460</v>
      </c>
      <c r="BS16" s="200">
        <f t="shared" si="10"/>
        <v>6825</v>
      </c>
      <c r="BT16" s="200">
        <f t="shared" si="11"/>
        <v>6045</v>
      </c>
      <c r="BU16" s="200">
        <f t="shared" si="12"/>
        <v>12285</v>
      </c>
      <c r="BV16" s="200">
        <v>51</v>
      </c>
      <c r="BW16" s="200">
        <v>10</v>
      </c>
      <c r="BX16" s="200">
        <f t="shared" si="13"/>
        <v>12</v>
      </c>
      <c r="CB16" s="381">
        <f>_xlfn.IFNA(VLOOKUP(A16,'Actuals Summer'!$A:$AG,23,FALSE),0)</f>
        <v>21645</v>
      </c>
      <c r="CC16" s="381">
        <f>_xlfn.IFNA(VLOOKUP(A16,'Actuals Summer'!$A:$AG,24,FALSE),0)</f>
        <v>10296</v>
      </c>
      <c r="CD16" s="381">
        <f>_xlfn.IFNA(VLOOKUP(A16,'Actuals Summer'!$A:$AG,25,FALSE),0)</f>
        <v>7800</v>
      </c>
      <c r="CE16" s="381">
        <f>_xlfn.IFNA(VLOOKUP(A16,'Actuals Summer'!$A:$AG,26,FALSE),0)</f>
        <v>0</v>
      </c>
      <c r="CF16" s="381">
        <f>_xlfn.IFNA(VLOOKUP(A16,'Actuals Summer'!$A:$AG,27,FALSE),0)</f>
        <v>0</v>
      </c>
      <c r="CG16" s="381">
        <f>_xlfn.IFNA(VLOOKUP(A16,'Actuals Dep Summer'!B:O,6,FALSE)*$BN$3,0)</f>
        <v>4290</v>
      </c>
      <c r="CH16" s="381">
        <f>_xlfn.IFNA(VLOOKUP(A16,'Actuals Dep Summer'!B:O,7,FALSE)*$BN$3,0)</f>
        <v>5265</v>
      </c>
      <c r="CI16" s="381">
        <f>_xlfn.IFNA(VLOOKUP(A16,'Actuals Dep Summer'!B:O,8,FALSE)*$BN$3,0)</f>
        <v>4485</v>
      </c>
      <c r="CJ16" s="381">
        <f>_xlfn.IFNA(VLOOKUP(A16,'Actuals Summer'!$A:$AG,31,FALSE),0)*$BN$3</f>
        <v>792.56372638914343</v>
      </c>
      <c r="CK16" s="381"/>
      <c r="CL16" s="381">
        <f>_xlfn.IFNA(VLOOKUP(A16,'Actuals Summer'!$A:$AG,32,FALSE),0)*$BN$3</f>
        <v>159705</v>
      </c>
      <c r="CM16" s="381">
        <f>_xlfn.IFNA(VLOOKUP(A16,'Actuals Summer'!$A:$AG,33,FALSE),0)</f>
        <v>11.999822863703461</v>
      </c>
      <c r="CP16" s="458">
        <f t="shared" si="14"/>
        <v>0</v>
      </c>
      <c r="CQ16" s="458">
        <f t="shared" si="15"/>
        <v>36507.9</v>
      </c>
      <c r="CR16" s="458">
        <f t="shared" si="0"/>
        <v>26551.200000000001</v>
      </c>
      <c r="CS16" s="458">
        <f t="shared" si="16"/>
        <v>122510.7</v>
      </c>
      <c r="CT16" s="458">
        <f t="shared" si="17"/>
        <v>58275.360000000001</v>
      </c>
      <c r="CU16" s="458">
        <f t="shared" si="18"/>
        <v>3330.6</v>
      </c>
      <c r="CV16" s="458">
        <f t="shared" si="19"/>
        <v>1979.2499999999998</v>
      </c>
      <c r="CW16" s="458">
        <f t="shared" si="20"/>
        <v>483.6</v>
      </c>
      <c r="CX16" s="458">
        <f t="shared" si="21"/>
        <v>12285</v>
      </c>
      <c r="CY16" s="458">
        <f t="shared" si="22"/>
        <v>3803.5263157894733</v>
      </c>
      <c r="CZ16" s="458">
        <f t="shared" si="23"/>
        <v>1864.4736842105265</v>
      </c>
      <c r="DA16" s="458">
        <f t="shared" si="24"/>
        <v>11256</v>
      </c>
      <c r="DB16" s="458">
        <f t="shared" si="25"/>
        <v>278847.61</v>
      </c>
      <c r="DC16" s="452">
        <f>_xlfn.XLOOKUP($A16,'Actuals Summer'!$A:$A,'Actuals Summer'!L:L,0,0)</f>
        <v>0</v>
      </c>
      <c r="DD16" s="452">
        <f>_xlfn.XLOOKUP($A16,'Actuals Summer'!$A:$A,'Actuals Summer'!K:K,0,0)+_xlfn.XLOOKUP($A16,'Actuals Summer'!$A:$A,'Actuals Summer'!Q:Q,0,0)</f>
        <v>66378</v>
      </c>
      <c r="DE16" s="452">
        <f>_xlfn.XLOOKUP($A16,'Actuals Summer'!$A:$A,'Actuals Summer'!I:I,0,0)+_xlfn.XLOOKUP($A16,'Actuals Summer'!$A:$A,'Actuals Summer'!R:R,0,0)</f>
        <v>122510.7</v>
      </c>
      <c r="DF16" s="452">
        <f>_xlfn.XLOOKUP($A16,'Actuals Summer'!$A:$A,'Actuals Summer'!J:J,0,0)</f>
        <v>58275.360000000001</v>
      </c>
      <c r="DG16" s="452">
        <f>_xlfn.XLOOKUP($A16,'Actuals Dep Summer'!$B:$B,'Actuals Dep Summer'!G:G,0,0)*'Actuals Dep Summer'!$F$2*'Actuals Dep Summer'!$C$2</f>
        <v>2616.9</v>
      </c>
      <c r="DH16" s="452">
        <f>_xlfn.XLOOKUP($A16,'Actuals Dep Summer'!$B:$B,'Actuals Dep Summer'!H:H,0,0)*'Actuals Dep Summer'!$F$2*'Actuals Dep Summer'!$C$3</f>
        <v>1526.85</v>
      </c>
      <c r="DI16" s="452">
        <f>_xlfn.XLOOKUP($A16,'Actuals Dep Summer'!$B:$B,'Actuals Dep Summer'!I:I,0,0)*'Actuals Dep Summer'!$F$2*'Actuals Dep Summer'!$C$4</f>
        <v>358.8</v>
      </c>
      <c r="DJ16" s="452">
        <f>_xlfn.XLOOKUP($A16,'Actuals Summer'!$A:$A,'Actuals Summer'!P:P,0,0)</f>
        <v>12285</v>
      </c>
      <c r="DK16" s="452">
        <f>_xlfn.XLOOKUP($A16,'Actuals Summer'!$A:$A,'Actuals Summer'!O:O,0,0)</f>
        <v>4549.3157894736842</v>
      </c>
      <c r="DL16" s="452"/>
      <c r="DM16" s="452">
        <f>_xlfn.XLOOKUP($A16,'Actuals Summer'!$A:$A,'Actuals Summer'!M:M,0,0)</f>
        <v>3850.68</v>
      </c>
      <c r="DN16" s="453">
        <f t="shared" si="1"/>
        <v>272351.60578947369</v>
      </c>
      <c r="DO16" s="453">
        <f>_xlfn.XLOOKUP(A16,'Actuals Summer'!A:A,'Actuals Summer'!S:S,0,0)-'Summer data team '!DN16</f>
        <v>0</v>
      </c>
      <c r="DP16" s="463">
        <f t="shared" si="2"/>
        <v>6496.0042105262983</v>
      </c>
    </row>
    <row r="17" spans="1:120" ht="13" x14ac:dyDescent="0.3">
      <c r="A17" s="364">
        <v>1018</v>
      </c>
      <c r="B17" s="364">
        <v>3301018</v>
      </c>
      <c r="C17" s="364" t="s">
        <v>129</v>
      </c>
      <c r="D17" s="506">
        <v>0</v>
      </c>
      <c r="E17" s="506">
        <v>39</v>
      </c>
      <c r="F17" s="506">
        <v>5</v>
      </c>
      <c r="G17" s="506">
        <v>71</v>
      </c>
      <c r="H17" s="506">
        <v>45</v>
      </c>
      <c r="I17" s="507">
        <v>44</v>
      </c>
      <c r="J17" s="507">
        <v>116</v>
      </c>
      <c r="K17" s="506">
        <v>32</v>
      </c>
      <c r="L17" s="506">
        <v>17</v>
      </c>
      <c r="M17" s="507">
        <v>49</v>
      </c>
      <c r="N17" s="506">
        <v>0</v>
      </c>
      <c r="O17" s="506">
        <v>585</v>
      </c>
      <c r="P17" s="506">
        <v>1065</v>
      </c>
      <c r="Q17" s="506">
        <v>675</v>
      </c>
      <c r="R17" s="507">
        <v>1740</v>
      </c>
      <c r="S17" s="506">
        <v>75</v>
      </c>
      <c r="T17" s="506">
        <v>660</v>
      </c>
      <c r="U17" s="506">
        <v>480</v>
      </c>
      <c r="V17" s="506">
        <v>255</v>
      </c>
      <c r="W17" s="507">
        <v>735</v>
      </c>
      <c r="X17" s="506">
        <v>51</v>
      </c>
      <c r="Y17" s="506">
        <v>765</v>
      </c>
      <c r="Z17" s="508">
        <v>195</v>
      </c>
      <c r="AA17" s="506">
        <v>23</v>
      </c>
      <c r="AB17" s="506">
        <v>345</v>
      </c>
      <c r="AC17" s="508">
        <v>135</v>
      </c>
      <c r="AD17" s="506">
        <v>30</v>
      </c>
      <c r="AE17" s="506">
        <v>450</v>
      </c>
      <c r="AF17" s="508">
        <v>90</v>
      </c>
      <c r="AG17" s="509">
        <v>36</v>
      </c>
      <c r="AH17" s="509">
        <v>540</v>
      </c>
      <c r="AI17" s="508">
        <v>0</v>
      </c>
      <c r="AJ17" s="509">
        <v>67</v>
      </c>
      <c r="AK17" s="509">
        <v>1005</v>
      </c>
      <c r="AL17" s="508">
        <v>225</v>
      </c>
      <c r="AM17" s="506">
        <v>103</v>
      </c>
      <c r="AN17" s="506">
        <v>1545</v>
      </c>
      <c r="AO17" s="508">
        <v>225</v>
      </c>
      <c r="AP17" s="508"/>
      <c r="AQ17" s="508">
        <f t="shared" si="3"/>
        <v>103</v>
      </c>
      <c r="AR17" s="509">
        <v>36</v>
      </c>
      <c r="AS17" s="509">
        <v>540</v>
      </c>
      <c r="AT17" s="508">
        <v>0</v>
      </c>
      <c r="AU17" s="509">
        <v>67</v>
      </c>
      <c r="AV17" s="509">
        <v>1005</v>
      </c>
      <c r="AW17" s="508">
        <v>225</v>
      </c>
      <c r="AX17" s="506">
        <v>103</v>
      </c>
      <c r="AY17" s="506">
        <v>1545</v>
      </c>
      <c r="AZ17" s="508">
        <v>225</v>
      </c>
      <c r="BA17" s="508"/>
      <c r="BB17" s="508">
        <f t="shared" si="4"/>
        <v>170</v>
      </c>
      <c r="BC17" s="509">
        <v>2</v>
      </c>
      <c r="BD17" s="509">
        <v>15</v>
      </c>
      <c r="BE17" s="506">
        <v>17</v>
      </c>
      <c r="BF17" s="200"/>
      <c r="BG17" s="200"/>
      <c r="BH17" s="200"/>
      <c r="BI17" s="200"/>
      <c r="BJ17" s="200"/>
      <c r="BK17" s="200"/>
      <c r="BL17" s="200"/>
      <c r="BM17" s="505">
        <f t="shared" si="5"/>
        <v>0</v>
      </c>
      <c r="BN17" s="200">
        <f t="shared" si="6"/>
        <v>7605</v>
      </c>
      <c r="BO17" s="200">
        <f t="shared" si="26"/>
        <v>975</v>
      </c>
      <c r="BP17" s="200">
        <f t="shared" si="7"/>
        <v>22620</v>
      </c>
      <c r="BQ17" s="200">
        <f t="shared" si="8"/>
        <v>9555</v>
      </c>
      <c r="BR17" s="200">
        <f t="shared" si="9"/>
        <v>12480</v>
      </c>
      <c r="BS17" s="200">
        <f t="shared" si="10"/>
        <v>6240</v>
      </c>
      <c r="BT17" s="200">
        <f t="shared" si="11"/>
        <v>7020</v>
      </c>
      <c r="BU17" s="200">
        <f t="shared" si="12"/>
        <v>20085</v>
      </c>
      <c r="BV17" s="200">
        <v>88</v>
      </c>
      <c r="BW17" s="200">
        <v>15</v>
      </c>
      <c r="BX17" s="200">
        <f t="shared" si="13"/>
        <v>17</v>
      </c>
      <c r="CB17" s="381">
        <f>_xlfn.IFNA(VLOOKUP(A17,'Actuals Summer'!$A:$AG,23,FALSE),0)</f>
        <v>22620</v>
      </c>
      <c r="CC17" s="381">
        <f>_xlfn.IFNA(VLOOKUP(A17,'Actuals Summer'!$A:$AG,24,FALSE),0)</f>
        <v>9555</v>
      </c>
      <c r="CD17" s="381">
        <f>_xlfn.IFNA(VLOOKUP(A17,'Actuals Summer'!$A:$AG,25,FALSE),0)</f>
        <v>8970</v>
      </c>
      <c r="CE17" s="381">
        <f>_xlfn.IFNA(VLOOKUP(A17,'Actuals Summer'!$A:$AG,26,FALSE),0)</f>
        <v>0</v>
      </c>
      <c r="CF17" s="381">
        <f>_xlfn.IFNA(VLOOKUP(A17,'Actuals Summer'!$A:$AG,27,FALSE),0)</f>
        <v>0</v>
      </c>
      <c r="CG17" s="381">
        <f>_xlfn.IFNA(VLOOKUP(A17,'Actuals Dep Summer'!B:O,6,FALSE)*$BN$3,0)</f>
        <v>9945</v>
      </c>
      <c r="CH17" s="381">
        <f>_xlfn.IFNA(VLOOKUP(A17,'Actuals Dep Summer'!B:O,7,FALSE)*$BN$3,0)</f>
        <v>4485</v>
      </c>
      <c r="CI17" s="381">
        <f>_xlfn.IFNA(VLOOKUP(A17,'Actuals Dep Summer'!B:O,8,FALSE)*$BN$3,0)</f>
        <v>5850</v>
      </c>
      <c r="CJ17" s="381">
        <f>_xlfn.IFNA(VLOOKUP(A17,'Actuals Summer'!$A:$AG,31,FALSE),0)*$BN$3</f>
        <v>1338.2633412800292</v>
      </c>
      <c r="CK17" s="381"/>
      <c r="CL17" s="381">
        <f>_xlfn.IFNA(VLOOKUP(A17,'Actuals Summer'!$A:$AG,32,FALSE),0)*$BN$3</f>
        <v>261105</v>
      </c>
      <c r="CM17" s="381">
        <f>_xlfn.IFNA(VLOOKUP(A17,'Actuals Summer'!$A:$AG,33,FALSE),0)</f>
        <v>16.999749056913238</v>
      </c>
      <c r="CP17" s="458">
        <f t="shared" si="14"/>
        <v>0</v>
      </c>
      <c r="CQ17" s="458">
        <f t="shared" si="15"/>
        <v>64718.549999999996</v>
      </c>
      <c r="CR17" s="458">
        <f t="shared" si="0"/>
        <v>8297.25</v>
      </c>
      <c r="CS17" s="458">
        <f t="shared" si="16"/>
        <v>128029.2</v>
      </c>
      <c r="CT17" s="458">
        <f t="shared" si="17"/>
        <v>54081.3</v>
      </c>
      <c r="CU17" s="458">
        <f t="shared" si="18"/>
        <v>7612.8</v>
      </c>
      <c r="CV17" s="458">
        <f t="shared" si="19"/>
        <v>1809.6</v>
      </c>
      <c r="CW17" s="458">
        <f t="shared" si="20"/>
        <v>561.6</v>
      </c>
      <c r="CX17" s="458">
        <f t="shared" si="21"/>
        <v>20085</v>
      </c>
      <c r="CY17" s="458">
        <f t="shared" si="22"/>
        <v>6562.9473684210525</v>
      </c>
      <c r="CZ17" s="458">
        <f t="shared" si="23"/>
        <v>2796.7105263157896</v>
      </c>
      <c r="DA17" s="458">
        <f t="shared" si="24"/>
        <v>15946</v>
      </c>
      <c r="DB17" s="458">
        <f t="shared" si="25"/>
        <v>310500.95789473678</v>
      </c>
      <c r="DC17" s="452">
        <f>_xlfn.XLOOKUP($A17,'Actuals Summer'!$A:$A,'Actuals Summer'!L:L,0,0)</f>
        <v>0</v>
      </c>
      <c r="DD17" s="452">
        <f>_xlfn.XLOOKUP($A17,'Actuals Summer'!$A:$A,'Actuals Summer'!K:K,0,0)+_xlfn.XLOOKUP($A17,'Actuals Summer'!$A:$A,'Actuals Summer'!Q:Q,0,0)</f>
        <v>76334.7</v>
      </c>
      <c r="DE17" s="452">
        <f>_xlfn.XLOOKUP($A17,'Actuals Summer'!$A:$A,'Actuals Summer'!I:I,0,0)+_xlfn.XLOOKUP($A17,'Actuals Summer'!$A:$A,'Actuals Summer'!R:R,0,0)</f>
        <v>128029.2</v>
      </c>
      <c r="DF17" s="452">
        <f>_xlfn.XLOOKUP($A17,'Actuals Summer'!$A:$A,'Actuals Summer'!J:J,0,0)</f>
        <v>54081.3</v>
      </c>
      <c r="DG17" s="452">
        <f>_xlfn.XLOOKUP($A17,'Actuals Dep Summer'!$B:$B,'Actuals Dep Summer'!G:G,0,0)*'Actuals Dep Summer'!$F$2*'Actuals Dep Summer'!$C$2</f>
        <v>6066.45</v>
      </c>
      <c r="DH17" s="452">
        <f>_xlfn.XLOOKUP($A17,'Actuals Dep Summer'!$B:$B,'Actuals Dep Summer'!H:H,0,0)*'Actuals Dep Summer'!$F$2*'Actuals Dep Summer'!$C$3</f>
        <v>1300.6499999999999</v>
      </c>
      <c r="DI17" s="452">
        <f>_xlfn.XLOOKUP($A17,'Actuals Dep Summer'!$B:$B,'Actuals Dep Summer'!I:I,0,0)*'Actuals Dep Summer'!$F$2*'Actuals Dep Summer'!$C$4</f>
        <v>468</v>
      </c>
      <c r="DJ17" s="452">
        <f>_xlfn.XLOOKUP($A17,'Actuals Summer'!$A:$A,'Actuals Summer'!P:P,0,0)</f>
        <v>20085</v>
      </c>
      <c r="DK17" s="452">
        <f>_xlfn.XLOOKUP($A17,'Actuals Summer'!$A:$A,'Actuals Summer'!O:O,0,0)</f>
        <v>7681.6315789473683</v>
      </c>
      <c r="DL17" s="452"/>
      <c r="DM17" s="452">
        <f>_xlfn.XLOOKUP($A17,'Actuals Summer'!$A:$A,'Actuals Summer'!M:M,0,0)</f>
        <v>5455.13</v>
      </c>
      <c r="DN17" s="453">
        <f t="shared" si="1"/>
        <v>299502.06157894741</v>
      </c>
      <c r="DO17" s="453">
        <f>_xlfn.XLOOKUP(A17,'Actuals Summer'!A:A,'Actuals Summer'!S:S,0,0)-'Summer data team '!DN17</f>
        <v>0</v>
      </c>
      <c r="DP17" s="463">
        <f t="shared" si="2"/>
        <v>10998.896315789374</v>
      </c>
    </row>
    <row r="18" spans="1:120" ht="13" x14ac:dyDescent="0.3">
      <c r="A18" s="364">
        <v>1019</v>
      </c>
      <c r="B18" s="364">
        <v>3301019</v>
      </c>
      <c r="C18" s="364" t="s">
        <v>185</v>
      </c>
      <c r="D18" s="506">
        <v>0</v>
      </c>
      <c r="E18" s="506">
        <v>15</v>
      </c>
      <c r="F18" s="506">
        <v>8</v>
      </c>
      <c r="G18" s="506">
        <v>74</v>
      </c>
      <c r="H18" s="506">
        <v>31</v>
      </c>
      <c r="I18" s="507">
        <v>23</v>
      </c>
      <c r="J18" s="507">
        <v>105</v>
      </c>
      <c r="K18" s="506">
        <v>15</v>
      </c>
      <c r="L18" s="506">
        <v>6</v>
      </c>
      <c r="M18" s="507">
        <v>21</v>
      </c>
      <c r="N18" s="506">
        <v>0</v>
      </c>
      <c r="O18" s="506">
        <v>225</v>
      </c>
      <c r="P18" s="506">
        <v>1110</v>
      </c>
      <c r="Q18" s="506">
        <v>465</v>
      </c>
      <c r="R18" s="507">
        <v>1575</v>
      </c>
      <c r="S18" s="506">
        <v>120</v>
      </c>
      <c r="T18" s="506">
        <v>345</v>
      </c>
      <c r="U18" s="506">
        <v>225</v>
      </c>
      <c r="V18" s="506">
        <v>90</v>
      </c>
      <c r="W18" s="507">
        <v>315</v>
      </c>
      <c r="X18" s="506">
        <v>27</v>
      </c>
      <c r="Y18" s="506">
        <v>405</v>
      </c>
      <c r="Z18" s="508">
        <v>45</v>
      </c>
      <c r="AA18" s="506">
        <v>23</v>
      </c>
      <c r="AB18" s="506">
        <v>345</v>
      </c>
      <c r="AC18" s="508">
        <v>75</v>
      </c>
      <c r="AD18" s="506">
        <v>52</v>
      </c>
      <c r="AE18" s="506">
        <v>780</v>
      </c>
      <c r="AF18" s="508">
        <v>90</v>
      </c>
      <c r="AG18" s="509">
        <v>10</v>
      </c>
      <c r="AH18" s="509">
        <v>150</v>
      </c>
      <c r="AI18" s="508">
        <v>0</v>
      </c>
      <c r="AJ18" s="509">
        <v>33</v>
      </c>
      <c r="AK18" s="509">
        <v>495</v>
      </c>
      <c r="AL18" s="508">
        <v>0</v>
      </c>
      <c r="AM18" s="506">
        <v>43</v>
      </c>
      <c r="AN18" s="506">
        <v>645</v>
      </c>
      <c r="AO18" s="508">
        <v>0</v>
      </c>
      <c r="AP18" s="508"/>
      <c r="AQ18" s="508">
        <f t="shared" si="3"/>
        <v>43</v>
      </c>
      <c r="AR18" s="509">
        <v>0</v>
      </c>
      <c r="AS18" s="509">
        <v>0</v>
      </c>
      <c r="AT18" s="508">
        <v>0</v>
      </c>
      <c r="AU18" s="509">
        <v>4</v>
      </c>
      <c r="AV18" s="509">
        <v>60</v>
      </c>
      <c r="AW18" s="508">
        <v>0</v>
      </c>
      <c r="AX18" s="506">
        <v>4</v>
      </c>
      <c r="AY18" s="506">
        <v>60</v>
      </c>
      <c r="AZ18" s="508">
        <v>0</v>
      </c>
      <c r="BA18" s="508"/>
      <c r="BB18" s="508">
        <f t="shared" si="4"/>
        <v>8</v>
      </c>
      <c r="BC18" s="509">
        <v>0</v>
      </c>
      <c r="BD18" s="509">
        <v>1</v>
      </c>
      <c r="BE18" s="506">
        <v>1</v>
      </c>
      <c r="BF18" s="200"/>
      <c r="BG18" s="200"/>
      <c r="BH18" s="200"/>
      <c r="BI18" s="200"/>
      <c r="BJ18" s="200"/>
      <c r="BK18" s="200"/>
      <c r="BL18" s="200"/>
      <c r="BM18" s="505">
        <f t="shared" si="5"/>
        <v>0</v>
      </c>
      <c r="BN18" s="200">
        <f t="shared" si="6"/>
        <v>2925</v>
      </c>
      <c r="BO18" s="200">
        <f t="shared" si="26"/>
        <v>1560</v>
      </c>
      <c r="BP18" s="200">
        <f t="shared" si="7"/>
        <v>20475</v>
      </c>
      <c r="BQ18" s="200">
        <f t="shared" si="8"/>
        <v>4095</v>
      </c>
      <c r="BR18" s="200">
        <f t="shared" si="9"/>
        <v>5850</v>
      </c>
      <c r="BS18" s="200">
        <f t="shared" si="10"/>
        <v>5460</v>
      </c>
      <c r="BT18" s="200">
        <f t="shared" si="11"/>
        <v>11310</v>
      </c>
      <c r="BU18" s="200">
        <f t="shared" si="12"/>
        <v>8385</v>
      </c>
      <c r="BV18" s="200">
        <v>4</v>
      </c>
      <c r="BW18" s="200">
        <v>0</v>
      </c>
      <c r="BX18" s="200">
        <f t="shared" si="13"/>
        <v>1</v>
      </c>
      <c r="CB18" s="381">
        <f>_xlfn.IFNA(VLOOKUP(A18,'Actuals Summer'!$A:$AG,23,FALSE),0)</f>
        <v>20475</v>
      </c>
      <c r="CC18" s="381">
        <f>_xlfn.IFNA(VLOOKUP(A18,'Actuals Summer'!$A:$AG,24,FALSE),0)</f>
        <v>4095</v>
      </c>
      <c r="CD18" s="381">
        <f>_xlfn.IFNA(VLOOKUP(A18,'Actuals Summer'!$A:$AG,25,FALSE),0)</f>
        <v>5265</v>
      </c>
      <c r="CE18" s="381">
        <f>_xlfn.IFNA(VLOOKUP(A18,'Actuals Summer'!$A:$AG,26,FALSE),0)</f>
        <v>0</v>
      </c>
      <c r="CF18" s="381">
        <f>_xlfn.IFNA(VLOOKUP(A18,'Actuals Summer'!$A:$AG,27,FALSE),0)</f>
        <v>0</v>
      </c>
      <c r="CG18" s="381">
        <f>_xlfn.IFNA(VLOOKUP(A18,'Actuals Dep Summer'!B:O,6,FALSE)*$BN$3,0)</f>
        <v>5265</v>
      </c>
      <c r="CH18" s="381">
        <f>_xlfn.IFNA(VLOOKUP(A18,'Actuals Dep Summer'!B:O,7,FALSE)*$BN$3,0)</f>
        <v>4485</v>
      </c>
      <c r="CI18" s="381">
        <f>_xlfn.IFNA(VLOOKUP(A18,'Actuals Dep Summer'!B:O,8,FALSE)*$BN$3,0)</f>
        <v>10140</v>
      </c>
      <c r="CJ18" s="381">
        <f>_xlfn.IFNA(VLOOKUP(A18,'Actuals Summer'!$A:$AG,31,FALSE),0)*$BN$3</f>
        <v>51.971391894370072</v>
      </c>
      <c r="CK18" s="381"/>
      <c r="CL18" s="381">
        <f>_xlfn.IFNA(VLOOKUP(A18,'Actuals Summer'!$A:$AG,32,FALSE),0)*$BN$3</f>
        <v>109005</v>
      </c>
      <c r="CM18" s="381">
        <f>_xlfn.IFNA(VLOOKUP(A18,'Actuals Summer'!$A:$AG,33,FALSE),0)</f>
        <v>0.99998523864195499</v>
      </c>
      <c r="CP18" s="458">
        <f t="shared" si="14"/>
        <v>0</v>
      </c>
      <c r="CQ18" s="458">
        <f t="shared" si="15"/>
        <v>24891.75</v>
      </c>
      <c r="CR18" s="458">
        <f t="shared" si="0"/>
        <v>13275.6</v>
      </c>
      <c r="CS18" s="458">
        <f t="shared" si="16"/>
        <v>115888.5</v>
      </c>
      <c r="CT18" s="458">
        <f t="shared" si="17"/>
        <v>23177.7</v>
      </c>
      <c r="CU18" s="458">
        <f t="shared" si="18"/>
        <v>3568.5</v>
      </c>
      <c r="CV18" s="458">
        <f t="shared" si="19"/>
        <v>1583.3999999999999</v>
      </c>
      <c r="CW18" s="458">
        <f t="shared" si="20"/>
        <v>904.80000000000007</v>
      </c>
      <c r="CX18" s="458">
        <f t="shared" si="21"/>
        <v>8385</v>
      </c>
      <c r="CY18" s="458">
        <f t="shared" si="22"/>
        <v>298.31578947368416</v>
      </c>
      <c r="CZ18" s="458">
        <f t="shared" si="23"/>
        <v>0</v>
      </c>
      <c r="DA18" s="458">
        <f t="shared" si="24"/>
        <v>938</v>
      </c>
      <c r="DB18" s="458">
        <f t="shared" si="25"/>
        <v>192911.56578947368</v>
      </c>
      <c r="DC18" s="452">
        <f>_xlfn.XLOOKUP($A18,'Actuals Summer'!$A:$A,'Actuals Summer'!L:L,0,0)</f>
        <v>0</v>
      </c>
      <c r="DD18" s="452">
        <f>_xlfn.XLOOKUP($A18,'Actuals Summer'!$A:$A,'Actuals Summer'!K:K,0,0)+_xlfn.XLOOKUP($A18,'Actuals Summer'!$A:$A,'Actuals Summer'!Q:Q,0,0)</f>
        <v>44805.15</v>
      </c>
      <c r="DE18" s="452">
        <f>_xlfn.XLOOKUP($A18,'Actuals Summer'!$A:$A,'Actuals Summer'!I:I,0,0)+_xlfn.XLOOKUP($A18,'Actuals Summer'!$A:$A,'Actuals Summer'!R:R,0,0)</f>
        <v>115888.5</v>
      </c>
      <c r="DF18" s="452">
        <f>_xlfn.XLOOKUP($A18,'Actuals Summer'!$A:$A,'Actuals Summer'!J:J,0,0)</f>
        <v>23177.7</v>
      </c>
      <c r="DG18" s="452">
        <f>_xlfn.XLOOKUP($A18,'Actuals Dep Summer'!$B:$B,'Actuals Dep Summer'!G:G,0,0)*'Actuals Dep Summer'!$F$2*'Actuals Dep Summer'!$C$2</f>
        <v>3211.65</v>
      </c>
      <c r="DH18" s="452">
        <f>_xlfn.XLOOKUP($A18,'Actuals Dep Summer'!$B:$B,'Actuals Dep Summer'!H:H,0,0)*'Actuals Dep Summer'!$F$2*'Actuals Dep Summer'!$C$3</f>
        <v>1300.6499999999999</v>
      </c>
      <c r="DI18" s="452">
        <f>_xlfn.XLOOKUP($A18,'Actuals Dep Summer'!$B:$B,'Actuals Dep Summer'!I:I,0,0)*'Actuals Dep Summer'!$F$2*'Actuals Dep Summer'!$C$4</f>
        <v>811.2</v>
      </c>
      <c r="DJ18" s="452">
        <f>_xlfn.XLOOKUP($A18,'Actuals Summer'!$A:$A,'Actuals Summer'!P:P,0,0)</f>
        <v>8385</v>
      </c>
      <c r="DK18" s="452">
        <f>_xlfn.XLOOKUP($A18,'Actuals Summer'!$A:$A,'Actuals Summer'!O:O,0,0)</f>
        <v>298.31578947368422</v>
      </c>
      <c r="DL18" s="452"/>
      <c r="DM18" s="452">
        <f>_xlfn.XLOOKUP($A18,'Actuals Summer'!$A:$A,'Actuals Summer'!M:M,0,0)</f>
        <v>320.89</v>
      </c>
      <c r="DN18" s="453">
        <f t="shared" si="1"/>
        <v>198199.0557894737</v>
      </c>
      <c r="DO18" s="453">
        <f>_xlfn.XLOOKUP(A18,'Actuals Summer'!A:A,'Actuals Summer'!S:S,0,0)-'Summer data team '!DN18</f>
        <v>0</v>
      </c>
      <c r="DP18" s="463">
        <f t="shared" si="2"/>
        <v>-5287.4900000000198</v>
      </c>
    </row>
    <row r="19" spans="1:120" ht="13" x14ac:dyDescent="0.3">
      <c r="A19" s="364">
        <v>1020</v>
      </c>
      <c r="B19" s="364">
        <v>3301020</v>
      </c>
      <c r="C19" s="364" t="s">
        <v>219</v>
      </c>
      <c r="D19" s="506">
        <v>2</v>
      </c>
      <c r="E19" s="506">
        <v>53</v>
      </c>
      <c r="F19" s="506">
        <v>18</v>
      </c>
      <c r="G19" s="506">
        <v>90</v>
      </c>
      <c r="H19" s="506">
        <v>53</v>
      </c>
      <c r="I19" s="507">
        <v>71</v>
      </c>
      <c r="J19" s="507">
        <v>143</v>
      </c>
      <c r="K19" s="506">
        <v>24</v>
      </c>
      <c r="L19" s="506">
        <v>17</v>
      </c>
      <c r="M19" s="507">
        <v>41</v>
      </c>
      <c r="N19" s="506">
        <v>30</v>
      </c>
      <c r="O19" s="506">
        <v>795</v>
      </c>
      <c r="P19" s="506">
        <v>1350</v>
      </c>
      <c r="Q19" s="506">
        <v>795</v>
      </c>
      <c r="R19" s="507">
        <v>2145</v>
      </c>
      <c r="S19" s="506">
        <v>270</v>
      </c>
      <c r="T19" s="506">
        <v>1065</v>
      </c>
      <c r="U19" s="506">
        <v>360</v>
      </c>
      <c r="V19" s="506">
        <v>255</v>
      </c>
      <c r="W19" s="507">
        <v>615</v>
      </c>
      <c r="X19" s="506">
        <v>73</v>
      </c>
      <c r="Y19" s="506">
        <v>1095</v>
      </c>
      <c r="Z19" s="508">
        <v>135</v>
      </c>
      <c r="AA19" s="506">
        <v>60</v>
      </c>
      <c r="AB19" s="506">
        <v>900</v>
      </c>
      <c r="AC19" s="508">
        <v>165</v>
      </c>
      <c r="AD19" s="506">
        <v>49</v>
      </c>
      <c r="AE19" s="506">
        <v>735</v>
      </c>
      <c r="AF19" s="508">
        <v>165</v>
      </c>
      <c r="AG19" s="509">
        <v>47</v>
      </c>
      <c r="AH19" s="509">
        <v>705</v>
      </c>
      <c r="AI19" s="508">
        <v>0</v>
      </c>
      <c r="AJ19" s="509">
        <v>72</v>
      </c>
      <c r="AK19" s="509">
        <v>1080</v>
      </c>
      <c r="AL19" s="508">
        <v>105</v>
      </c>
      <c r="AM19" s="506">
        <v>119</v>
      </c>
      <c r="AN19" s="506">
        <v>1785</v>
      </c>
      <c r="AO19" s="508">
        <v>105</v>
      </c>
      <c r="AP19" s="508"/>
      <c r="AQ19" s="508">
        <f t="shared" si="3"/>
        <v>119</v>
      </c>
      <c r="AR19" s="509">
        <v>46</v>
      </c>
      <c r="AS19" s="509">
        <v>690</v>
      </c>
      <c r="AT19" s="508">
        <v>0</v>
      </c>
      <c r="AU19" s="509">
        <v>71</v>
      </c>
      <c r="AV19" s="509">
        <v>1065</v>
      </c>
      <c r="AW19" s="508">
        <v>105</v>
      </c>
      <c r="AX19" s="506">
        <v>117</v>
      </c>
      <c r="AY19" s="506">
        <v>1755</v>
      </c>
      <c r="AZ19" s="508">
        <v>105</v>
      </c>
      <c r="BA19" s="508"/>
      <c r="BB19" s="508">
        <f t="shared" si="4"/>
        <v>188</v>
      </c>
      <c r="BC19" s="509">
        <v>2</v>
      </c>
      <c r="BD19" s="509">
        <v>9</v>
      </c>
      <c r="BE19" s="506">
        <v>11</v>
      </c>
      <c r="BF19" s="200"/>
      <c r="BG19" s="200"/>
      <c r="BH19" s="200"/>
      <c r="BI19" s="200"/>
      <c r="BJ19" s="200"/>
      <c r="BK19" s="200"/>
      <c r="BL19" s="200"/>
      <c r="BM19" s="505">
        <f t="shared" si="5"/>
        <v>390</v>
      </c>
      <c r="BN19" s="200">
        <f t="shared" si="6"/>
        <v>10335</v>
      </c>
      <c r="BO19" s="200">
        <f t="shared" si="26"/>
        <v>3510</v>
      </c>
      <c r="BP19" s="200">
        <f t="shared" si="7"/>
        <v>27885</v>
      </c>
      <c r="BQ19" s="200">
        <f t="shared" si="8"/>
        <v>7995</v>
      </c>
      <c r="BR19" s="200">
        <f t="shared" si="9"/>
        <v>15990</v>
      </c>
      <c r="BS19" s="200">
        <f t="shared" si="10"/>
        <v>13845</v>
      </c>
      <c r="BT19" s="200">
        <f t="shared" si="11"/>
        <v>11700</v>
      </c>
      <c r="BU19" s="200">
        <f t="shared" si="12"/>
        <v>23205</v>
      </c>
      <c r="BV19" s="200">
        <v>110</v>
      </c>
      <c r="BW19" s="200">
        <v>7</v>
      </c>
      <c r="BX19" s="200">
        <f t="shared" si="13"/>
        <v>11</v>
      </c>
      <c r="CB19" s="381">
        <f>_xlfn.IFNA(VLOOKUP(A19,'Actuals Summer'!$A:$AG,23,FALSE),0)</f>
        <v>27885</v>
      </c>
      <c r="CC19" s="381">
        <f>_xlfn.IFNA(VLOOKUP(A19,'Actuals Summer'!$A:$AG,24,FALSE),0)</f>
        <v>7995.0000000000009</v>
      </c>
      <c r="CD19" s="381">
        <f>_xlfn.IFNA(VLOOKUP(A19,'Actuals Summer'!$A:$AG,25,FALSE),0)</f>
        <v>13260</v>
      </c>
      <c r="CE19" s="381">
        <f>_xlfn.IFNA(VLOOKUP(A19,'Actuals Summer'!$A:$AG,26,FALSE),0)</f>
        <v>0</v>
      </c>
      <c r="CF19" s="381">
        <f>_xlfn.IFNA(VLOOKUP(A19,'Actuals Summer'!$A:$AG,27,FALSE),0)</f>
        <v>390</v>
      </c>
      <c r="CG19" s="381">
        <f>_xlfn.IFNA(VLOOKUP(A19,'Actuals Dep Summer'!B:O,6,FALSE)*$BN$3,0)</f>
        <v>14235</v>
      </c>
      <c r="CH19" s="381">
        <f>_xlfn.IFNA(VLOOKUP(A19,'Actuals Dep Summer'!B:O,7,FALSE)*$BN$3,0)</f>
        <v>11700</v>
      </c>
      <c r="CI19" s="381">
        <f>_xlfn.IFNA(VLOOKUP(A19,'Actuals Dep Summer'!B:O,8,FALSE)*$BN$3,0)</f>
        <v>9555</v>
      </c>
      <c r="CJ19" s="381">
        <f>_xlfn.IFNA(VLOOKUP(A19,'Actuals Summer'!$A:$AG,31,FALSE),0)*$BN$3</f>
        <v>1520.1632129103245</v>
      </c>
      <c r="CK19" s="381"/>
      <c r="CL19" s="381">
        <f>_xlfn.IFNA(VLOOKUP(A19,'Actuals Summer'!$A:$AG,32,FALSE),0)*$BN$3</f>
        <v>301665</v>
      </c>
      <c r="CM19" s="381">
        <f>_xlfn.IFNA(VLOOKUP(A19,'Actuals Summer'!$A:$AG,33,FALSE),0)</f>
        <v>10.999837625061506</v>
      </c>
      <c r="CP19" s="458">
        <f>BM19*$BM$2</f>
        <v>4648.8</v>
      </c>
      <c r="CQ19" s="458">
        <f>BN19*$BN$2</f>
        <v>87950.849999999991</v>
      </c>
      <c r="CR19" s="458">
        <f t="shared" si="0"/>
        <v>29870.1</v>
      </c>
      <c r="CS19" s="458">
        <f t="shared" si="16"/>
        <v>157829.1</v>
      </c>
      <c r="CT19" s="458">
        <f t="shared" si="17"/>
        <v>45251.700000000004</v>
      </c>
      <c r="CU19" s="458">
        <f t="shared" si="18"/>
        <v>9753.9</v>
      </c>
      <c r="CV19" s="458">
        <f t="shared" si="19"/>
        <v>4015.0499999999997</v>
      </c>
      <c r="CW19" s="458">
        <f t="shared" si="20"/>
        <v>936</v>
      </c>
      <c r="CX19" s="458">
        <f t="shared" si="21"/>
        <v>23205</v>
      </c>
      <c r="CY19" s="458">
        <f t="shared" si="22"/>
        <v>8203.6842105263149</v>
      </c>
      <c r="CZ19" s="458">
        <f t="shared" si="23"/>
        <v>1305.1315789473686</v>
      </c>
      <c r="DA19" s="458">
        <f t="shared" si="24"/>
        <v>10318</v>
      </c>
      <c r="DB19" s="458">
        <f>SUM(CP19:DA19)</f>
        <v>383287.31578947365</v>
      </c>
      <c r="DC19" s="452">
        <f>_xlfn.XLOOKUP($A19,'Actuals Summer'!$A:$A,'Actuals Summer'!L:L,0,0)</f>
        <v>4648.8</v>
      </c>
      <c r="DD19" s="452">
        <f>_xlfn.XLOOKUP($A19,'Actuals Summer'!$A:$A,'Actuals Summer'!K:K,0,0)+_xlfn.XLOOKUP($A19,'Actuals Summer'!$A:$A,'Actuals Summer'!Q:Q,0,0)</f>
        <v>112842.59999999999</v>
      </c>
      <c r="DE19" s="452">
        <f>_xlfn.XLOOKUP($A19,'Actuals Summer'!$A:$A,'Actuals Summer'!I:I,0,0)+_xlfn.XLOOKUP($A19,'Actuals Summer'!$A:$A,'Actuals Summer'!R:R,0,0)</f>
        <v>157829.1</v>
      </c>
      <c r="DF19" s="452">
        <f>_xlfn.XLOOKUP($A19,'Actuals Summer'!$A:$A,'Actuals Summer'!J:J,0,0)</f>
        <v>45251.700000000004</v>
      </c>
      <c r="DG19" s="452">
        <f>_xlfn.XLOOKUP($A19,'Actuals Dep Summer'!$B:$B,'Actuals Dep Summer'!G:G,0,0)*'Actuals Dep Summer'!$F$2*'Actuals Dep Summer'!$C$2</f>
        <v>8683.35</v>
      </c>
      <c r="DH19" s="452">
        <f>_xlfn.XLOOKUP($A19,'Actuals Dep Summer'!$B:$B,'Actuals Dep Summer'!H:H,0,0)*'Actuals Dep Summer'!$F$2*'Actuals Dep Summer'!$C$3</f>
        <v>3392.9999999999995</v>
      </c>
      <c r="DI19" s="452">
        <f>_xlfn.XLOOKUP($A19,'Actuals Dep Summer'!$B:$B,'Actuals Dep Summer'!I:I,0,0)*'Actuals Dep Summer'!$F$2*'Actuals Dep Summer'!$C$4</f>
        <v>764.4</v>
      </c>
      <c r="DJ19" s="452">
        <f>_xlfn.XLOOKUP($A19,'Actuals Summer'!$A:$A,'Actuals Summer'!P:P,0,0)</f>
        <v>23205</v>
      </c>
      <c r="DK19" s="452">
        <f>_xlfn.XLOOKUP($A19,'Actuals Summer'!$A:$A,'Actuals Summer'!O:O,0,0)</f>
        <v>8725.7368421052633</v>
      </c>
      <c r="DL19" s="452"/>
      <c r="DM19" s="452">
        <f>_xlfn.XLOOKUP($A19,'Actuals Summer'!$A:$A,'Actuals Summer'!M:M,0,0)</f>
        <v>3529.79</v>
      </c>
      <c r="DN19" s="453">
        <f t="shared" si="1"/>
        <v>368873.47684210527</v>
      </c>
      <c r="DO19" s="453">
        <f>_xlfn.XLOOKUP(A19,'Actuals Summer'!A:A,'Actuals Summer'!S:S,0,0)-'Summer data team '!DN19</f>
        <v>0</v>
      </c>
      <c r="DP19" s="463">
        <f t="shared" si="2"/>
        <v>14413.838947368378</v>
      </c>
    </row>
    <row r="20" spans="1:120" ht="13" x14ac:dyDescent="0.3">
      <c r="A20" s="364">
        <v>1021</v>
      </c>
      <c r="B20" s="364">
        <v>3301021</v>
      </c>
      <c r="C20" s="364" t="s">
        <v>91</v>
      </c>
      <c r="D20" s="506">
        <v>0</v>
      </c>
      <c r="E20" s="506">
        <v>21</v>
      </c>
      <c r="F20" s="506">
        <v>8</v>
      </c>
      <c r="G20" s="506">
        <v>25</v>
      </c>
      <c r="H20" s="506">
        <v>20</v>
      </c>
      <c r="I20" s="507">
        <v>29</v>
      </c>
      <c r="J20" s="507">
        <v>45</v>
      </c>
      <c r="K20" s="506">
        <v>3</v>
      </c>
      <c r="L20" s="506">
        <v>5</v>
      </c>
      <c r="M20" s="507">
        <v>8</v>
      </c>
      <c r="N20" s="506">
        <v>0</v>
      </c>
      <c r="O20" s="506">
        <v>315</v>
      </c>
      <c r="P20" s="506">
        <v>375</v>
      </c>
      <c r="Q20" s="506">
        <v>300</v>
      </c>
      <c r="R20" s="507">
        <v>675</v>
      </c>
      <c r="S20" s="506">
        <v>120</v>
      </c>
      <c r="T20" s="506">
        <v>435</v>
      </c>
      <c r="U20" s="506">
        <v>45</v>
      </c>
      <c r="V20" s="506">
        <v>75</v>
      </c>
      <c r="W20" s="507">
        <v>120</v>
      </c>
      <c r="X20" s="506">
        <v>7</v>
      </c>
      <c r="Y20" s="506">
        <v>105</v>
      </c>
      <c r="Z20" s="508">
        <v>15</v>
      </c>
      <c r="AA20" s="506">
        <v>13</v>
      </c>
      <c r="AB20" s="506">
        <v>195</v>
      </c>
      <c r="AC20" s="508">
        <v>15</v>
      </c>
      <c r="AD20" s="506">
        <v>22</v>
      </c>
      <c r="AE20" s="506">
        <v>330</v>
      </c>
      <c r="AF20" s="508">
        <v>60</v>
      </c>
      <c r="AG20" s="509">
        <v>18</v>
      </c>
      <c r="AH20" s="509">
        <v>270</v>
      </c>
      <c r="AI20" s="508">
        <v>0</v>
      </c>
      <c r="AJ20" s="509">
        <v>15</v>
      </c>
      <c r="AK20" s="509">
        <v>225</v>
      </c>
      <c r="AL20" s="508">
        <v>15</v>
      </c>
      <c r="AM20" s="506">
        <v>33</v>
      </c>
      <c r="AN20" s="506">
        <v>495</v>
      </c>
      <c r="AO20" s="508">
        <v>15</v>
      </c>
      <c r="AP20" s="508"/>
      <c r="AQ20" s="508">
        <f t="shared" si="3"/>
        <v>33</v>
      </c>
      <c r="AR20" s="509">
        <v>17</v>
      </c>
      <c r="AS20" s="509">
        <v>255</v>
      </c>
      <c r="AT20" s="508">
        <v>0</v>
      </c>
      <c r="AU20" s="509">
        <v>15</v>
      </c>
      <c r="AV20" s="509">
        <v>225</v>
      </c>
      <c r="AW20" s="508">
        <v>15</v>
      </c>
      <c r="AX20" s="506">
        <v>32</v>
      </c>
      <c r="AY20" s="506">
        <v>480</v>
      </c>
      <c r="AZ20" s="508">
        <v>15</v>
      </c>
      <c r="BA20" s="508"/>
      <c r="BB20" s="508">
        <f t="shared" si="4"/>
        <v>47</v>
      </c>
      <c r="BC20" s="509">
        <v>0</v>
      </c>
      <c r="BD20" s="509">
        <v>0</v>
      </c>
      <c r="BE20" s="506">
        <v>0</v>
      </c>
      <c r="BF20" s="200"/>
      <c r="BG20" s="200"/>
      <c r="BH20" s="200"/>
      <c r="BI20" s="200"/>
      <c r="BJ20" s="200"/>
      <c r="BK20" s="200"/>
      <c r="BL20" s="200"/>
      <c r="BM20" s="505">
        <f t="shared" si="5"/>
        <v>0</v>
      </c>
      <c r="BN20" s="200">
        <f t="shared" si="6"/>
        <v>4095</v>
      </c>
      <c r="BO20" s="200">
        <f t="shared" si="26"/>
        <v>1560</v>
      </c>
      <c r="BP20" s="200">
        <f t="shared" si="7"/>
        <v>8775</v>
      </c>
      <c r="BQ20" s="200">
        <f t="shared" si="8"/>
        <v>1560</v>
      </c>
      <c r="BR20" s="200">
        <f t="shared" si="9"/>
        <v>1560</v>
      </c>
      <c r="BS20" s="200">
        <f t="shared" si="10"/>
        <v>2730</v>
      </c>
      <c r="BT20" s="200">
        <f t="shared" si="11"/>
        <v>5070</v>
      </c>
      <c r="BU20" s="200">
        <f t="shared" si="12"/>
        <v>6435</v>
      </c>
      <c r="BV20" s="200">
        <v>31</v>
      </c>
      <c r="BW20" s="200">
        <v>1</v>
      </c>
      <c r="BX20" s="200">
        <f t="shared" si="13"/>
        <v>0</v>
      </c>
      <c r="CB20" s="381">
        <f>_xlfn.IFNA(VLOOKUP(A20,'Actuals Summer'!$A:$AG,23,FALSE),0)</f>
        <v>8775</v>
      </c>
      <c r="CC20" s="381">
        <f>_xlfn.IFNA(VLOOKUP(A20,'Actuals Summer'!$A:$AG,24,FALSE),0)</f>
        <v>1560</v>
      </c>
      <c r="CD20" s="381">
        <f>_xlfn.IFNA(VLOOKUP(A20,'Actuals Summer'!$A:$AG,25,FALSE),0)</f>
        <v>2925</v>
      </c>
      <c r="CE20" s="381">
        <f>_xlfn.IFNA(VLOOKUP(A20,'Actuals Summer'!$A:$AG,26,FALSE),0)</f>
        <v>0</v>
      </c>
      <c r="CF20" s="381">
        <f>_xlfn.IFNA(VLOOKUP(A20,'Actuals Summer'!$A:$AG,27,FALSE),0)</f>
        <v>0</v>
      </c>
      <c r="CG20" s="381">
        <f>_xlfn.IFNA(VLOOKUP(A20,'Actuals Dep Summer'!B:O,6,FALSE)*$BN$3,0)</f>
        <v>1365</v>
      </c>
      <c r="CH20" s="381">
        <f>_xlfn.IFNA(VLOOKUP(A20,'Actuals Dep Summer'!B:O,7,FALSE)*$BN$3,0)</f>
        <v>2535</v>
      </c>
      <c r="CI20" s="381">
        <f>_xlfn.IFNA(VLOOKUP(A20,'Actuals Dep Summer'!B:O,8,FALSE)*$BN$3,0)</f>
        <v>4290</v>
      </c>
      <c r="CJ20" s="381">
        <f>_xlfn.IFNA(VLOOKUP(A20,'Actuals Summer'!$A:$AG,31,FALSE),0)*$BN$3</f>
        <v>415.77113515496058</v>
      </c>
      <c r="CK20" s="381"/>
      <c r="CL20" s="381">
        <f>_xlfn.IFNA(VLOOKUP(A20,'Actuals Summer'!$A:$AG,32,FALSE),0)*$BN$3</f>
        <v>83655</v>
      </c>
      <c r="CM20" s="381">
        <f>_xlfn.IFNA(VLOOKUP(A20,'Actuals Summer'!$A:$AG,33,FALSE),0)</f>
        <v>0</v>
      </c>
      <c r="CP20" s="458">
        <f t="shared" si="14"/>
        <v>0</v>
      </c>
      <c r="CQ20" s="458">
        <f t="shared" si="15"/>
        <v>34848.449999999997</v>
      </c>
      <c r="CR20" s="458">
        <f t="shared" si="0"/>
        <v>13275.6</v>
      </c>
      <c r="CS20" s="458">
        <f t="shared" si="16"/>
        <v>49666.5</v>
      </c>
      <c r="CT20" s="458">
        <f t="shared" si="17"/>
        <v>8829.6</v>
      </c>
      <c r="CU20" s="458">
        <f t="shared" si="18"/>
        <v>951.6</v>
      </c>
      <c r="CV20" s="458">
        <f t="shared" si="19"/>
        <v>791.69999999999993</v>
      </c>
      <c r="CW20" s="458">
        <f t="shared" si="20"/>
        <v>405.6</v>
      </c>
      <c r="CX20" s="458">
        <f t="shared" si="21"/>
        <v>6435</v>
      </c>
      <c r="CY20" s="458">
        <f t="shared" si="22"/>
        <v>2311.9473684210525</v>
      </c>
      <c r="CZ20" s="458">
        <f t="shared" si="23"/>
        <v>186.44736842105263</v>
      </c>
      <c r="DA20" s="458">
        <f t="shared" si="24"/>
        <v>0</v>
      </c>
      <c r="DB20" s="458">
        <f t="shared" si="25"/>
        <v>117702.44473684211</v>
      </c>
      <c r="DC20" s="452">
        <f>_xlfn.XLOOKUP($A20,'Actuals Summer'!$A:$A,'Actuals Summer'!L:L,0,0)</f>
        <v>0</v>
      </c>
      <c r="DD20" s="452">
        <f>_xlfn.XLOOKUP($A20,'Actuals Summer'!$A:$A,'Actuals Summer'!K:K,0,0)+_xlfn.XLOOKUP($A20,'Actuals Summer'!$A:$A,'Actuals Summer'!Q:Q,0,0)</f>
        <v>24891.75</v>
      </c>
      <c r="DE20" s="452">
        <f>_xlfn.XLOOKUP($A20,'Actuals Summer'!$A:$A,'Actuals Summer'!I:I,0,0)+_xlfn.XLOOKUP($A20,'Actuals Summer'!$A:$A,'Actuals Summer'!R:R,0,0)</f>
        <v>49666.5</v>
      </c>
      <c r="DF20" s="452">
        <f>_xlfn.XLOOKUP($A20,'Actuals Summer'!$A:$A,'Actuals Summer'!J:J,0,0)</f>
        <v>8829.6</v>
      </c>
      <c r="DG20" s="452">
        <f>_xlfn.XLOOKUP($A20,'Actuals Dep Summer'!$B:$B,'Actuals Dep Summer'!G:G,0,0)*'Actuals Dep Summer'!$F$2*'Actuals Dep Summer'!$C$2</f>
        <v>832.65</v>
      </c>
      <c r="DH20" s="452">
        <f>_xlfn.XLOOKUP($A20,'Actuals Dep Summer'!$B:$B,'Actuals Dep Summer'!H:H,0,0)*'Actuals Dep Summer'!$F$2*'Actuals Dep Summer'!$C$3</f>
        <v>735.15</v>
      </c>
      <c r="DI20" s="452">
        <f>_xlfn.XLOOKUP($A20,'Actuals Dep Summer'!$B:$B,'Actuals Dep Summer'!I:I,0,0)*'Actuals Dep Summer'!$F$2*'Actuals Dep Summer'!$C$4</f>
        <v>343.2</v>
      </c>
      <c r="DJ20" s="452">
        <f>_xlfn.XLOOKUP($A20,'Actuals Summer'!$A:$A,'Actuals Summer'!P:P,0,0)</f>
        <v>6435</v>
      </c>
      <c r="DK20" s="452">
        <f>_xlfn.XLOOKUP($A20,'Actuals Summer'!$A:$A,'Actuals Summer'!O:O,0,0)</f>
        <v>2386.5263157894738</v>
      </c>
      <c r="DL20" s="452"/>
      <c r="DM20" s="452">
        <f>_xlfn.XLOOKUP($A20,'Actuals Summer'!$A:$A,'Actuals Summer'!M:M,0,0)</f>
        <v>0</v>
      </c>
      <c r="DN20" s="453">
        <f t="shared" si="1"/>
        <v>94120.376315789472</v>
      </c>
      <c r="DO20" s="453">
        <f>_xlfn.XLOOKUP(A20,'Actuals Summer'!A:A,'Actuals Summer'!S:S,0,0)-'Summer data team '!DN20</f>
        <v>0</v>
      </c>
      <c r="DP20" s="463">
        <f t="shared" si="2"/>
        <v>23582.068421052638</v>
      </c>
    </row>
    <row r="21" spans="1:120" ht="13" x14ac:dyDescent="0.3">
      <c r="A21" s="364">
        <v>1022</v>
      </c>
      <c r="B21" s="364">
        <v>3301022</v>
      </c>
      <c r="C21" s="364" t="s">
        <v>81</v>
      </c>
      <c r="D21" s="506">
        <v>0</v>
      </c>
      <c r="E21" s="506">
        <v>15</v>
      </c>
      <c r="F21" s="506">
        <v>13</v>
      </c>
      <c r="G21" s="506">
        <v>49</v>
      </c>
      <c r="H21" s="506">
        <v>26</v>
      </c>
      <c r="I21" s="507">
        <v>28</v>
      </c>
      <c r="J21" s="507">
        <v>75</v>
      </c>
      <c r="K21" s="506">
        <v>14</v>
      </c>
      <c r="L21" s="506">
        <v>8</v>
      </c>
      <c r="M21" s="507">
        <v>22</v>
      </c>
      <c r="N21" s="506">
        <v>0</v>
      </c>
      <c r="O21" s="506">
        <v>225</v>
      </c>
      <c r="P21" s="506">
        <v>735</v>
      </c>
      <c r="Q21" s="506">
        <v>375</v>
      </c>
      <c r="R21" s="507">
        <v>1110</v>
      </c>
      <c r="S21" s="506">
        <v>195</v>
      </c>
      <c r="T21" s="506">
        <v>420</v>
      </c>
      <c r="U21" s="506">
        <v>210</v>
      </c>
      <c r="V21" s="506">
        <v>120</v>
      </c>
      <c r="W21" s="507">
        <v>330</v>
      </c>
      <c r="X21" s="506">
        <v>24</v>
      </c>
      <c r="Y21" s="506">
        <v>345</v>
      </c>
      <c r="Z21" s="508">
        <v>105</v>
      </c>
      <c r="AA21" s="506">
        <v>19</v>
      </c>
      <c r="AB21" s="506">
        <v>285</v>
      </c>
      <c r="AC21" s="508">
        <v>30</v>
      </c>
      <c r="AD21" s="506">
        <v>47</v>
      </c>
      <c r="AE21" s="506">
        <v>705</v>
      </c>
      <c r="AF21" s="508">
        <v>105</v>
      </c>
      <c r="AG21" s="509">
        <v>12</v>
      </c>
      <c r="AH21" s="509">
        <v>180</v>
      </c>
      <c r="AI21" s="508">
        <v>0</v>
      </c>
      <c r="AJ21" s="509">
        <v>32</v>
      </c>
      <c r="AK21" s="509">
        <v>480</v>
      </c>
      <c r="AL21" s="508">
        <v>90</v>
      </c>
      <c r="AM21" s="506">
        <v>44</v>
      </c>
      <c r="AN21" s="506">
        <v>660</v>
      </c>
      <c r="AO21" s="508">
        <v>90</v>
      </c>
      <c r="AP21" s="508"/>
      <c r="AQ21" s="508">
        <f t="shared" si="3"/>
        <v>44</v>
      </c>
      <c r="AR21" s="509">
        <v>0</v>
      </c>
      <c r="AS21" s="509">
        <v>0</v>
      </c>
      <c r="AT21" s="508">
        <v>0</v>
      </c>
      <c r="AU21" s="509">
        <v>17</v>
      </c>
      <c r="AV21" s="509">
        <v>255</v>
      </c>
      <c r="AW21" s="508">
        <v>90</v>
      </c>
      <c r="AX21" s="506">
        <v>17</v>
      </c>
      <c r="AY21" s="506">
        <v>255</v>
      </c>
      <c r="AZ21" s="508">
        <v>90</v>
      </c>
      <c r="BA21" s="508"/>
      <c r="BB21" s="508">
        <f t="shared" si="4"/>
        <v>34</v>
      </c>
      <c r="BC21" s="509">
        <v>1</v>
      </c>
      <c r="BD21" s="509">
        <v>4</v>
      </c>
      <c r="BE21" s="506">
        <v>5</v>
      </c>
      <c r="BF21" s="200"/>
      <c r="BG21" s="200"/>
      <c r="BH21" s="200"/>
      <c r="BI21" s="200"/>
      <c r="BJ21" s="200"/>
      <c r="BK21" s="200"/>
      <c r="BL21" s="200"/>
      <c r="BM21" s="505">
        <f t="shared" si="5"/>
        <v>0</v>
      </c>
      <c r="BN21" s="200">
        <f t="shared" si="6"/>
        <v>2925</v>
      </c>
      <c r="BO21" s="200">
        <f t="shared" si="26"/>
        <v>2535</v>
      </c>
      <c r="BP21" s="200">
        <f t="shared" si="7"/>
        <v>14430</v>
      </c>
      <c r="BQ21" s="200">
        <f t="shared" si="8"/>
        <v>4290</v>
      </c>
      <c r="BR21" s="200">
        <f t="shared" si="9"/>
        <v>5850</v>
      </c>
      <c r="BS21" s="200">
        <f t="shared" si="10"/>
        <v>4095</v>
      </c>
      <c r="BT21" s="200">
        <f t="shared" si="11"/>
        <v>10530</v>
      </c>
      <c r="BU21" s="200">
        <f t="shared" si="12"/>
        <v>8580</v>
      </c>
      <c r="BV21" s="200">
        <v>11</v>
      </c>
      <c r="BW21" s="200">
        <v>6</v>
      </c>
      <c r="BX21" s="200">
        <f t="shared" si="13"/>
        <v>5</v>
      </c>
      <c r="CB21" s="381">
        <f>_xlfn.IFNA(VLOOKUP(A21,'Actuals Summer'!$A:$AG,23,FALSE),0)</f>
        <v>14430</v>
      </c>
      <c r="CC21" s="381">
        <f>_xlfn.IFNA(VLOOKUP(A21,'Actuals Summer'!$A:$AG,24,FALSE),0)</f>
        <v>4290</v>
      </c>
      <c r="CD21" s="381">
        <f>_xlfn.IFNA(VLOOKUP(A21,'Actuals Summer'!$A:$AG,25,FALSE),0)</f>
        <v>4875</v>
      </c>
      <c r="CE21" s="381">
        <f>_xlfn.IFNA(VLOOKUP(A21,'Actuals Summer'!$A:$AG,26,FALSE),0)</f>
        <v>0</v>
      </c>
      <c r="CF21" s="381">
        <f>_xlfn.IFNA(VLOOKUP(A21,'Actuals Summer'!$A:$AG,27,FALSE),0)</f>
        <v>0</v>
      </c>
      <c r="CG21" s="381">
        <f>_xlfn.IFNA(VLOOKUP(A21,'Actuals Dep Summer'!B:O,6,FALSE)*$BN$3,0)</f>
        <v>4485</v>
      </c>
      <c r="CH21" s="381">
        <f>_xlfn.IFNA(VLOOKUP(A21,'Actuals Dep Summer'!B:O,7,FALSE)*$BN$3,0)</f>
        <v>3705</v>
      </c>
      <c r="CI21" s="381">
        <f>_xlfn.IFNA(VLOOKUP(A21,'Actuals Dep Summer'!B:O,8,FALSE)*$BN$3,0)</f>
        <v>9165</v>
      </c>
      <c r="CJ21" s="381">
        <f>_xlfn.IFNA(VLOOKUP(A21,'Actuals Summer'!$A:$AG,31,FALSE),0)*$BN$3</f>
        <v>220.87841555107278</v>
      </c>
      <c r="CK21" s="381"/>
      <c r="CL21" s="381">
        <f>_xlfn.IFNA(VLOOKUP(A21,'Actuals Summer'!$A:$AG,32,FALSE),0)*$BN$3</f>
        <v>111540</v>
      </c>
      <c r="CM21" s="381">
        <f>_xlfn.IFNA(VLOOKUP(A21,'Actuals Summer'!$A:$AG,33,FALSE),0)</f>
        <v>4.9999261932097747</v>
      </c>
      <c r="CP21" s="458">
        <f t="shared" si="14"/>
        <v>0</v>
      </c>
      <c r="CQ21" s="458">
        <f t="shared" si="15"/>
        <v>24891.75</v>
      </c>
      <c r="CR21" s="458">
        <f t="shared" si="0"/>
        <v>21572.85</v>
      </c>
      <c r="CS21" s="458">
        <f t="shared" si="16"/>
        <v>81673.8</v>
      </c>
      <c r="CT21" s="458">
        <f t="shared" si="17"/>
        <v>24281.4</v>
      </c>
      <c r="CU21" s="458">
        <f t="shared" si="18"/>
        <v>3568.5</v>
      </c>
      <c r="CV21" s="458">
        <f t="shared" si="19"/>
        <v>1187.55</v>
      </c>
      <c r="CW21" s="458">
        <f t="shared" si="20"/>
        <v>842.4</v>
      </c>
      <c r="CX21" s="458">
        <f t="shared" si="21"/>
        <v>8580</v>
      </c>
      <c r="CY21" s="458">
        <f t="shared" si="22"/>
        <v>820.36842105263156</v>
      </c>
      <c r="CZ21" s="458">
        <f t="shared" si="23"/>
        <v>1118.6842105263158</v>
      </c>
      <c r="DA21" s="458">
        <f t="shared" si="24"/>
        <v>4690</v>
      </c>
      <c r="DB21" s="458">
        <f t="shared" si="25"/>
        <v>173227.30263157893</v>
      </c>
      <c r="DC21" s="452">
        <f>_xlfn.XLOOKUP($A21,'Actuals Summer'!$A:$A,'Actuals Summer'!L:L,0,0)</f>
        <v>0</v>
      </c>
      <c r="DD21" s="452">
        <f>_xlfn.XLOOKUP($A21,'Actuals Summer'!$A:$A,'Actuals Summer'!K:K,0,0)+_xlfn.XLOOKUP($A21,'Actuals Summer'!$A:$A,'Actuals Summer'!Q:Q,0,0)</f>
        <v>41486.25</v>
      </c>
      <c r="DE21" s="452">
        <f>_xlfn.XLOOKUP($A21,'Actuals Summer'!$A:$A,'Actuals Summer'!I:I,0,0)+_xlfn.XLOOKUP($A21,'Actuals Summer'!$A:$A,'Actuals Summer'!R:R,0,0)</f>
        <v>81673.8</v>
      </c>
      <c r="DF21" s="452">
        <f>_xlfn.XLOOKUP($A21,'Actuals Summer'!$A:$A,'Actuals Summer'!J:J,0,0)</f>
        <v>24281.4</v>
      </c>
      <c r="DG21" s="452">
        <f>_xlfn.XLOOKUP($A21,'Actuals Dep Summer'!$B:$B,'Actuals Dep Summer'!G:G,0,0)*'Actuals Dep Summer'!$F$2*'Actuals Dep Summer'!$C$2</f>
        <v>2735.85</v>
      </c>
      <c r="DH21" s="452">
        <f>_xlfn.XLOOKUP($A21,'Actuals Dep Summer'!$B:$B,'Actuals Dep Summer'!H:H,0,0)*'Actuals Dep Summer'!$F$2*'Actuals Dep Summer'!$C$3</f>
        <v>1074.4499999999998</v>
      </c>
      <c r="DI21" s="452">
        <f>_xlfn.XLOOKUP($A21,'Actuals Dep Summer'!$B:$B,'Actuals Dep Summer'!I:I,0,0)*'Actuals Dep Summer'!$F$2*'Actuals Dep Summer'!$C$4</f>
        <v>733.2</v>
      </c>
      <c r="DJ21" s="452">
        <f>_xlfn.XLOOKUP($A21,'Actuals Summer'!$A:$A,'Actuals Summer'!P:P,0,0)</f>
        <v>8580</v>
      </c>
      <c r="DK21" s="452">
        <f>_xlfn.XLOOKUP($A21,'Actuals Summer'!$A:$A,'Actuals Summer'!O:O,0,0)</f>
        <v>1267.8421052631579</v>
      </c>
      <c r="DL21" s="452"/>
      <c r="DM21" s="452">
        <f>_xlfn.XLOOKUP($A21,'Actuals Summer'!$A:$A,'Actuals Summer'!M:M,0,0)</f>
        <v>1604.4499999999998</v>
      </c>
      <c r="DN21" s="453">
        <f t="shared" si="1"/>
        <v>163437.2421052632</v>
      </c>
      <c r="DO21" s="453">
        <f>_xlfn.XLOOKUP(A21,'Actuals Summer'!A:A,'Actuals Summer'!S:S,0,0)-'Summer data team '!DN21</f>
        <v>0</v>
      </c>
      <c r="DP21" s="463">
        <f t="shared" si="2"/>
        <v>9790.060526315734</v>
      </c>
    </row>
    <row r="22" spans="1:120" ht="13" x14ac:dyDescent="0.3">
      <c r="A22" s="364">
        <v>1023</v>
      </c>
      <c r="B22" s="364">
        <v>3301023</v>
      </c>
      <c r="C22" s="364" t="s">
        <v>97</v>
      </c>
      <c r="D22" s="506">
        <v>0</v>
      </c>
      <c r="E22" s="506">
        <v>18</v>
      </c>
      <c r="F22" s="506">
        <v>8</v>
      </c>
      <c r="G22" s="506">
        <v>49</v>
      </c>
      <c r="H22" s="506">
        <v>38</v>
      </c>
      <c r="I22" s="507">
        <v>26</v>
      </c>
      <c r="J22" s="507">
        <v>87</v>
      </c>
      <c r="K22" s="506">
        <v>6</v>
      </c>
      <c r="L22" s="506">
        <v>3</v>
      </c>
      <c r="M22" s="507">
        <v>9</v>
      </c>
      <c r="N22" s="506">
        <v>0</v>
      </c>
      <c r="O22" s="506">
        <v>270</v>
      </c>
      <c r="P22" s="506">
        <v>735</v>
      </c>
      <c r="Q22" s="506">
        <v>570</v>
      </c>
      <c r="R22" s="507">
        <v>1305</v>
      </c>
      <c r="S22" s="506">
        <v>120</v>
      </c>
      <c r="T22" s="506">
        <v>390</v>
      </c>
      <c r="U22" s="506">
        <v>90</v>
      </c>
      <c r="V22" s="506">
        <v>45</v>
      </c>
      <c r="W22" s="507">
        <v>135</v>
      </c>
      <c r="X22" s="506">
        <v>10</v>
      </c>
      <c r="Y22" s="506">
        <v>150</v>
      </c>
      <c r="Z22" s="508">
        <v>0</v>
      </c>
      <c r="AA22" s="506">
        <v>30</v>
      </c>
      <c r="AB22" s="506">
        <v>450</v>
      </c>
      <c r="AC22" s="508">
        <v>15</v>
      </c>
      <c r="AD22" s="506">
        <v>57</v>
      </c>
      <c r="AE22" s="506">
        <v>855</v>
      </c>
      <c r="AF22" s="508">
        <v>105</v>
      </c>
      <c r="AG22" s="509">
        <v>16</v>
      </c>
      <c r="AH22" s="509">
        <v>240</v>
      </c>
      <c r="AI22" s="508">
        <v>0</v>
      </c>
      <c r="AJ22" s="509">
        <v>39</v>
      </c>
      <c r="AK22" s="509">
        <v>585</v>
      </c>
      <c r="AL22" s="508">
        <v>15</v>
      </c>
      <c r="AM22" s="506">
        <v>55</v>
      </c>
      <c r="AN22" s="506">
        <v>825</v>
      </c>
      <c r="AO22" s="508">
        <v>15</v>
      </c>
      <c r="AP22" s="508"/>
      <c r="AQ22" s="508">
        <f t="shared" si="3"/>
        <v>55</v>
      </c>
      <c r="AR22" s="509">
        <v>5</v>
      </c>
      <c r="AS22" s="509">
        <v>75</v>
      </c>
      <c r="AT22" s="508">
        <v>0</v>
      </c>
      <c r="AU22" s="509">
        <v>13</v>
      </c>
      <c r="AV22" s="509">
        <v>195</v>
      </c>
      <c r="AW22" s="508">
        <v>15</v>
      </c>
      <c r="AX22" s="506">
        <v>18</v>
      </c>
      <c r="AY22" s="506">
        <v>270</v>
      </c>
      <c r="AZ22" s="508">
        <v>15</v>
      </c>
      <c r="BA22" s="508"/>
      <c r="BB22" s="508">
        <f t="shared" si="4"/>
        <v>31</v>
      </c>
      <c r="BC22" s="509">
        <v>1</v>
      </c>
      <c r="BD22" s="509">
        <v>7</v>
      </c>
      <c r="BE22" s="506">
        <v>8</v>
      </c>
      <c r="BF22" s="200"/>
      <c r="BG22" s="200"/>
      <c r="BH22" s="200"/>
      <c r="BI22" s="200"/>
      <c r="BJ22" s="200"/>
      <c r="BK22" s="200"/>
      <c r="BL22" s="200"/>
      <c r="BM22" s="505">
        <f t="shared" si="5"/>
        <v>0</v>
      </c>
      <c r="BN22" s="200">
        <f t="shared" si="6"/>
        <v>3510</v>
      </c>
      <c r="BO22" s="200">
        <f t="shared" si="26"/>
        <v>1560</v>
      </c>
      <c r="BP22" s="200">
        <f t="shared" si="7"/>
        <v>16965</v>
      </c>
      <c r="BQ22" s="200">
        <f t="shared" si="8"/>
        <v>1755</v>
      </c>
      <c r="BR22" s="200">
        <f t="shared" si="9"/>
        <v>1950</v>
      </c>
      <c r="BS22" s="200">
        <f t="shared" si="10"/>
        <v>6045</v>
      </c>
      <c r="BT22" s="200">
        <f t="shared" si="11"/>
        <v>12480</v>
      </c>
      <c r="BU22" s="200">
        <f t="shared" si="12"/>
        <v>10725</v>
      </c>
      <c r="BV22" s="200">
        <v>17</v>
      </c>
      <c r="BW22" s="200">
        <v>1</v>
      </c>
      <c r="BX22" s="200">
        <f t="shared" si="13"/>
        <v>8</v>
      </c>
      <c r="CB22" s="381">
        <f>_xlfn.IFNA(VLOOKUP(A22,'Actuals Summer'!$A:$AG,23,FALSE),0)</f>
        <v>16965</v>
      </c>
      <c r="CC22" s="381">
        <f>_xlfn.IFNA(VLOOKUP(A22,'Actuals Summer'!$A:$AG,24,FALSE),0)</f>
        <v>1755.0000000000002</v>
      </c>
      <c r="CD22" s="381">
        <f>_xlfn.IFNA(VLOOKUP(A22,'Actuals Summer'!$A:$AG,25,FALSE),0)</f>
        <v>3900</v>
      </c>
      <c r="CE22" s="381">
        <f>_xlfn.IFNA(VLOOKUP(A22,'Actuals Summer'!$A:$AG,26,FALSE),0)</f>
        <v>0</v>
      </c>
      <c r="CF22" s="381">
        <f>_xlfn.IFNA(VLOOKUP(A22,'Actuals Summer'!$A:$AG,27,FALSE),0)</f>
        <v>0</v>
      </c>
      <c r="CG22" s="381">
        <f>_xlfn.IFNA(VLOOKUP(A22,'Actuals Dep Summer'!B:O,6,FALSE)*$BN$3,0)</f>
        <v>1950</v>
      </c>
      <c r="CH22" s="381">
        <f>_xlfn.IFNA(VLOOKUP(A22,'Actuals Dep Summer'!B:O,7,FALSE)*$BN$3,0)</f>
        <v>5850</v>
      </c>
      <c r="CI22" s="381">
        <f>_xlfn.IFNA(VLOOKUP(A22,'Actuals Dep Summer'!B:O,8,FALSE)*$BN$3,0)</f>
        <v>11115</v>
      </c>
      <c r="CJ22" s="381">
        <f>_xlfn.IFNA(VLOOKUP(A22,'Actuals Summer'!$A:$AG,31,FALSE),0)*$BN$3</f>
        <v>233.87126352466532</v>
      </c>
      <c r="CK22" s="381"/>
      <c r="CL22" s="381">
        <f>_xlfn.IFNA(VLOOKUP(A22,'Actuals Summer'!$A:$AG,32,FALSE),0)*$BN$3</f>
        <v>139425</v>
      </c>
      <c r="CM22" s="381">
        <f>_xlfn.IFNA(VLOOKUP(A22,'Actuals Summer'!$A:$AG,33,FALSE),0)</f>
        <v>7.9998819091356399</v>
      </c>
      <c r="CP22" s="458">
        <f t="shared" si="14"/>
        <v>0</v>
      </c>
      <c r="CQ22" s="458">
        <f t="shared" si="15"/>
        <v>29870.1</v>
      </c>
      <c r="CR22" s="458">
        <f t="shared" si="0"/>
        <v>13275.6</v>
      </c>
      <c r="CS22" s="458">
        <f t="shared" si="16"/>
        <v>96021.900000000009</v>
      </c>
      <c r="CT22" s="458">
        <f t="shared" si="17"/>
        <v>9933.3000000000011</v>
      </c>
      <c r="CU22" s="458">
        <f t="shared" si="18"/>
        <v>1189.5</v>
      </c>
      <c r="CV22" s="458">
        <f t="shared" si="19"/>
        <v>1753.05</v>
      </c>
      <c r="CW22" s="458">
        <f t="shared" si="20"/>
        <v>998.4</v>
      </c>
      <c r="CX22" s="458">
        <f t="shared" si="21"/>
        <v>10725</v>
      </c>
      <c r="CY22" s="458">
        <f t="shared" si="22"/>
        <v>1267.8421052631577</v>
      </c>
      <c r="CZ22" s="458">
        <f t="shared" si="23"/>
        <v>186.44736842105263</v>
      </c>
      <c r="DA22" s="458">
        <f t="shared" si="24"/>
        <v>7504</v>
      </c>
      <c r="DB22" s="458">
        <f t="shared" si="25"/>
        <v>172725.13947368416</v>
      </c>
      <c r="DC22" s="452">
        <f>_xlfn.XLOOKUP($A22,'Actuals Summer'!$A:$A,'Actuals Summer'!L:L,0,0)</f>
        <v>0</v>
      </c>
      <c r="DD22" s="452">
        <f>_xlfn.XLOOKUP($A22,'Actuals Summer'!$A:$A,'Actuals Summer'!K:K,0,0)+_xlfn.XLOOKUP($A22,'Actuals Summer'!$A:$A,'Actuals Summer'!Q:Q,0,0)</f>
        <v>33189</v>
      </c>
      <c r="DE22" s="452">
        <f>_xlfn.XLOOKUP($A22,'Actuals Summer'!$A:$A,'Actuals Summer'!I:I,0,0)+_xlfn.XLOOKUP($A22,'Actuals Summer'!$A:$A,'Actuals Summer'!R:R,0,0)</f>
        <v>96021.900000000009</v>
      </c>
      <c r="DF22" s="452">
        <f>_xlfn.XLOOKUP($A22,'Actuals Summer'!$A:$A,'Actuals Summer'!J:J,0,0)</f>
        <v>9933.3000000000011</v>
      </c>
      <c r="DG22" s="452">
        <f>_xlfn.XLOOKUP($A22,'Actuals Dep Summer'!$B:$B,'Actuals Dep Summer'!G:G,0,0)*'Actuals Dep Summer'!$F$2*'Actuals Dep Summer'!$C$2</f>
        <v>1189.5</v>
      </c>
      <c r="DH22" s="452">
        <f>_xlfn.XLOOKUP($A22,'Actuals Dep Summer'!$B:$B,'Actuals Dep Summer'!H:H,0,0)*'Actuals Dep Summer'!$F$2*'Actuals Dep Summer'!$C$3</f>
        <v>1696.4999999999998</v>
      </c>
      <c r="DI22" s="452">
        <f>_xlfn.XLOOKUP($A22,'Actuals Dep Summer'!$B:$B,'Actuals Dep Summer'!I:I,0,0)*'Actuals Dep Summer'!$F$2*'Actuals Dep Summer'!$C$4</f>
        <v>889.2</v>
      </c>
      <c r="DJ22" s="452">
        <f>_xlfn.XLOOKUP($A22,'Actuals Summer'!$A:$A,'Actuals Summer'!P:P,0,0)</f>
        <v>10725</v>
      </c>
      <c r="DK22" s="452">
        <f>_xlfn.XLOOKUP($A22,'Actuals Summer'!$A:$A,'Actuals Summer'!O:O,0,0)</f>
        <v>1342.421052631579</v>
      </c>
      <c r="DL22" s="452"/>
      <c r="DM22" s="452">
        <f>_xlfn.XLOOKUP($A22,'Actuals Summer'!$A:$A,'Actuals Summer'!M:M,0,0)</f>
        <v>2567.12</v>
      </c>
      <c r="DN22" s="453">
        <f t="shared" si="1"/>
        <v>157553.94105263159</v>
      </c>
      <c r="DO22" s="453">
        <f>_xlfn.XLOOKUP(A22,'Actuals Summer'!A:A,'Actuals Summer'!S:S,0,0)-'Summer data team '!DN22</f>
        <v>0</v>
      </c>
      <c r="DP22" s="463">
        <f t="shared" si="2"/>
        <v>15171.19842105257</v>
      </c>
    </row>
    <row r="23" spans="1:120" ht="13" x14ac:dyDescent="0.3">
      <c r="A23" s="364">
        <v>1024</v>
      </c>
      <c r="B23" s="364">
        <v>3301024</v>
      </c>
      <c r="C23" s="364" t="s">
        <v>251</v>
      </c>
      <c r="D23" s="506">
        <v>0</v>
      </c>
      <c r="E23" s="506">
        <v>30</v>
      </c>
      <c r="F23" s="506">
        <v>6</v>
      </c>
      <c r="G23" s="506">
        <v>42</v>
      </c>
      <c r="H23" s="506">
        <v>22</v>
      </c>
      <c r="I23" s="507">
        <v>36</v>
      </c>
      <c r="J23" s="507">
        <v>64</v>
      </c>
      <c r="K23" s="506">
        <v>2</v>
      </c>
      <c r="L23" s="506">
        <v>2</v>
      </c>
      <c r="M23" s="507">
        <v>4</v>
      </c>
      <c r="N23" s="506">
        <v>0</v>
      </c>
      <c r="O23" s="506">
        <v>450</v>
      </c>
      <c r="P23" s="506">
        <v>630</v>
      </c>
      <c r="Q23" s="506">
        <v>330</v>
      </c>
      <c r="R23" s="507">
        <v>960</v>
      </c>
      <c r="S23" s="506">
        <v>90</v>
      </c>
      <c r="T23" s="506">
        <v>540</v>
      </c>
      <c r="U23" s="506">
        <v>30</v>
      </c>
      <c r="V23" s="506">
        <v>30</v>
      </c>
      <c r="W23" s="507">
        <v>60</v>
      </c>
      <c r="X23" s="506">
        <v>41</v>
      </c>
      <c r="Y23" s="506">
        <v>615</v>
      </c>
      <c r="Z23" s="508">
        <v>15</v>
      </c>
      <c r="AA23" s="506">
        <v>11</v>
      </c>
      <c r="AB23" s="506">
        <v>165</v>
      </c>
      <c r="AC23" s="508">
        <v>15</v>
      </c>
      <c r="AD23" s="506">
        <v>21</v>
      </c>
      <c r="AE23" s="506">
        <v>315</v>
      </c>
      <c r="AF23" s="508">
        <v>0</v>
      </c>
      <c r="AG23" s="509">
        <v>25</v>
      </c>
      <c r="AH23" s="509">
        <v>375</v>
      </c>
      <c r="AI23" s="508">
        <v>0</v>
      </c>
      <c r="AJ23" s="509">
        <v>33</v>
      </c>
      <c r="AK23" s="509">
        <v>495</v>
      </c>
      <c r="AL23" s="508">
        <v>0</v>
      </c>
      <c r="AM23" s="506">
        <v>58</v>
      </c>
      <c r="AN23" s="506">
        <v>870</v>
      </c>
      <c r="AO23" s="508">
        <v>0</v>
      </c>
      <c r="AP23" s="508"/>
      <c r="AQ23" s="508">
        <f t="shared" si="3"/>
        <v>58</v>
      </c>
      <c r="AR23" s="509">
        <v>21</v>
      </c>
      <c r="AS23" s="509">
        <v>315</v>
      </c>
      <c r="AT23" s="508">
        <v>0</v>
      </c>
      <c r="AU23" s="509">
        <v>31</v>
      </c>
      <c r="AV23" s="509">
        <v>465</v>
      </c>
      <c r="AW23" s="508">
        <v>0</v>
      </c>
      <c r="AX23" s="506">
        <v>52</v>
      </c>
      <c r="AY23" s="506">
        <v>780</v>
      </c>
      <c r="AZ23" s="508">
        <v>0</v>
      </c>
      <c r="BA23" s="508"/>
      <c r="BB23" s="508">
        <f t="shared" si="4"/>
        <v>83</v>
      </c>
      <c r="BC23" s="509">
        <v>1</v>
      </c>
      <c r="BD23" s="509">
        <v>0</v>
      </c>
      <c r="BE23" s="506">
        <v>1</v>
      </c>
      <c r="BF23" s="200"/>
      <c r="BG23" s="200">
        <v>325.2</v>
      </c>
      <c r="BH23" s="200"/>
      <c r="BI23" s="200"/>
      <c r="BJ23" s="200"/>
      <c r="BK23" s="200"/>
      <c r="BL23" s="200"/>
      <c r="BM23" s="505">
        <f t="shared" si="5"/>
        <v>0</v>
      </c>
      <c r="BN23" s="200">
        <f t="shared" si="6"/>
        <v>5850</v>
      </c>
      <c r="BO23" s="200">
        <f t="shared" si="26"/>
        <v>1170</v>
      </c>
      <c r="BP23" s="200">
        <f t="shared" si="7"/>
        <v>12480</v>
      </c>
      <c r="BQ23" s="200">
        <f t="shared" si="8"/>
        <v>1105.2</v>
      </c>
      <c r="BR23" s="200">
        <f t="shared" si="9"/>
        <v>8190</v>
      </c>
      <c r="BS23" s="200">
        <f t="shared" si="10"/>
        <v>2340</v>
      </c>
      <c r="BT23" s="200">
        <f t="shared" si="11"/>
        <v>4095</v>
      </c>
      <c r="BU23" s="200">
        <f t="shared" si="12"/>
        <v>11310</v>
      </c>
      <c r="BV23" s="200">
        <v>52</v>
      </c>
      <c r="BW23" s="200">
        <v>0</v>
      </c>
      <c r="BX23" s="200">
        <f t="shared" si="13"/>
        <v>1</v>
      </c>
      <c r="CB23" s="381">
        <f>_xlfn.IFNA(VLOOKUP(A23,'Actuals Summer'!$A:$AG,23,FALSE),0)</f>
        <v>12805.199999999999</v>
      </c>
      <c r="CC23" s="381">
        <f>_xlfn.IFNA(VLOOKUP(A23,'Actuals Summer'!$A:$AG,24,FALSE),0)</f>
        <v>780</v>
      </c>
      <c r="CD23" s="381">
        <f>_xlfn.IFNA(VLOOKUP(A23,'Actuals Summer'!$A:$AG,25,FALSE),0)</f>
        <v>5070</v>
      </c>
      <c r="CE23" s="381">
        <f>_xlfn.IFNA(VLOOKUP(A23,'Actuals Summer'!$A:$AG,26,FALSE),0)</f>
        <v>0</v>
      </c>
      <c r="CF23" s="381">
        <f>_xlfn.IFNA(VLOOKUP(A23,'Actuals Summer'!$A:$AG,27,FALSE),0)</f>
        <v>0</v>
      </c>
      <c r="CG23" s="381">
        <f>_xlfn.IFNA(VLOOKUP(A23,'Actuals Dep Summer'!B:O,6,FALSE)*$BN$3,0)</f>
        <v>7995</v>
      </c>
      <c r="CH23" s="381">
        <f>_xlfn.IFNA(VLOOKUP(A23,'Actuals Dep Summer'!B:O,7,FALSE)*$BN$3,0)</f>
        <v>2145</v>
      </c>
      <c r="CI23" s="381">
        <f>_xlfn.IFNA(VLOOKUP(A23,'Actuals Dep Summer'!B:O,8,FALSE)*$BN$3,0)</f>
        <v>4095</v>
      </c>
      <c r="CJ23" s="381">
        <f>_xlfn.IFNA(VLOOKUP(A23,'Actuals Summer'!$A:$AG,31,FALSE),0)*$BN$3</f>
        <v>675.62809462681093</v>
      </c>
      <c r="CK23" s="381"/>
      <c r="CL23" s="381">
        <f>_xlfn.IFNA(VLOOKUP(A23,'Actuals Summer'!$A:$AG,32,FALSE),0)*$BN$3</f>
        <v>147030</v>
      </c>
      <c r="CM23" s="381">
        <f>_xlfn.IFNA(VLOOKUP(A23,'Actuals Summer'!$A:$AG,33,FALSE),0)</f>
        <v>0.99998523864195499</v>
      </c>
      <c r="CP23" s="458">
        <f t="shared" si="14"/>
        <v>0</v>
      </c>
      <c r="CQ23" s="458">
        <f t="shared" si="15"/>
        <v>49783.5</v>
      </c>
      <c r="CR23" s="458">
        <f t="shared" si="0"/>
        <v>9956.6999999999989</v>
      </c>
      <c r="CS23" s="458">
        <f t="shared" si="16"/>
        <v>70636.800000000003</v>
      </c>
      <c r="CT23" s="458">
        <f t="shared" si="17"/>
        <v>6255.4320000000007</v>
      </c>
      <c r="CU23" s="458">
        <f t="shared" si="18"/>
        <v>4995.8999999999996</v>
      </c>
      <c r="CV23" s="458">
        <f t="shared" si="19"/>
        <v>678.59999999999991</v>
      </c>
      <c r="CW23" s="458">
        <f t="shared" si="20"/>
        <v>327.60000000000002</v>
      </c>
      <c r="CX23" s="458">
        <f t="shared" si="21"/>
        <v>11310</v>
      </c>
      <c r="CY23" s="458">
        <f t="shared" si="22"/>
        <v>3878.1052631578941</v>
      </c>
      <c r="CZ23" s="458">
        <f t="shared" si="23"/>
        <v>0</v>
      </c>
      <c r="DA23" s="458">
        <f t="shared" si="24"/>
        <v>938</v>
      </c>
      <c r="DB23" s="458">
        <f t="shared" si="25"/>
        <v>158760.6372631579</v>
      </c>
      <c r="DC23" s="452">
        <f>_xlfn.XLOOKUP($A23,'Actuals Summer'!$A:$A,'Actuals Summer'!L:L,0,0)</f>
        <v>0</v>
      </c>
      <c r="DD23" s="452">
        <f>_xlfn.XLOOKUP($A23,'Actuals Summer'!$A:$A,'Actuals Summer'!K:K,0,0)+_xlfn.XLOOKUP($A23,'Actuals Summer'!$A:$A,'Actuals Summer'!Q:Q,0,0)</f>
        <v>43145.7</v>
      </c>
      <c r="DE23" s="452">
        <f>_xlfn.XLOOKUP($A23,'Actuals Summer'!$A:$A,'Actuals Summer'!I:I,0,0)+_xlfn.XLOOKUP($A23,'Actuals Summer'!$A:$A,'Actuals Summer'!R:R,0,0)</f>
        <v>72477.432000000001</v>
      </c>
      <c r="DF23" s="452">
        <f>_xlfn.XLOOKUP($A23,'Actuals Summer'!$A:$A,'Actuals Summer'!J:J,0,0)</f>
        <v>4414.8</v>
      </c>
      <c r="DG23" s="452">
        <f>_xlfn.XLOOKUP($A23,'Actuals Dep Summer'!$B:$B,'Actuals Dep Summer'!G:G,0,0)*'Actuals Dep Summer'!$F$2*'Actuals Dep Summer'!$C$2</f>
        <v>4876.95</v>
      </c>
      <c r="DH23" s="452">
        <f>_xlfn.XLOOKUP($A23,'Actuals Dep Summer'!$B:$B,'Actuals Dep Summer'!H:H,0,0)*'Actuals Dep Summer'!$F$2*'Actuals Dep Summer'!$C$3</f>
        <v>622.04999999999995</v>
      </c>
      <c r="DI23" s="452">
        <f>_xlfn.XLOOKUP($A23,'Actuals Dep Summer'!$B:$B,'Actuals Dep Summer'!I:I,0,0)*'Actuals Dep Summer'!$F$2*'Actuals Dep Summer'!$C$4</f>
        <v>327.60000000000002</v>
      </c>
      <c r="DJ23" s="452">
        <f>_xlfn.XLOOKUP($A23,'Actuals Summer'!$A:$A,'Actuals Summer'!P:P,0,0)</f>
        <v>11310</v>
      </c>
      <c r="DK23" s="452">
        <f>_xlfn.XLOOKUP($A23,'Actuals Summer'!$A:$A,'Actuals Summer'!O:O,0,0)</f>
        <v>3878.105263157895</v>
      </c>
      <c r="DL23" s="452"/>
      <c r="DM23" s="452">
        <f>_xlfn.XLOOKUP($A23,'Actuals Summer'!$A:$A,'Actuals Summer'!M:M,0,0)</f>
        <v>320.89</v>
      </c>
      <c r="DN23" s="453">
        <f t="shared" si="1"/>
        <v>141373.52726315791</v>
      </c>
      <c r="DO23" s="453">
        <f>_xlfn.XLOOKUP(A23,'Actuals Summer'!A:A,'Actuals Summer'!S:S,0,0)-'Summer data team '!DN23</f>
        <v>0</v>
      </c>
      <c r="DP23" s="463">
        <f t="shared" si="2"/>
        <v>17387.109999999986</v>
      </c>
    </row>
    <row r="24" spans="1:120" ht="13" x14ac:dyDescent="0.3">
      <c r="A24" s="364">
        <v>1025</v>
      </c>
      <c r="B24" s="364">
        <v>3301025</v>
      </c>
      <c r="C24" s="364" t="s">
        <v>40</v>
      </c>
      <c r="D24" s="506">
        <v>0</v>
      </c>
      <c r="E24" s="506">
        <v>40</v>
      </c>
      <c r="F24" s="506">
        <v>6</v>
      </c>
      <c r="G24" s="506">
        <v>58</v>
      </c>
      <c r="H24" s="506">
        <v>36</v>
      </c>
      <c r="I24" s="507">
        <v>46</v>
      </c>
      <c r="J24" s="507">
        <v>94</v>
      </c>
      <c r="K24" s="506">
        <v>7</v>
      </c>
      <c r="L24" s="506">
        <v>9</v>
      </c>
      <c r="M24" s="507">
        <v>16</v>
      </c>
      <c r="N24" s="506">
        <v>0</v>
      </c>
      <c r="O24" s="506">
        <v>600</v>
      </c>
      <c r="P24" s="506">
        <v>870</v>
      </c>
      <c r="Q24" s="506">
        <v>540</v>
      </c>
      <c r="R24" s="507">
        <v>1410</v>
      </c>
      <c r="S24" s="506">
        <v>90</v>
      </c>
      <c r="T24" s="506">
        <v>690</v>
      </c>
      <c r="U24" s="506">
        <v>105</v>
      </c>
      <c r="V24" s="506">
        <v>135</v>
      </c>
      <c r="W24" s="507">
        <v>240</v>
      </c>
      <c r="X24" s="506">
        <v>68</v>
      </c>
      <c r="Y24" s="506">
        <v>1020</v>
      </c>
      <c r="Z24" s="508">
        <v>105</v>
      </c>
      <c r="AA24" s="506">
        <v>47</v>
      </c>
      <c r="AB24" s="506">
        <v>705</v>
      </c>
      <c r="AC24" s="508">
        <v>90</v>
      </c>
      <c r="AD24" s="506">
        <v>15</v>
      </c>
      <c r="AE24" s="506">
        <v>225</v>
      </c>
      <c r="AF24" s="508">
        <v>30</v>
      </c>
      <c r="AG24" s="509">
        <v>30</v>
      </c>
      <c r="AH24" s="509">
        <v>450</v>
      </c>
      <c r="AI24" s="508">
        <v>0</v>
      </c>
      <c r="AJ24" s="509">
        <v>69</v>
      </c>
      <c r="AK24" s="509">
        <v>1035</v>
      </c>
      <c r="AL24" s="508">
        <v>90</v>
      </c>
      <c r="AM24" s="506">
        <v>99</v>
      </c>
      <c r="AN24" s="506">
        <v>1485</v>
      </c>
      <c r="AO24" s="508">
        <v>90</v>
      </c>
      <c r="AP24" s="508"/>
      <c r="AQ24" s="508">
        <f t="shared" si="3"/>
        <v>99</v>
      </c>
      <c r="AR24" s="509">
        <v>11</v>
      </c>
      <c r="AS24" s="509">
        <v>165</v>
      </c>
      <c r="AT24" s="508">
        <v>0</v>
      </c>
      <c r="AU24" s="509">
        <v>64</v>
      </c>
      <c r="AV24" s="509">
        <v>960</v>
      </c>
      <c r="AW24" s="508">
        <v>90</v>
      </c>
      <c r="AX24" s="506">
        <v>75</v>
      </c>
      <c r="AY24" s="506">
        <v>1125</v>
      </c>
      <c r="AZ24" s="508">
        <v>90</v>
      </c>
      <c r="BA24" s="508"/>
      <c r="BB24" s="508">
        <f t="shared" si="4"/>
        <v>139</v>
      </c>
      <c r="BC24" s="509">
        <v>1</v>
      </c>
      <c r="BD24" s="509">
        <v>10</v>
      </c>
      <c r="BE24" s="506">
        <v>11</v>
      </c>
      <c r="BF24" s="200"/>
      <c r="BG24" s="200"/>
      <c r="BH24" s="200"/>
      <c r="BI24" s="200"/>
      <c r="BJ24" s="200"/>
      <c r="BK24" s="200"/>
      <c r="BL24" s="200"/>
      <c r="BM24" s="505">
        <f t="shared" si="5"/>
        <v>0</v>
      </c>
      <c r="BN24" s="200">
        <f t="shared" si="6"/>
        <v>7800</v>
      </c>
      <c r="BO24" s="200">
        <f t="shared" si="26"/>
        <v>1170</v>
      </c>
      <c r="BP24" s="200">
        <f t="shared" si="7"/>
        <v>18330</v>
      </c>
      <c r="BQ24" s="200">
        <f t="shared" si="8"/>
        <v>3120</v>
      </c>
      <c r="BR24" s="200">
        <f t="shared" si="9"/>
        <v>14625</v>
      </c>
      <c r="BS24" s="200">
        <f t="shared" si="10"/>
        <v>10335</v>
      </c>
      <c r="BT24" s="200">
        <f t="shared" si="11"/>
        <v>3315</v>
      </c>
      <c r="BU24" s="200">
        <f t="shared" si="12"/>
        <v>19305</v>
      </c>
      <c r="BV24" s="200">
        <v>69</v>
      </c>
      <c r="BW24" s="200">
        <v>6</v>
      </c>
      <c r="BX24" s="200">
        <f t="shared" si="13"/>
        <v>11</v>
      </c>
      <c r="CB24" s="381">
        <f>_xlfn.IFNA(VLOOKUP(A24,'Actuals Summer'!$A:$AG,23,FALSE),0)</f>
        <v>18330</v>
      </c>
      <c r="CC24" s="381">
        <f>_xlfn.IFNA(VLOOKUP(A24,'Actuals Summer'!$A:$AG,24,FALSE),0)</f>
        <v>3120</v>
      </c>
      <c r="CD24" s="381">
        <f>_xlfn.IFNA(VLOOKUP(A24,'Actuals Summer'!$A:$AG,25,FALSE),0)</f>
        <v>9945</v>
      </c>
      <c r="CE24" s="381">
        <f>_xlfn.IFNA(VLOOKUP(A24,'Actuals Summer'!$A:$AG,26,FALSE),0)</f>
        <v>0</v>
      </c>
      <c r="CF24" s="381">
        <f>_xlfn.IFNA(VLOOKUP(A24,'Actuals Summer'!$A:$AG,27,FALSE),0)</f>
        <v>0</v>
      </c>
      <c r="CG24" s="381">
        <f>_xlfn.IFNA(VLOOKUP(A24,'Actuals Dep Summer'!B:O,6,FALSE)*$BN$3,0)</f>
        <v>13260</v>
      </c>
      <c r="CH24" s="381">
        <f>_xlfn.IFNA(VLOOKUP(A24,'Actuals Dep Summer'!B:O,7,FALSE)*$BN$3,0)</f>
        <v>9165</v>
      </c>
      <c r="CI24" s="381">
        <f>_xlfn.IFNA(VLOOKUP(A24,'Actuals Dep Summer'!B:O,8,FALSE)*$BN$3,0)</f>
        <v>2925</v>
      </c>
      <c r="CJ24" s="381">
        <f>_xlfn.IFNA(VLOOKUP(A24,'Actuals Summer'!$A:$AG,31,FALSE),0)*$BN$3</f>
        <v>974.4635980194389</v>
      </c>
      <c r="CK24" s="381"/>
      <c r="CL24" s="381">
        <f>_xlfn.IFNA(VLOOKUP(A24,'Actuals Summer'!$A:$AG,32,FALSE),0)*$BN$3</f>
        <v>250965</v>
      </c>
      <c r="CM24" s="381">
        <f>_xlfn.IFNA(VLOOKUP(A24,'Actuals Summer'!$A:$AG,33,FALSE),0)</f>
        <v>10.999837625061506</v>
      </c>
      <c r="CP24" s="458">
        <f t="shared" si="14"/>
        <v>0</v>
      </c>
      <c r="CQ24" s="458">
        <f t="shared" si="15"/>
        <v>66378</v>
      </c>
      <c r="CR24" s="458">
        <f t="shared" si="0"/>
        <v>9956.6999999999989</v>
      </c>
      <c r="CS24" s="458">
        <f t="shared" si="16"/>
        <v>103747.8</v>
      </c>
      <c r="CT24" s="458">
        <f t="shared" si="17"/>
        <v>17659.2</v>
      </c>
      <c r="CU24" s="458">
        <f t="shared" si="18"/>
        <v>8921.25</v>
      </c>
      <c r="CV24" s="458">
        <f t="shared" si="19"/>
        <v>2997.1499999999996</v>
      </c>
      <c r="CW24" s="458">
        <f t="shared" si="20"/>
        <v>265.2</v>
      </c>
      <c r="CX24" s="458">
        <f t="shared" si="21"/>
        <v>19305</v>
      </c>
      <c r="CY24" s="458">
        <f t="shared" si="22"/>
        <v>5145.9473684210525</v>
      </c>
      <c r="CZ24" s="458">
        <f t="shared" si="23"/>
        <v>1118.6842105263158</v>
      </c>
      <c r="DA24" s="458">
        <f t="shared" si="24"/>
        <v>10318</v>
      </c>
      <c r="DB24" s="458">
        <f t="shared" si="25"/>
        <v>245812.93157894738</v>
      </c>
      <c r="DC24" s="452">
        <f>_xlfn.XLOOKUP($A24,'Actuals Summer'!$A:$A,'Actuals Summer'!L:L,0,0)</f>
        <v>0</v>
      </c>
      <c r="DD24" s="452">
        <f>_xlfn.XLOOKUP($A24,'Actuals Summer'!$A:$A,'Actuals Summer'!K:K,0,0)+_xlfn.XLOOKUP($A24,'Actuals Summer'!$A:$A,'Actuals Summer'!Q:Q,0,0)</f>
        <v>84631.95</v>
      </c>
      <c r="DE24" s="452">
        <f>_xlfn.XLOOKUP($A24,'Actuals Summer'!$A:$A,'Actuals Summer'!I:I,0,0)+_xlfn.XLOOKUP($A24,'Actuals Summer'!$A:$A,'Actuals Summer'!R:R,0,0)</f>
        <v>103747.8</v>
      </c>
      <c r="DF24" s="452">
        <f>_xlfn.XLOOKUP($A24,'Actuals Summer'!$A:$A,'Actuals Summer'!J:J,0,0)</f>
        <v>17659.2</v>
      </c>
      <c r="DG24" s="452">
        <f>_xlfn.XLOOKUP($A24,'Actuals Dep Summer'!$B:$B,'Actuals Dep Summer'!G:G,0,0)*'Actuals Dep Summer'!$F$2*'Actuals Dep Summer'!$C$2</f>
        <v>8088.5999999999995</v>
      </c>
      <c r="DH24" s="452">
        <f>_xlfn.XLOOKUP($A24,'Actuals Dep Summer'!$B:$B,'Actuals Dep Summer'!H:H,0,0)*'Actuals Dep Summer'!$F$2*'Actuals Dep Summer'!$C$3</f>
        <v>2657.85</v>
      </c>
      <c r="DI24" s="452">
        <f>_xlfn.XLOOKUP($A24,'Actuals Dep Summer'!$B:$B,'Actuals Dep Summer'!I:I,0,0)*'Actuals Dep Summer'!$F$2*'Actuals Dep Summer'!$C$4</f>
        <v>234</v>
      </c>
      <c r="DJ24" s="452">
        <f>_xlfn.XLOOKUP($A24,'Actuals Summer'!$A:$A,'Actuals Summer'!P:P,0,0)</f>
        <v>19305</v>
      </c>
      <c r="DK24" s="452">
        <f>_xlfn.XLOOKUP($A24,'Actuals Summer'!$A:$A,'Actuals Summer'!O:O,0,0)</f>
        <v>5593.4210526315792</v>
      </c>
      <c r="DL24" s="452"/>
      <c r="DM24" s="452">
        <f>_xlfn.XLOOKUP($A24,'Actuals Summer'!$A:$A,'Actuals Summer'!M:M,0,0)</f>
        <v>3529.79</v>
      </c>
      <c r="DN24" s="453">
        <f t="shared" si="1"/>
        <v>245447.6110526316</v>
      </c>
      <c r="DO24" s="453">
        <f>_xlfn.XLOOKUP(A24,'Actuals Summer'!A:A,'Actuals Summer'!S:S,0,0)-'Summer data team '!DN24</f>
        <v>0</v>
      </c>
      <c r="DP24" s="463">
        <f t="shared" si="2"/>
        <v>365.32052631577244</v>
      </c>
    </row>
    <row r="25" spans="1:120" ht="13" x14ac:dyDescent="0.3">
      <c r="A25" s="364">
        <v>1026</v>
      </c>
      <c r="B25" s="364">
        <v>3301026</v>
      </c>
      <c r="C25" s="364" t="s">
        <v>73</v>
      </c>
      <c r="D25" s="506">
        <v>0</v>
      </c>
      <c r="E25" s="506">
        <v>15</v>
      </c>
      <c r="F25" s="506">
        <v>7</v>
      </c>
      <c r="G25" s="506">
        <v>61</v>
      </c>
      <c r="H25" s="506">
        <v>41</v>
      </c>
      <c r="I25" s="507">
        <v>22</v>
      </c>
      <c r="J25" s="507">
        <v>102</v>
      </c>
      <c r="K25" s="506">
        <v>13</v>
      </c>
      <c r="L25" s="506">
        <v>12</v>
      </c>
      <c r="M25" s="507">
        <v>25</v>
      </c>
      <c r="N25" s="506">
        <v>0</v>
      </c>
      <c r="O25" s="506">
        <v>225</v>
      </c>
      <c r="P25" s="506">
        <v>915</v>
      </c>
      <c r="Q25" s="506">
        <v>615</v>
      </c>
      <c r="R25" s="507">
        <v>1530</v>
      </c>
      <c r="S25" s="506">
        <v>105</v>
      </c>
      <c r="T25" s="506">
        <v>330</v>
      </c>
      <c r="U25" s="506">
        <v>195</v>
      </c>
      <c r="V25" s="506">
        <v>180</v>
      </c>
      <c r="W25" s="507">
        <v>375</v>
      </c>
      <c r="X25" s="506">
        <v>8</v>
      </c>
      <c r="Y25" s="506">
        <v>120</v>
      </c>
      <c r="Z25" s="508">
        <v>30</v>
      </c>
      <c r="AA25" s="506">
        <v>14</v>
      </c>
      <c r="AB25" s="506">
        <v>210</v>
      </c>
      <c r="AC25" s="508">
        <v>45</v>
      </c>
      <c r="AD25" s="506">
        <v>22</v>
      </c>
      <c r="AE25" s="506">
        <v>330</v>
      </c>
      <c r="AF25" s="508">
        <v>75</v>
      </c>
      <c r="AG25" s="509">
        <v>16</v>
      </c>
      <c r="AH25" s="509">
        <v>240</v>
      </c>
      <c r="AI25" s="508">
        <v>0</v>
      </c>
      <c r="AJ25" s="509">
        <v>44</v>
      </c>
      <c r="AK25" s="509">
        <v>660</v>
      </c>
      <c r="AL25" s="508">
        <v>105</v>
      </c>
      <c r="AM25" s="506">
        <v>60</v>
      </c>
      <c r="AN25" s="506">
        <v>900</v>
      </c>
      <c r="AO25" s="508">
        <v>105</v>
      </c>
      <c r="AP25" s="508"/>
      <c r="AQ25" s="508">
        <f t="shared" si="3"/>
        <v>60</v>
      </c>
      <c r="AR25" s="509">
        <v>1</v>
      </c>
      <c r="AS25" s="509">
        <v>15</v>
      </c>
      <c r="AT25" s="508">
        <v>0</v>
      </c>
      <c r="AU25" s="509">
        <v>27</v>
      </c>
      <c r="AV25" s="509">
        <v>405</v>
      </c>
      <c r="AW25" s="508">
        <v>105</v>
      </c>
      <c r="AX25" s="506">
        <v>28</v>
      </c>
      <c r="AY25" s="506">
        <v>420</v>
      </c>
      <c r="AZ25" s="508">
        <v>105</v>
      </c>
      <c r="BA25" s="508"/>
      <c r="BB25" s="508">
        <f t="shared" si="4"/>
        <v>55</v>
      </c>
      <c r="BC25" s="509">
        <v>0</v>
      </c>
      <c r="BD25" s="509">
        <v>5</v>
      </c>
      <c r="BE25" s="506">
        <v>5</v>
      </c>
      <c r="BF25" s="200"/>
      <c r="BG25" s="200"/>
      <c r="BH25" s="200"/>
      <c r="BI25" s="200"/>
      <c r="BJ25" s="200"/>
      <c r="BK25" s="200"/>
      <c r="BL25" s="200"/>
      <c r="BM25" s="505">
        <f t="shared" si="5"/>
        <v>0</v>
      </c>
      <c r="BN25" s="200">
        <f t="shared" si="6"/>
        <v>2925</v>
      </c>
      <c r="BO25" s="200">
        <f t="shared" si="26"/>
        <v>1365</v>
      </c>
      <c r="BP25" s="200">
        <f t="shared" si="7"/>
        <v>19890</v>
      </c>
      <c r="BQ25" s="200">
        <f t="shared" si="8"/>
        <v>4875</v>
      </c>
      <c r="BR25" s="200">
        <f t="shared" si="9"/>
        <v>1950</v>
      </c>
      <c r="BS25" s="200">
        <f t="shared" si="10"/>
        <v>3315</v>
      </c>
      <c r="BT25" s="200">
        <f t="shared" si="11"/>
        <v>5265</v>
      </c>
      <c r="BU25" s="200">
        <f t="shared" si="12"/>
        <v>11700</v>
      </c>
      <c r="BV25" s="200">
        <v>21</v>
      </c>
      <c r="BW25" s="200">
        <v>7</v>
      </c>
      <c r="BX25" s="200">
        <f t="shared" si="13"/>
        <v>5</v>
      </c>
      <c r="CB25" s="381">
        <f>_xlfn.IFNA(VLOOKUP(A25,'Actuals Summer'!$A:$AG,23,FALSE),0)</f>
        <v>19890</v>
      </c>
      <c r="CC25" s="381">
        <f>_xlfn.IFNA(VLOOKUP(A25,'Actuals Summer'!$A:$AG,24,FALSE),0)</f>
        <v>4875</v>
      </c>
      <c r="CD25" s="381">
        <f>_xlfn.IFNA(VLOOKUP(A25,'Actuals Summer'!$A:$AG,25,FALSE),0)</f>
        <v>5850</v>
      </c>
      <c r="CE25" s="381">
        <f>_xlfn.IFNA(VLOOKUP(A25,'Actuals Summer'!$A:$AG,26,FALSE),0)</f>
        <v>0</v>
      </c>
      <c r="CF25" s="381">
        <f>_xlfn.IFNA(VLOOKUP(A25,'Actuals Summer'!$A:$AG,27,FALSE),0)</f>
        <v>0</v>
      </c>
      <c r="CG25" s="381">
        <f>_xlfn.IFNA(VLOOKUP(A25,'Actuals Dep Summer'!B:O,6,FALSE)*$BN$3,0)</f>
        <v>1560</v>
      </c>
      <c r="CH25" s="381">
        <f>_xlfn.IFNA(VLOOKUP(A25,'Actuals Dep Summer'!B:O,7,FALSE)*$BN$3,0)</f>
        <v>2730</v>
      </c>
      <c r="CI25" s="381">
        <f>_xlfn.IFNA(VLOOKUP(A25,'Actuals Dep Summer'!B:O,8,FALSE)*$BN$3,0)</f>
        <v>4290</v>
      </c>
      <c r="CJ25" s="381">
        <f>_xlfn.IFNA(VLOOKUP(A25,'Actuals Summer'!$A:$AG,31,FALSE),0)*$BN$3</f>
        <v>363.7997432605905</v>
      </c>
      <c r="CK25" s="381"/>
      <c r="CL25" s="381">
        <f>_xlfn.IFNA(VLOOKUP(A25,'Actuals Summer'!$A:$AG,32,FALSE),0)*$BN$3</f>
        <v>152100</v>
      </c>
      <c r="CM25" s="381">
        <f>_xlfn.IFNA(VLOOKUP(A25,'Actuals Summer'!$A:$AG,33,FALSE),0)</f>
        <v>4.9999261932097747</v>
      </c>
      <c r="CP25" s="458">
        <f t="shared" si="14"/>
        <v>0</v>
      </c>
      <c r="CQ25" s="458">
        <f t="shared" si="15"/>
        <v>24891.75</v>
      </c>
      <c r="CR25" s="458">
        <f t="shared" si="0"/>
        <v>11616.15</v>
      </c>
      <c r="CS25" s="458">
        <f t="shared" si="16"/>
        <v>112577.40000000001</v>
      </c>
      <c r="CT25" s="458">
        <f t="shared" si="17"/>
        <v>27592.5</v>
      </c>
      <c r="CU25" s="458">
        <f t="shared" si="18"/>
        <v>1189.5</v>
      </c>
      <c r="CV25" s="458">
        <f t="shared" si="19"/>
        <v>961.34999999999991</v>
      </c>
      <c r="CW25" s="458">
        <f t="shared" si="20"/>
        <v>421.2</v>
      </c>
      <c r="CX25" s="458">
        <f t="shared" si="21"/>
        <v>11700</v>
      </c>
      <c r="CY25" s="458">
        <f t="shared" si="22"/>
        <v>1566.1578947368419</v>
      </c>
      <c r="CZ25" s="458">
        <f t="shared" si="23"/>
        <v>1305.1315789473686</v>
      </c>
      <c r="DA25" s="458">
        <f t="shared" si="24"/>
        <v>4690</v>
      </c>
      <c r="DB25" s="458">
        <f t="shared" si="25"/>
        <v>198511.13947368425</v>
      </c>
      <c r="DC25" s="452">
        <f>_xlfn.XLOOKUP($A25,'Actuals Summer'!$A:$A,'Actuals Summer'!L:L,0,0)</f>
        <v>0</v>
      </c>
      <c r="DD25" s="452">
        <f>_xlfn.XLOOKUP($A25,'Actuals Summer'!$A:$A,'Actuals Summer'!K:K,0,0)+_xlfn.XLOOKUP($A25,'Actuals Summer'!$A:$A,'Actuals Summer'!Q:Q,0,0)</f>
        <v>49783.5</v>
      </c>
      <c r="DE25" s="452">
        <f>_xlfn.XLOOKUP($A25,'Actuals Summer'!$A:$A,'Actuals Summer'!I:I,0,0)+_xlfn.XLOOKUP($A25,'Actuals Summer'!$A:$A,'Actuals Summer'!R:R,0,0)</f>
        <v>112577.40000000001</v>
      </c>
      <c r="DF25" s="452">
        <f>_xlfn.XLOOKUP($A25,'Actuals Summer'!$A:$A,'Actuals Summer'!J:J,0,0)</f>
        <v>27592.5</v>
      </c>
      <c r="DG25" s="452">
        <f>_xlfn.XLOOKUP($A25,'Actuals Dep Summer'!$B:$B,'Actuals Dep Summer'!G:G,0,0)*'Actuals Dep Summer'!$F$2*'Actuals Dep Summer'!$C$2</f>
        <v>951.6</v>
      </c>
      <c r="DH25" s="452">
        <f>_xlfn.XLOOKUP($A25,'Actuals Dep Summer'!$B:$B,'Actuals Dep Summer'!H:H,0,0)*'Actuals Dep Summer'!$F$2*'Actuals Dep Summer'!$C$3</f>
        <v>791.69999999999993</v>
      </c>
      <c r="DI25" s="452">
        <f>_xlfn.XLOOKUP($A25,'Actuals Dep Summer'!$B:$B,'Actuals Dep Summer'!I:I,0,0)*'Actuals Dep Summer'!$F$2*'Actuals Dep Summer'!$C$4</f>
        <v>343.2</v>
      </c>
      <c r="DJ25" s="452">
        <f>_xlfn.XLOOKUP($A25,'Actuals Summer'!$A:$A,'Actuals Summer'!P:P,0,0)</f>
        <v>11700</v>
      </c>
      <c r="DK25" s="452">
        <f>_xlfn.XLOOKUP($A25,'Actuals Summer'!$A:$A,'Actuals Summer'!O:O,0,0)</f>
        <v>2088.2105263157896</v>
      </c>
      <c r="DL25" s="452"/>
      <c r="DM25" s="452">
        <f>_xlfn.XLOOKUP($A25,'Actuals Summer'!$A:$A,'Actuals Summer'!M:M,0,0)</f>
        <v>1604.4499999999998</v>
      </c>
      <c r="DN25" s="453">
        <f t="shared" si="1"/>
        <v>207432.56052631585</v>
      </c>
      <c r="DO25" s="453">
        <f>_xlfn.XLOOKUP(A25,'Actuals Summer'!A:A,'Actuals Summer'!S:S,0,0)-'Summer data team '!DN25</f>
        <v>0</v>
      </c>
      <c r="DP25" s="463">
        <f t="shared" si="2"/>
        <v>-8921.4210526316019</v>
      </c>
    </row>
    <row r="26" spans="1:120" ht="13" x14ac:dyDescent="0.3">
      <c r="A26" s="364">
        <v>1027</v>
      </c>
      <c r="B26" s="364">
        <v>3301027</v>
      </c>
      <c r="C26" s="364" t="s">
        <v>25</v>
      </c>
      <c r="D26" s="506">
        <v>1</v>
      </c>
      <c r="E26" s="506">
        <v>20</v>
      </c>
      <c r="F26" s="506">
        <v>7</v>
      </c>
      <c r="G26" s="506">
        <v>44</v>
      </c>
      <c r="H26" s="506">
        <v>36</v>
      </c>
      <c r="I26" s="507">
        <v>27</v>
      </c>
      <c r="J26" s="507">
        <v>80</v>
      </c>
      <c r="K26" s="506">
        <v>7</v>
      </c>
      <c r="L26" s="506">
        <v>9</v>
      </c>
      <c r="M26" s="507">
        <v>16</v>
      </c>
      <c r="N26" s="506">
        <v>15</v>
      </c>
      <c r="O26" s="506">
        <v>300</v>
      </c>
      <c r="P26" s="506">
        <v>651</v>
      </c>
      <c r="Q26" s="506">
        <v>525</v>
      </c>
      <c r="R26" s="507">
        <v>1176</v>
      </c>
      <c r="S26" s="506">
        <v>105</v>
      </c>
      <c r="T26" s="506">
        <v>405</v>
      </c>
      <c r="U26" s="506">
        <v>105</v>
      </c>
      <c r="V26" s="506">
        <v>135</v>
      </c>
      <c r="W26" s="507">
        <v>240</v>
      </c>
      <c r="X26" s="506">
        <v>6</v>
      </c>
      <c r="Y26" s="506">
        <v>90</v>
      </c>
      <c r="Z26" s="508">
        <v>0</v>
      </c>
      <c r="AA26" s="506">
        <v>54</v>
      </c>
      <c r="AB26" s="506">
        <v>810</v>
      </c>
      <c r="AC26" s="508">
        <v>75</v>
      </c>
      <c r="AD26" s="506">
        <v>37</v>
      </c>
      <c r="AE26" s="506">
        <v>555</v>
      </c>
      <c r="AF26" s="508">
        <v>60</v>
      </c>
      <c r="AG26" s="509">
        <v>11</v>
      </c>
      <c r="AH26" s="509">
        <v>165</v>
      </c>
      <c r="AI26" s="508">
        <v>0</v>
      </c>
      <c r="AJ26" s="509">
        <v>36</v>
      </c>
      <c r="AK26" s="509">
        <v>540</v>
      </c>
      <c r="AL26" s="508">
        <v>15</v>
      </c>
      <c r="AM26" s="506">
        <v>47</v>
      </c>
      <c r="AN26" s="506">
        <v>705</v>
      </c>
      <c r="AO26" s="508">
        <v>15</v>
      </c>
      <c r="AP26" s="508"/>
      <c r="AQ26" s="508">
        <f t="shared" si="3"/>
        <v>47</v>
      </c>
      <c r="AR26" s="509">
        <v>10</v>
      </c>
      <c r="AS26" s="509">
        <v>150</v>
      </c>
      <c r="AT26" s="508">
        <v>0</v>
      </c>
      <c r="AU26" s="509">
        <v>36</v>
      </c>
      <c r="AV26" s="509">
        <v>540</v>
      </c>
      <c r="AW26" s="508">
        <v>15</v>
      </c>
      <c r="AX26" s="506">
        <v>46</v>
      </c>
      <c r="AY26" s="506">
        <v>690</v>
      </c>
      <c r="AZ26" s="508">
        <v>15</v>
      </c>
      <c r="BA26" s="508"/>
      <c r="BB26" s="508">
        <f t="shared" si="4"/>
        <v>82</v>
      </c>
      <c r="BC26" s="509">
        <v>2</v>
      </c>
      <c r="BD26" s="509">
        <v>7</v>
      </c>
      <c r="BE26" s="506">
        <v>9</v>
      </c>
      <c r="BF26" s="200"/>
      <c r="BG26" s="200">
        <v>975.6</v>
      </c>
      <c r="BH26" s="200"/>
      <c r="BI26" s="200"/>
      <c r="BJ26" s="200"/>
      <c r="BK26" s="200"/>
      <c r="BL26" s="200"/>
      <c r="BM26" s="505">
        <f t="shared" si="5"/>
        <v>195</v>
      </c>
      <c r="BN26" s="200">
        <f t="shared" si="6"/>
        <v>3900</v>
      </c>
      <c r="BO26" s="200">
        <f t="shared" si="26"/>
        <v>1365</v>
      </c>
      <c r="BP26" s="200">
        <f t="shared" si="7"/>
        <v>15288</v>
      </c>
      <c r="BQ26" s="200">
        <f t="shared" si="8"/>
        <v>4095.6</v>
      </c>
      <c r="BR26" s="200">
        <f t="shared" si="9"/>
        <v>1170</v>
      </c>
      <c r="BS26" s="200">
        <f t="shared" si="10"/>
        <v>11505</v>
      </c>
      <c r="BT26" s="200">
        <f t="shared" si="11"/>
        <v>7995</v>
      </c>
      <c r="BU26" s="200">
        <f t="shared" si="12"/>
        <v>9165</v>
      </c>
      <c r="BV26" s="200">
        <v>45</v>
      </c>
      <c r="BW26" s="200">
        <v>1</v>
      </c>
      <c r="BX26" s="200">
        <f t="shared" si="13"/>
        <v>9</v>
      </c>
      <c r="CB26" s="381">
        <f>_xlfn.IFNA(VLOOKUP(A26,'Actuals Summer'!$A:$AG,23,FALSE),0)</f>
        <v>16263.599999999999</v>
      </c>
      <c r="CC26" s="381">
        <f>_xlfn.IFNA(VLOOKUP(A26,'Actuals Summer'!$A:$AG,24,FALSE),0)</f>
        <v>3120</v>
      </c>
      <c r="CD26" s="381">
        <f>_xlfn.IFNA(VLOOKUP(A26,'Actuals Summer'!$A:$AG,25,FALSE),0)</f>
        <v>5850</v>
      </c>
      <c r="CE26" s="381">
        <f>_xlfn.IFNA(VLOOKUP(A26,'Actuals Summer'!$A:$AG,26,FALSE),0)</f>
        <v>0</v>
      </c>
      <c r="CF26" s="381">
        <f>_xlfn.IFNA(VLOOKUP(A26,'Actuals Summer'!$A:$AG,27,FALSE),0)</f>
        <v>195</v>
      </c>
      <c r="CG26" s="381">
        <f>_xlfn.IFNA(VLOOKUP(A26,'Actuals Dep Summer'!B:O,6,FALSE)*$BN$3,0)</f>
        <v>1170</v>
      </c>
      <c r="CH26" s="381">
        <f>_xlfn.IFNA(VLOOKUP(A26,'Actuals Dep Summer'!B:O,7,FALSE)*$BN$3,0)</f>
        <v>10530</v>
      </c>
      <c r="CI26" s="381">
        <f>_xlfn.IFNA(VLOOKUP(A26,'Actuals Dep Summer'!B:O,8,FALSE)*$BN$3,0)</f>
        <v>7215</v>
      </c>
      <c r="CJ26" s="381">
        <f>_xlfn.IFNA(VLOOKUP(A26,'Actuals Summer'!$A:$AG,31,FALSE),0)*$BN$3</f>
        <v>597.67100678525583</v>
      </c>
      <c r="CK26" s="381"/>
      <c r="CL26" s="381">
        <f>_xlfn.IFNA(VLOOKUP(A26,'Actuals Summer'!$A:$AG,32,FALSE),0)*$BN$3</f>
        <v>119145</v>
      </c>
      <c r="CM26" s="381">
        <f>_xlfn.IFNA(VLOOKUP(A26,'Actuals Summer'!$A:$AG,33,FALSE),0)</f>
        <v>8.9998671477775947</v>
      </c>
      <c r="CP26" s="458">
        <f t="shared" si="14"/>
        <v>2324.4</v>
      </c>
      <c r="CQ26" s="458">
        <f t="shared" si="15"/>
        <v>33189</v>
      </c>
      <c r="CR26" s="458">
        <f t="shared" si="0"/>
        <v>11616.15</v>
      </c>
      <c r="CS26" s="458">
        <f t="shared" si="16"/>
        <v>86530.08</v>
      </c>
      <c r="CT26" s="458">
        <f t="shared" si="17"/>
        <v>23181.096000000001</v>
      </c>
      <c r="CU26" s="458">
        <f t="shared" si="18"/>
        <v>713.69999999999993</v>
      </c>
      <c r="CV26" s="458">
        <f t="shared" si="19"/>
        <v>3336.45</v>
      </c>
      <c r="CW26" s="458">
        <f t="shared" si="20"/>
        <v>639.6</v>
      </c>
      <c r="CX26" s="458">
        <f t="shared" si="21"/>
        <v>9165</v>
      </c>
      <c r="CY26" s="458">
        <f t="shared" si="22"/>
        <v>3356.0526315789471</v>
      </c>
      <c r="CZ26" s="458">
        <f t="shared" si="23"/>
        <v>186.44736842105263</v>
      </c>
      <c r="DA26" s="458">
        <f t="shared" si="24"/>
        <v>8442</v>
      </c>
      <c r="DB26" s="458">
        <f t="shared" si="25"/>
        <v>182679.97600000002</v>
      </c>
      <c r="DC26" s="452">
        <f>_xlfn.XLOOKUP($A26,'Actuals Summer'!$A:$A,'Actuals Summer'!L:L,0,0)</f>
        <v>2324.4</v>
      </c>
      <c r="DD26" s="452">
        <f>_xlfn.XLOOKUP($A26,'Actuals Summer'!$A:$A,'Actuals Summer'!K:K,0,0)+_xlfn.XLOOKUP($A26,'Actuals Summer'!$A:$A,'Actuals Summer'!Q:Q,0,0)</f>
        <v>49783.5</v>
      </c>
      <c r="DE26" s="452">
        <f>_xlfn.XLOOKUP($A26,'Actuals Summer'!$A:$A,'Actuals Summer'!I:I,0,0)+_xlfn.XLOOKUP($A26,'Actuals Summer'!$A:$A,'Actuals Summer'!R:R,0,0)</f>
        <v>92051.975999999995</v>
      </c>
      <c r="DF26" s="452">
        <f>_xlfn.XLOOKUP($A26,'Actuals Summer'!$A:$A,'Actuals Summer'!J:J,0,0)</f>
        <v>17659.2</v>
      </c>
      <c r="DG26" s="452">
        <f>_xlfn.XLOOKUP($A26,'Actuals Dep Summer'!$B:$B,'Actuals Dep Summer'!G:G,0,0)*'Actuals Dep Summer'!$F$2*'Actuals Dep Summer'!$C$2</f>
        <v>713.69999999999993</v>
      </c>
      <c r="DH26" s="452">
        <f>_xlfn.XLOOKUP($A26,'Actuals Dep Summer'!$B:$B,'Actuals Dep Summer'!H:H,0,0)*'Actuals Dep Summer'!$F$2*'Actuals Dep Summer'!$C$3</f>
        <v>3053.7</v>
      </c>
      <c r="DI26" s="452">
        <f>_xlfn.XLOOKUP($A26,'Actuals Dep Summer'!$B:$B,'Actuals Dep Summer'!I:I,0,0)*'Actuals Dep Summer'!$F$2*'Actuals Dep Summer'!$C$4</f>
        <v>577.20000000000005</v>
      </c>
      <c r="DJ26" s="452">
        <f>_xlfn.XLOOKUP($A26,'Actuals Summer'!$A:$A,'Actuals Summer'!P:P,0,0)</f>
        <v>9165</v>
      </c>
      <c r="DK26" s="452">
        <f>_xlfn.XLOOKUP($A26,'Actuals Summer'!$A:$A,'Actuals Summer'!O:O,0,0)</f>
        <v>3430.6315789473683</v>
      </c>
      <c r="DL26" s="452"/>
      <c r="DM26" s="452">
        <f>_xlfn.XLOOKUP($A26,'Actuals Summer'!$A:$A,'Actuals Summer'!M:M,0,0)</f>
        <v>2888.0099999999998</v>
      </c>
      <c r="DN26" s="453">
        <f t="shared" si="1"/>
        <v>181647.3175789474</v>
      </c>
      <c r="DO26" s="453">
        <f>_xlfn.XLOOKUP(A26,'Actuals Summer'!A:A,'Actuals Summer'!S:S,0,0)-'Summer data team '!DN26</f>
        <v>0</v>
      </c>
      <c r="DP26" s="463">
        <f t="shared" si="2"/>
        <v>1032.6584210526198</v>
      </c>
    </row>
    <row r="27" spans="1:120" ht="13" x14ac:dyDescent="0.3">
      <c r="A27" s="364">
        <v>1028</v>
      </c>
      <c r="B27" s="364">
        <v>3301028</v>
      </c>
      <c r="C27" s="364" t="s">
        <v>201</v>
      </c>
      <c r="D27" s="506">
        <v>0</v>
      </c>
      <c r="E27" s="506">
        <v>29</v>
      </c>
      <c r="F27" s="506">
        <v>11</v>
      </c>
      <c r="G27" s="506">
        <v>44</v>
      </c>
      <c r="H27" s="506">
        <v>24</v>
      </c>
      <c r="I27" s="507">
        <v>40</v>
      </c>
      <c r="J27" s="507">
        <v>68</v>
      </c>
      <c r="K27" s="506">
        <v>5</v>
      </c>
      <c r="L27" s="506">
        <v>3</v>
      </c>
      <c r="M27" s="507">
        <v>8</v>
      </c>
      <c r="N27" s="506">
        <v>0</v>
      </c>
      <c r="O27" s="506">
        <v>435</v>
      </c>
      <c r="P27" s="506">
        <v>660</v>
      </c>
      <c r="Q27" s="506">
        <v>360</v>
      </c>
      <c r="R27" s="507">
        <v>1020</v>
      </c>
      <c r="S27" s="506">
        <v>165</v>
      </c>
      <c r="T27" s="506">
        <v>600</v>
      </c>
      <c r="U27" s="506">
        <v>75</v>
      </c>
      <c r="V27" s="506">
        <v>45</v>
      </c>
      <c r="W27" s="507">
        <v>120</v>
      </c>
      <c r="X27" s="506">
        <v>64</v>
      </c>
      <c r="Y27" s="506">
        <v>960</v>
      </c>
      <c r="Z27" s="508">
        <v>45</v>
      </c>
      <c r="AA27" s="506">
        <v>17</v>
      </c>
      <c r="AB27" s="506">
        <v>255</v>
      </c>
      <c r="AC27" s="508">
        <v>15</v>
      </c>
      <c r="AD27" s="506">
        <v>21</v>
      </c>
      <c r="AE27" s="506">
        <v>315</v>
      </c>
      <c r="AF27" s="508">
        <v>30</v>
      </c>
      <c r="AG27" s="509">
        <v>28</v>
      </c>
      <c r="AH27" s="509">
        <v>420</v>
      </c>
      <c r="AI27" s="508">
        <v>0</v>
      </c>
      <c r="AJ27" s="509">
        <v>46</v>
      </c>
      <c r="AK27" s="509">
        <v>690</v>
      </c>
      <c r="AL27" s="508">
        <v>45</v>
      </c>
      <c r="AM27" s="506">
        <v>74</v>
      </c>
      <c r="AN27" s="506">
        <v>1110</v>
      </c>
      <c r="AO27" s="508">
        <v>45</v>
      </c>
      <c r="AP27" s="508"/>
      <c r="AQ27" s="508">
        <f t="shared" si="3"/>
        <v>74</v>
      </c>
      <c r="AR27" s="509">
        <v>2</v>
      </c>
      <c r="AS27" s="509">
        <v>30</v>
      </c>
      <c r="AT27" s="508">
        <v>0</v>
      </c>
      <c r="AU27" s="509">
        <v>24</v>
      </c>
      <c r="AV27" s="509">
        <v>360</v>
      </c>
      <c r="AW27" s="508">
        <v>45</v>
      </c>
      <c r="AX27" s="506">
        <v>26</v>
      </c>
      <c r="AY27" s="506">
        <v>390</v>
      </c>
      <c r="AZ27" s="508">
        <v>45</v>
      </c>
      <c r="BA27" s="508"/>
      <c r="BB27" s="508">
        <f t="shared" si="4"/>
        <v>50</v>
      </c>
      <c r="BC27" s="509">
        <v>1</v>
      </c>
      <c r="BD27" s="509">
        <v>5</v>
      </c>
      <c r="BE27" s="506">
        <v>6</v>
      </c>
      <c r="BF27" s="200"/>
      <c r="BG27" s="200"/>
      <c r="BH27" s="200"/>
      <c r="BI27" s="200"/>
      <c r="BJ27" s="200"/>
      <c r="BK27" s="200"/>
      <c r="BL27" s="200"/>
      <c r="BM27" s="505">
        <f t="shared" si="5"/>
        <v>0</v>
      </c>
      <c r="BN27" s="200">
        <f t="shared" si="6"/>
        <v>5655</v>
      </c>
      <c r="BO27" s="200">
        <f t="shared" si="26"/>
        <v>2145</v>
      </c>
      <c r="BP27" s="200">
        <f t="shared" si="7"/>
        <v>13260</v>
      </c>
      <c r="BQ27" s="200">
        <f t="shared" si="8"/>
        <v>1560</v>
      </c>
      <c r="BR27" s="200">
        <f t="shared" si="9"/>
        <v>13065</v>
      </c>
      <c r="BS27" s="200">
        <f t="shared" si="10"/>
        <v>3510</v>
      </c>
      <c r="BT27" s="200">
        <f t="shared" si="11"/>
        <v>4485</v>
      </c>
      <c r="BU27" s="200">
        <f t="shared" si="12"/>
        <v>14430</v>
      </c>
      <c r="BV27" s="200">
        <v>23</v>
      </c>
      <c r="BW27" s="200">
        <v>3</v>
      </c>
      <c r="BX27" s="200">
        <f t="shared" si="13"/>
        <v>6</v>
      </c>
      <c r="CB27" s="381">
        <f>_xlfn.IFNA(VLOOKUP(A27,'Actuals Summer'!$A:$AG,23,FALSE),0)</f>
        <v>13260</v>
      </c>
      <c r="CC27" s="381">
        <f>_xlfn.IFNA(VLOOKUP(A27,'Actuals Summer'!$A:$AG,24,FALSE),0)</f>
        <v>1560</v>
      </c>
      <c r="CD27" s="381">
        <f>_xlfn.IFNA(VLOOKUP(A27,'Actuals Summer'!$A:$AG,25,FALSE),0)</f>
        <v>4875</v>
      </c>
      <c r="CE27" s="381">
        <f>_xlfn.IFNA(VLOOKUP(A27,'Actuals Summer'!$A:$AG,26,FALSE),0)</f>
        <v>0</v>
      </c>
      <c r="CF27" s="381">
        <f>_xlfn.IFNA(VLOOKUP(A27,'Actuals Summer'!$A:$AG,27,FALSE),0)</f>
        <v>0</v>
      </c>
      <c r="CG27" s="381">
        <f>_xlfn.IFNA(VLOOKUP(A27,'Actuals Dep Summer'!B:O,6,FALSE)*$BN$3,0)</f>
        <v>12480</v>
      </c>
      <c r="CH27" s="381">
        <f>_xlfn.IFNA(VLOOKUP(A27,'Actuals Dep Summer'!B:O,7,FALSE)*$BN$3,0)</f>
        <v>3315</v>
      </c>
      <c r="CI27" s="381">
        <f>_xlfn.IFNA(VLOOKUP(A27,'Actuals Dep Summer'!B:O,8,FALSE)*$BN$3,0)</f>
        <v>4095</v>
      </c>
      <c r="CJ27" s="381">
        <f>_xlfn.IFNA(VLOOKUP(A27,'Actuals Summer'!$A:$AG,31,FALSE),0)*$BN$3</f>
        <v>337.81404731340547</v>
      </c>
      <c r="CK27" s="381"/>
      <c r="CL27" s="381">
        <f>_xlfn.IFNA(VLOOKUP(A27,'Actuals Summer'!$A:$AG,32,FALSE),0)*$BN$3</f>
        <v>187590</v>
      </c>
      <c r="CM27" s="381">
        <f>_xlfn.IFNA(VLOOKUP(A27,'Actuals Summer'!$A:$AG,33,FALSE),0)</f>
        <v>5.9999114318517304</v>
      </c>
      <c r="CP27" s="458">
        <f t="shared" si="14"/>
        <v>0</v>
      </c>
      <c r="CQ27" s="458">
        <f t="shared" si="15"/>
        <v>48124.049999999996</v>
      </c>
      <c r="CR27" s="458">
        <f t="shared" si="0"/>
        <v>18253.95</v>
      </c>
      <c r="CS27" s="458">
        <f t="shared" si="16"/>
        <v>75051.600000000006</v>
      </c>
      <c r="CT27" s="458">
        <f t="shared" si="17"/>
        <v>8829.6</v>
      </c>
      <c r="CU27" s="458">
        <f t="shared" si="18"/>
        <v>7969.65</v>
      </c>
      <c r="CV27" s="458">
        <f t="shared" si="19"/>
        <v>1017.9</v>
      </c>
      <c r="CW27" s="458">
        <f t="shared" si="20"/>
        <v>358.8</v>
      </c>
      <c r="CX27" s="458">
        <f t="shared" si="21"/>
        <v>14430</v>
      </c>
      <c r="CY27" s="458">
        <f t="shared" si="22"/>
        <v>1715.3157894736842</v>
      </c>
      <c r="CZ27" s="458">
        <f t="shared" si="23"/>
        <v>559.34210526315792</v>
      </c>
      <c r="DA27" s="458">
        <f t="shared" si="24"/>
        <v>5628</v>
      </c>
      <c r="DB27" s="458">
        <f t="shared" si="25"/>
        <v>181938.20789473681</v>
      </c>
      <c r="DC27" s="452">
        <f>_xlfn.XLOOKUP($A27,'Actuals Summer'!$A:$A,'Actuals Summer'!L:L,0,0)</f>
        <v>0</v>
      </c>
      <c r="DD27" s="452">
        <f>_xlfn.XLOOKUP($A27,'Actuals Summer'!$A:$A,'Actuals Summer'!K:K,0,0)+_xlfn.XLOOKUP($A27,'Actuals Summer'!$A:$A,'Actuals Summer'!Q:Q,0,0)</f>
        <v>41486.25</v>
      </c>
      <c r="DE27" s="452">
        <f>_xlfn.XLOOKUP($A27,'Actuals Summer'!$A:$A,'Actuals Summer'!I:I,0,0)+_xlfn.XLOOKUP($A27,'Actuals Summer'!$A:$A,'Actuals Summer'!R:R,0,0)</f>
        <v>75051.600000000006</v>
      </c>
      <c r="DF27" s="452">
        <f>_xlfn.XLOOKUP($A27,'Actuals Summer'!$A:$A,'Actuals Summer'!J:J,0,0)</f>
        <v>8829.6</v>
      </c>
      <c r="DG27" s="452">
        <f>_xlfn.XLOOKUP($A27,'Actuals Dep Summer'!$B:$B,'Actuals Dep Summer'!G:G,0,0)*'Actuals Dep Summer'!$F$2*'Actuals Dep Summer'!$C$2</f>
        <v>7612.8</v>
      </c>
      <c r="DH27" s="452">
        <f>_xlfn.XLOOKUP($A27,'Actuals Dep Summer'!$B:$B,'Actuals Dep Summer'!H:H,0,0)*'Actuals Dep Summer'!$F$2*'Actuals Dep Summer'!$C$3</f>
        <v>961.34999999999991</v>
      </c>
      <c r="DI27" s="452">
        <f>_xlfn.XLOOKUP($A27,'Actuals Dep Summer'!$B:$B,'Actuals Dep Summer'!I:I,0,0)*'Actuals Dep Summer'!$F$2*'Actuals Dep Summer'!$C$4</f>
        <v>327.60000000000002</v>
      </c>
      <c r="DJ27" s="452">
        <f>_xlfn.XLOOKUP($A27,'Actuals Summer'!$A:$A,'Actuals Summer'!P:P,0,0)</f>
        <v>14430</v>
      </c>
      <c r="DK27" s="452">
        <f>_xlfn.XLOOKUP($A27,'Actuals Summer'!$A:$A,'Actuals Summer'!O:O,0,0)</f>
        <v>1939.0526315789475</v>
      </c>
      <c r="DL27" s="452"/>
      <c r="DM27" s="452">
        <f>_xlfn.XLOOKUP($A27,'Actuals Summer'!$A:$A,'Actuals Summer'!M:M,0,0)</f>
        <v>1925.34</v>
      </c>
      <c r="DN27" s="453">
        <f t="shared" si="1"/>
        <v>152563.59263157897</v>
      </c>
      <c r="DO27" s="453">
        <f>_xlfn.XLOOKUP(A27,'Actuals Summer'!A:A,'Actuals Summer'!S:S,0,0)-'Summer data team '!DN27</f>
        <v>0</v>
      </c>
      <c r="DP27" s="463">
        <f t="shared" si="2"/>
        <v>29374.615263157844</v>
      </c>
    </row>
    <row r="28" spans="1:120" ht="13" x14ac:dyDescent="0.3">
      <c r="A28" s="364">
        <v>1038</v>
      </c>
      <c r="B28" s="364">
        <v>3301038</v>
      </c>
      <c r="C28" s="364" t="s">
        <v>252</v>
      </c>
      <c r="D28" s="506">
        <v>0</v>
      </c>
      <c r="E28" s="506">
        <v>9</v>
      </c>
      <c r="F28" s="506">
        <v>24</v>
      </c>
      <c r="G28" s="506">
        <v>67</v>
      </c>
      <c r="H28" s="506">
        <v>44</v>
      </c>
      <c r="I28" s="507">
        <v>33</v>
      </c>
      <c r="J28" s="507">
        <v>111</v>
      </c>
      <c r="K28" s="506">
        <v>32</v>
      </c>
      <c r="L28" s="506">
        <v>23</v>
      </c>
      <c r="M28" s="507">
        <v>55</v>
      </c>
      <c r="N28" s="506">
        <v>0</v>
      </c>
      <c r="O28" s="506">
        <v>135</v>
      </c>
      <c r="P28" s="506">
        <v>1005</v>
      </c>
      <c r="Q28" s="506">
        <v>660</v>
      </c>
      <c r="R28" s="507">
        <v>1665</v>
      </c>
      <c r="S28" s="506">
        <v>360</v>
      </c>
      <c r="T28" s="506">
        <v>495</v>
      </c>
      <c r="U28" s="506">
        <v>480</v>
      </c>
      <c r="V28" s="506">
        <v>345</v>
      </c>
      <c r="W28" s="507">
        <v>825</v>
      </c>
      <c r="X28" s="506">
        <v>60</v>
      </c>
      <c r="Y28" s="506">
        <v>900</v>
      </c>
      <c r="Z28" s="508">
        <v>315</v>
      </c>
      <c r="AA28" s="506">
        <v>23</v>
      </c>
      <c r="AB28" s="506">
        <v>345</v>
      </c>
      <c r="AC28" s="508">
        <v>120</v>
      </c>
      <c r="AD28" s="506">
        <v>30</v>
      </c>
      <c r="AE28" s="506">
        <v>450</v>
      </c>
      <c r="AF28" s="508">
        <v>195</v>
      </c>
      <c r="AG28" s="509">
        <v>9</v>
      </c>
      <c r="AH28" s="509">
        <v>135</v>
      </c>
      <c r="AI28" s="508">
        <v>0</v>
      </c>
      <c r="AJ28" s="509">
        <v>54</v>
      </c>
      <c r="AK28" s="509">
        <v>810</v>
      </c>
      <c r="AL28" s="508">
        <v>105</v>
      </c>
      <c r="AM28" s="506">
        <v>63</v>
      </c>
      <c r="AN28" s="506">
        <v>945</v>
      </c>
      <c r="AO28" s="508">
        <v>105</v>
      </c>
      <c r="AP28" s="508"/>
      <c r="AQ28" s="508">
        <f t="shared" si="3"/>
        <v>63</v>
      </c>
      <c r="AR28" s="509">
        <v>9</v>
      </c>
      <c r="AS28" s="509">
        <v>135</v>
      </c>
      <c r="AT28" s="508">
        <v>0</v>
      </c>
      <c r="AU28" s="509">
        <v>49</v>
      </c>
      <c r="AV28" s="509">
        <v>735</v>
      </c>
      <c r="AW28" s="508">
        <v>75</v>
      </c>
      <c r="AX28" s="506">
        <v>58</v>
      </c>
      <c r="AY28" s="506">
        <v>870</v>
      </c>
      <c r="AZ28" s="508">
        <v>75</v>
      </c>
      <c r="BA28" s="508"/>
      <c r="BB28" s="508">
        <f t="shared" si="4"/>
        <v>107</v>
      </c>
      <c r="BC28" s="509">
        <v>0</v>
      </c>
      <c r="BD28" s="509">
        <v>3</v>
      </c>
      <c r="BE28" s="506">
        <v>3</v>
      </c>
      <c r="BF28" s="200"/>
      <c r="BG28" s="200"/>
      <c r="BH28" s="200"/>
      <c r="BI28" s="200"/>
      <c r="BJ28" s="200"/>
      <c r="BK28" s="200"/>
      <c r="BL28" s="200"/>
      <c r="BM28" s="505">
        <f t="shared" si="5"/>
        <v>0</v>
      </c>
      <c r="BN28" s="200">
        <f t="shared" si="6"/>
        <v>1755</v>
      </c>
      <c r="BO28" s="200">
        <f t="shared" si="26"/>
        <v>4680</v>
      </c>
      <c r="BP28" s="200">
        <f t="shared" si="7"/>
        <v>21645</v>
      </c>
      <c r="BQ28" s="200">
        <f t="shared" si="8"/>
        <v>10725</v>
      </c>
      <c r="BR28" s="200">
        <f t="shared" si="9"/>
        <v>15795</v>
      </c>
      <c r="BS28" s="200">
        <f t="shared" si="10"/>
        <v>6045</v>
      </c>
      <c r="BT28" s="200">
        <f t="shared" si="11"/>
        <v>8385</v>
      </c>
      <c r="BU28" s="200">
        <f t="shared" si="12"/>
        <v>12285</v>
      </c>
      <c r="BV28" s="200">
        <v>53</v>
      </c>
      <c r="BW28" s="200">
        <v>5</v>
      </c>
      <c r="BX28" s="200">
        <f t="shared" si="13"/>
        <v>3</v>
      </c>
      <c r="CB28" s="381">
        <f>_xlfn.IFNA(VLOOKUP(A28,'Actuals Summer'!$A:$AG,23,FALSE),0)</f>
        <v>21645</v>
      </c>
      <c r="CC28" s="381">
        <f>_xlfn.IFNA(VLOOKUP(A28,'Actuals Summer'!$A:$AG,24,FALSE),0)</f>
        <v>10725</v>
      </c>
      <c r="CD28" s="381">
        <f>_xlfn.IFNA(VLOOKUP(A28,'Actuals Summer'!$A:$AG,25,FALSE),0)</f>
        <v>8970</v>
      </c>
      <c r="CE28" s="381">
        <f>_xlfn.IFNA(VLOOKUP(A28,'Actuals Summer'!$A:$AG,26,FALSE),0)</f>
        <v>0</v>
      </c>
      <c r="CF28" s="381">
        <f>_xlfn.IFNA(VLOOKUP(A28,'Actuals Summer'!$A:$AG,27,FALSE),0)</f>
        <v>0</v>
      </c>
      <c r="CG28" s="381">
        <f>_xlfn.IFNA(VLOOKUP(A28,'Actuals Dep Summer'!B:O,6,FALSE)*$BN$3,0)</f>
        <v>11700</v>
      </c>
      <c r="CH28" s="381">
        <f>_xlfn.IFNA(VLOOKUP(A28,'Actuals Dep Summer'!B:O,7,FALSE)*$BN$3,0)</f>
        <v>4485</v>
      </c>
      <c r="CI28" s="381">
        <f>_xlfn.IFNA(VLOOKUP(A28,'Actuals Dep Summer'!B:O,8,FALSE)*$BN$3,0)</f>
        <v>5850</v>
      </c>
      <c r="CJ28" s="381">
        <f>_xlfn.IFNA(VLOOKUP(A28,'Actuals Summer'!$A:$AG,31,FALSE),0)*$BN$3</f>
        <v>753.58518246836593</v>
      </c>
      <c r="CK28" s="381"/>
      <c r="CL28" s="381">
        <f>_xlfn.IFNA(VLOOKUP(A28,'Actuals Summer'!$A:$AG,32,FALSE),0)*$BN$3</f>
        <v>159705</v>
      </c>
      <c r="CM28" s="381">
        <f>_xlfn.IFNA(VLOOKUP(A28,'Actuals Summer'!$A:$AG,33,FALSE),0)</f>
        <v>2.9999557159258652</v>
      </c>
      <c r="CP28" s="458">
        <f t="shared" si="14"/>
        <v>0</v>
      </c>
      <c r="CQ28" s="458">
        <f t="shared" si="15"/>
        <v>14935.05</v>
      </c>
      <c r="CR28" s="458">
        <f t="shared" si="0"/>
        <v>39826.799999999996</v>
      </c>
      <c r="CS28" s="458">
        <f t="shared" si="16"/>
        <v>122510.7</v>
      </c>
      <c r="CT28" s="458">
        <f t="shared" si="17"/>
        <v>60703.5</v>
      </c>
      <c r="CU28" s="458">
        <f t="shared" si="18"/>
        <v>9634.9499999999989</v>
      </c>
      <c r="CV28" s="458">
        <f t="shared" si="19"/>
        <v>1753.05</v>
      </c>
      <c r="CW28" s="458">
        <f t="shared" si="20"/>
        <v>670.80000000000007</v>
      </c>
      <c r="CX28" s="458">
        <f t="shared" si="21"/>
        <v>12285</v>
      </c>
      <c r="CY28" s="458">
        <f t="shared" si="22"/>
        <v>3952.6842105263154</v>
      </c>
      <c r="CZ28" s="458">
        <f t="shared" si="23"/>
        <v>932.23684210526324</v>
      </c>
      <c r="DA28" s="458">
        <f t="shared" si="24"/>
        <v>2814</v>
      </c>
      <c r="DB28" s="458">
        <f t="shared" si="25"/>
        <v>270018.77105263155</v>
      </c>
      <c r="DC28" s="452">
        <f>_xlfn.XLOOKUP($A28,'Actuals Summer'!$A:$A,'Actuals Summer'!L:L,0,0)</f>
        <v>0</v>
      </c>
      <c r="DD28" s="452">
        <f>_xlfn.XLOOKUP($A28,'Actuals Summer'!$A:$A,'Actuals Summer'!K:K,0,0)+_xlfn.XLOOKUP($A28,'Actuals Summer'!$A:$A,'Actuals Summer'!Q:Q,0,0)</f>
        <v>76334.7</v>
      </c>
      <c r="DE28" s="452">
        <f>_xlfn.XLOOKUP($A28,'Actuals Summer'!$A:$A,'Actuals Summer'!I:I,0,0)+_xlfn.XLOOKUP($A28,'Actuals Summer'!$A:$A,'Actuals Summer'!R:R,0,0)</f>
        <v>122510.7</v>
      </c>
      <c r="DF28" s="452">
        <f>_xlfn.XLOOKUP($A28,'Actuals Summer'!$A:$A,'Actuals Summer'!J:J,0,0)</f>
        <v>60703.5</v>
      </c>
      <c r="DG28" s="452">
        <f>_xlfn.XLOOKUP($A28,'Actuals Dep Summer'!$B:$B,'Actuals Dep Summer'!G:G,0,0)*'Actuals Dep Summer'!$F$2*'Actuals Dep Summer'!$C$2</f>
        <v>7137</v>
      </c>
      <c r="DH28" s="452">
        <f>_xlfn.XLOOKUP($A28,'Actuals Dep Summer'!$B:$B,'Actuals Dep Summer'!H:H,0,0)*'Actuals Dep Summer'!$F$2*'Actuals Dep Summer'!$C$3</f>
        <v>1300.6499999999999</v>
      </c>
      <c r="DI28" s="452">
        <f>_xlfn.XLOOKUP($A28,'Actuals Dep Summer'!$B:$B,'Actuals Dep Summer'!I:I,0,0)*'Actuals Dep Summer'!$F$2*'Actuals Dep Summer'!$C$4</f>
        <v>468</v>
      </c>
      <c r="DJ28" s="452">
        <f>_xlfn.XLOOKUP($A28,'Actuals Summer'!$A:$A,'Actuals Summer'!P:P,0,0)</f>
        <v>12285</v>
      </c>
      <c r="DK28" s="452">
        <f>_xlfn.XLOOKUP($A28,'Actuals Summer'!$A:$A,'Actuals Summer'!O:O,0,0)</f>
        <v>4325.5789473684208</v>
      </c>
      <c r="DL28" s="452"/>
      <c r="DM28" s="452">
        <f>_xlfn.XLOOKUP($A28,'Actuals Summer'!$A:$A,'Actuals Summer'!M:M,0,0)</f>
        <v>962.67</v>
      </c>
      <c r="DN28" s="453">
        <f t="shared" si="1"/>
        <v>286027.79894736846</v>
      </c>
      <c r="DO28" s="453">
        <f>_xlfn.XLOOKUP(A28,'Actuals Summer'!A:A,'Actuals Summer'!S:S,0,0)-'Summer data team '!DN28</f>
        <v>0</v>
      </c>
      <c r="DP28" s="463">
        <f t="shared" si="2"/>
        <v>-16009.027894736908</v>
      </c>
    </row>
    <row r="29" spans="1:120" ht="13" x14ac:dyDescent="0.3">
      <c r="A29" s="364">
        <v>1048</v>
      </c>
      <c r="B29" s="364">
        <v>3301048</v>
      </c>
      <c r="C29" s="364" t="s">
        <v>53</v>
      </c>
      <c r="D29" s="506">
        <v>0</v>
      </c>
      <c r="E29" s="506">
        <v>31</v>
      </c>
      <c r="F29" s="506">
        <v>7</v>
      </c>
      <c r="G29" s="506">
        <v>79</v>
      </c>
      <c r="H29" s="506">
        <v>41</v>
      </c>
      <c r="I29" s="507">
        <v>38</v>
      </c>
      <c r="J29" s="507">
        <v>120</v>
      </c>
      <c r="K29" s="506">
        <v>24</v>
      </c>
      <c r="L29" s="506">
        <v>11</v>
      </c>
      <c r="M29" s="507">
        <v>35</v>
      </c>
      <c r="N29" s="506">
        <v>0</v>
      </c>
      <c r="O29" s="506">
        <v>465</v>
      </c>
      <c r="P29" s="506">
        <v>1185</v>
      </c>
      <c r="Q29" s="506">
        <v>615</v>
      </c>
      <c r="R29" s="507">
        <v>1800</v>
      </c>
      <c r="S29" s="506">
        <v>105</v>
      </c>
      <c r="T29" s="506">
        <v>570</v>
      </c>
      <c r="U29" s="506">
        <v>360</v>
      </c>
      <c r="V29" s="506">
        <v>165</v>
      </c>
      <c r="W29" s="507">
        <v>525</v>
      </c>
      <c r="X29" s="506">
        <v>84</v>
      </c>
      <c r="Y29" s="506">
        <v>1260</v>
      </c>
      <c r="Z29" s="508">
        <v>300</v>
      </c>
      <c r="AA29" s="506">
        <v>1</v>
      </c>
      <c r="AB29" s="506">
        <v>15</v>
      </c>
      <c r="AC29" s="508">
        <v>0</v>
      </c>
      <c r="AD29" s="506">
        <v>20</v>
      </c>
      <c r="AE29" s="506">
        <v>300</v>
      </c>
      <c r="AF29" s="508">
        <v>60</v>
      </c>
      <c r="AG29" s="509">
        <v>21</v>
      </c>
      <c r="AH29" s="509">
        <v>315</v>
      </c>
      <c r="AI29" s="508">
        <v>0</v>
      </c>
      <c r="AJ29" s="509">
        <v>67</v>
      </c>
      <c r="AK29" s="509">
        <v>1005</v>
      </c>
      <c r="AL29" s="508">
        <v>135</v>
      </c>
      <c r="AM29" s="506">
        <v>88</v>
      </c>
      <c r="AN29" s="506">
        <v>1320</v>
      </c>
      <c r="AO29" s="508">
        <v>135</v>
      </c>
      <c r="AP29" s="508"/>
      <c r="AQ29" s="508">
        <f t="shared" si="3"/>
        <v>88</v>
      </c>
      <c r="AR29" s="509">
        <v>21</v>
      </c>
      <c r="AS29" s="509">
        <v>315</v>
      </c>
      <c r="AT29" s="508">
        <v>0</v>
      </c>
      <c r="AU29" s="509">
        <v>67</v>
      </c>
      <c r="AV29" s="509">
        <v>1005</v>
      </c>
      <c r="AW29" s="508">
        <v>135</v>
      </c>
      <c r="AX29" s="506">
        <v>88</v>
      </c>
      <c r="AY29" s="506">
        <v>1320</v>
      </c>
      <c r="AZ29" s="508">
        <v>135</v>
      </c>
      <c r="BA29" s="508"/>
      <c r="BB29" s="508">
        <f t="shared" si="4"/>
        <v>155</v>
      </c>
      <c r="BC29" s="509">
        <v>3</v>
      </c>
      <c r="BD29" s="509">
        <v>6</v>
      </c>
      <c r="BE29" s="506">
        <v>9</v>
      </c>
      <c r="BF29" s="200"/>
      <c r="BG29" s="200"/>
      <c r="BH29" s="200"/>
      <c r="BI29" s="200"/>
      <c r="BJ29" s="200"/>
      <c r="BK29" s="200"/>
      <c r="BL29" s="200"/>
      <c r="BM29" s="505">
        <f t="shared" si="5"/>
        <v>0</v>
      </c>
      <c r="BN29" s="200">
        <f t="shared" si="6"/>
        <v>6045</v>
      </c>
      <c r="BO29" s="200">
        <f t="shared" si="26"/>
        <v>1365</v>
      </c>
      <c r="BP29" s="200">
        <f t="shared" si="7"/>
        <v>23400</v>
      </c>
      <c r="BQ29" s="200">
        <f t="shared" si="8"/>
        <v>6825</v>
      </c>
      <c r="BR29" s="200">
        <f t="shared" si="9"/>
        <v>20280</v>
      </c>
      <c r="BS29" s="200">
        <f t="shared" si="10"/>
        <v>195</v>
      </c>
      <c r="BT29" s="200">
        <f t="shared" si="11"/>
        <v>4680</v>
      </c>
      <c r="BU29" s="200">
        <f t="shared" si="12"/>
        <v>17160</v>
      </c>
      <c r="BV29" s="200">
        <v>79</v>
      </c>
      <c r="BW29" s="200">
        <v>9</v>
      </c>
      <c r="BX29" s="200">
        <f t="shared" si="13"/>
        <v>9</v>
      </c>
      <c r="CB29" s="381">
        <f>_xlfn.IFNA(VLOOKUP(A29,'Actuals Summer'!$A:$AG,23,FALSE),0)</f>
        <v>23400</v>
      </c>
      <c r="CC29" s="381">
        <f>_xlfn.IFNA(VLOOKUP(A29,'Actuals Summer'!$A:$AG,24,FALSE),0)</f>
        <v>6825</v>
      </c>
      <c r="CD29" s="381">
        <f>_xlfn.IFNA(VLOOKUP(A29,'Actuals Summer'!$A:$AG,25,FALSE),0)</f>
        <v>5850</v>
      </c>
      <c r="CE29" s="381">
        <f>_xlfn.IFNA(VLOOKUP(A29,'Actuals Summer'!$A:$AG,26,FALSE),0)</f>
        <v>0</v>
      </c>
      <c r="CF29" s="381">
        <f>_xlfn.IFNA(VLOOKUP(A29,'Actuals Summer'!$A:$AG,27,FALSE),0)</f>
        <v>0</v>
      </c>
      <c r="CG29" s="381">
        <f>_xlfn.IFNA(VLOOKUP(A29,'Actuals Dep Summer'!B:O,6,FALSE)*$BN$3,0)</f>
        <v>16380</v>
      </c>
      <c r="CH29" s="381">
        <f>_xlfn.IFNA(VLOOKUP(A29,'Actuals Dep Summer'!B:O,7,FALSE)*$BN$3,0)</f>
        <v>195</v>
      </c>
      <c r="CI29" s="381">
        <f>_xlfn.IFNA(VLOOKUP(A29,'Actuals Dep Summer'!B:O,8,FALSE)*$BN$3,0)</f>
        <v>3900</v>
      </c>
      <c r="CJ29" s="381">
        <f>_xlfn.IFNA(VLOOKUP(A29,'Actuals Summer'!$A:$AG,31,FALSE),0)*$BN$3</f>
        <v>1143.3706216761416</v>
      </c>
      <c r="CK29" s="381"/>
      <c r="CL29" s="381">
        <f>_xlfn.IFNA(VLOOKUP(A29,'Actuals Summer'!$A:$AG,32,FALSE),0)*$BN$3</f>
        <v>223080</v>
      </c>
      <c r="CM29" s="381">
        <f>_xlfn.IFNA(VLOOKUP(A29,'Actuals Summer'!$A:$AG,33,FALSE),0)</f>
        <v>8.9998671477775947</v>
      </c>
      <c r="CP29" s="458">
        <f t="shared" si="14"/>
        <v>0</v>
      </c>
      <c r="CQ29" s="458">
        <f t="shared" si="15"/>
        <v>51442.95</v>
      </c>
      <c r="CR29" s="458">
        <f t="shared" si="0"/>
        <v>11616.15</v>
      </c>
      <c r="CS29" s="458">
        <f t="shared" si="16"/>
        <v>132444</v>
      </c>
      <c r="CT29" s="458">
        <f t="shared" si="17"/>
        <v>38629.5</v>
      </c>
      <c r="CU29" s="458">
        <f t="shared" si="18"/>
        <v>12370.8</v>
      </c>
      <c r="CV29" s="458">
        <f t="shared" si="19"/>
        <v>56.55</v>
      </c>
      <c r="CW29" s="458">
        <f t="shared" si="20"/>
        <v>374.40000000000003</v>
      </c>
      <c r="CX29" s="458">
        <f t="shared" si="21"/>
        <v>17160</v>
      </c>
      <c r="CY29" s="458">
        <f t="shared" si="22"/>
        <v>5891.7368421052624</v>
      </c>
      <c r="CZ29" s="458">
        <f t="shared" si="23"/>
        <v>1678.026315789474</v>
      </c>
      <c r="DA29" s="458">
        <f t="shared" si="24"/>
        <v>8442</v>
      </c>
      <c r="DB29" s="458">
        <f t="shared" si="25"/>
        <v>280106.11315789475</v>
      </c>
      <c r="DC29" s="452">
        <f>_xlfn.XLOOKUP($A29,'Actuals Summer'!$A:$A,'Actuals Summer'!L:L,0,0)</f>
        <v>0</v>
      </c>
      <c r="DD29" s="452">
        <f>_xlfn.XLOOKUP($A29,'Actuals Summer'!$A:$A,'Actuals Summer'!K:K,0,0)+_xlfn.XLOOKUP($A29,'Actuals Summer'!$A:$A,'Actuals Summer'!Q:Q,0,0)</f>
        <v>49783.5</v>
      </c>
      <c r="DE29" s="452">
        <f>_xlfn.XLOOKUP($A29,'Actuals Summer'!$A:$A,'Actuals Summer'!I:I,0,0)+_xlfn.XLOOKUP($A29,'Actuals Summer'!$A:$A,'Actuals Summer'!R:R,0,0)</f>
        <v>132444</v>
      </c>
      <c r="DF29" s="452">
        <f>_xlfn.XLOOKUP($A29,'Actuals Summer'!$A:$A,'Actuals Summer'!J:J,0,0)</f>
        <v>38629.5</v>
      </c>
      <c r="DG29" s="452">
        <f>_xlfn.XLOOKUP($A29,'Actuals Dep Summer'!$B:$B,'Actuals Dep Summer'!G:G,0,0)*'Actuals Dep Summer'!$F$2*'Actuals Dep Summer'!$C$2</f>
        <v>9991.7999999999993</v>
      </c>
      <c r="DH29" s="452">
        <f>_xlfn.XLOOKUP($A29,'Actuals Dep Summer'!$B:$B,'Actuals Dep Summer'!H:H,0,0)*'Actuals Dep Summer'!$F$2*'Actuals Dep Summer'!$C$3</f>
        <v>56.55</v>
      </c>
      <c r="DI29" s="452">
        <f>_xlfn.XLOOKUP($A29,'Actuals Dep Summer'!$B:$B,'Actuals Dep Summer'!I:I,0,0)*'Actuals Dep Summer'!$F$2*'Actuals Dep Summer'!$C$4</f>
        <v>312</v>
      </c>
      <c r="DJ29" s="452">
        <f>_xlfn.XLOOKUP($A29,'Actuals Summer'!$A:$A,'Actuals Summer'!P:P,0,0)</f>
        <v>17160</v>
      </c>
      <c r="DK29" s="452">
        <f>_xlfn.XLOOKUP($A29,'Actuals Summer'!$A:$A,'Actuals Summer'!O:O,0,0)</f>
        <v>6562.9473684210525</v>
      </c>
      <c r="DL29" s="452"/>
      <c r="DM29" s="452">
        <f>_xlfn.XLOOKUP($A29,'Actuals Summer'!$A:$A,'Actuals Summer'!M:M,0,0)</f>
        <v>2888.0099999999998</v>
      </c>
      <c r="DN29" s="453">
        <f t="shared" si="1"/>
        <v>257828.30736842102</v>
      </c>
      <c r="DO29" s="453">
        <f>_xlfn.XLOOKUP(A29,'Actuals Summer'!A:A,'Actuals Summer'!S:S,0,0)-'Summer data team '!DN29</f>
        <v>0</v>
      </c>
      <c r="DP29" s="463">
        <f t="shared" si="2"/>
        <v>22277.805789473729</v>
      </c>
    </row>
    <row r="30" spans="1:120" ht="13" x14ac:dyDescent="0.3">
      <c r="A30" s="364">
        <v>1049</v>
      </c>
      <c r="B30" s="364">
        <v>3301049</v>
      </c>
      <c r="C30" s="364" t="s">
        <v>117</v>
      </c>
      <c r="D30" s="506">
        <v>0</v>
      </c>
      <c r="E30" s="506">
        <v>29</v>
      </c>
      <c r="F30" s="506">
        <v>6</v>
      </c>
      <c r="G30" s="506">
        <v>65</v>
      </c>
      <c r="H30" s="506">
        <v>41</v>
      </c>
      <c r="I30" s="507">
        <v>35</v>
      </c>
      <c r="J30" s="507">
        <v>106</v>
      </c>
      <c r="K30" s="506">
        <v>8</v>
      </c>
      <c r="L30" s="506">
        <v>7</v>
      </c>
      <c r="M30" s="507">
        <v>15</v>
      </c>
      <c r="N30" s="506">
        <v>0</v>
      </c>
      <c r="O30" s="506">
        <v>435</v>
      </c>
      <c r="P30" s="506">
        <v>975</v>
      </c>
      <c r="Q30" s="506">
        <v>615</v>
      </c>
      <c r="R30" s="507">
        <v>1590</v>
      </c>
      <c r="S30" s="506">
        <v>90</v>
      </c>
      <c r="T30" s="506">
        <v>525</v>
      </c>
      <c r="U30" s="506">
        <v>120</v>
      </c>
      <c r="V30" s="506">
        <v>105</v>
      </c>
      <c r="W30" s="507">
        <v>225</v>
      </c>
      <c r="X30" s="506">
        <v>68</v>
      </c>
      <c r="Y30" s="506">
        <v>1020</v>
      </c>
      <c r="Z30" s="508">
        <v>60</v>
      </c>
      <c r="AA30" s="506">
        <v>3</v>
      </c>
      <c r="AB30" s="506">
        <v>45</v>
      </c>
      <c r="AC30" s="508">
        <v>15</v>
      </c>
      <c r="AD30" s="506">
        <v>30</v>
      </c>
      <c r="AE30" s="506">
        <v>450</v>
      </c>
      <c r="AF30" s="508">
        <v>60</v>
      </c>
      <c r="AG30" s="509">
        <v>27</v>
      </c>
      <c r="AH30" s="509">
        <v>405</v>
      </c>
      <c r="AI30" s="508">
        <v>0</v>
      </c>
      <c r="AJ30" s="509">
        <v>65</v>
      </c>
      <c r="AK30" s="509">
        <v>975</v>
      </c>
      <c r="AL30" s="508">
        <v>75</v>
      </c>
      <c r="AM30" s="506">
        <v>92</v>
      </c>
      <c r="AN30" s="506">
        <v>1380</v>
      </c>
      <c r="AO30" s="508">
        <v>75</v>
      </c>
      <c r="AP30" s="508"/>
      <c r="AQ30" s="508">
        <f t="shared" si="3"/>
        <v>92</v>
      </c>
      <c r="AR30" s="509">
        <v>0</v>
      </c>
      <c r="AS30" s="509">
        <v>0</v>
      </c>
      <c r="AT30" s="508">
        <v>0</v>
      </c>
      <c r="AU30" s="509">
        <v>27</v>
      </c>
      <c r="AV30" s="509">
        <v>405</v>
      </c>
      <c r="AW30" s="508">
        <v>75</v>
      </c>
      <c r="AX30" s="506">
        <v>27</v>
      </c>
      <c r="AY30" s="506">
        <v>405</v>
      </c>
      <c r="AZ30" s="508">
        <v>75</v>
      </c>
      <c r="BA30" s="508"/>
      <c r="BB30" s="508">
        <f>AU30+AX30</f>
        <v>54</v>
      </c>
      <c r="BC30" s="509">
        <v>3</v>
      </c>
      <c r="BD30" s="509">
        <v>5</v>
      </c>
      <c r="BE30" s="506">
        <v>8</v>
      </c>
      <c r="BF30" s="200"/>
      <c r="BG30" s="200"/>
      <c r="BH30" s="200"/>
      <c r="BI30" s="200"/>
      <c r="BJ30" s="200"/>
      <c r="BK30" s="200"/>
      <c r="BL30" s="200"/>
      <c r="BM30" s="505">
        <f t="shared" si="5"/>
        <v>0</v>
      </c>
      <c r="BN30" s="200">
        <f t="shared" si="6"/>
        <v>5655</v>
      </c>
      <c r="BO30" s="200">
        <f t="shared" si="26"/>
        <v>1170</v>
      </c>
      <c r="BP30" s="200">
        <f t="shared" si="7"/>
        <v>20670</v>
      </c>
      <c r="BQ30" s="200">
        <f t="shared" si="8"/>
        <v>2925</v>
      </c>
      <c r="BR30" s="200">
        <f>(Y30+Z30)*$BN$3</f>
        <v>14040</v>
      </c>
      <c r="BS30" s="200">
        <f>(AB30+AC30)*$BN$3</f>
        <v>780</v>
      </c>
      <c r="BT30" s="200">
        <f>(AE30+AF30)*$BN$3</f>
        <v>6630</v>
      </c>
      <c r="BU30" s="200">
        <f t="shared" si="12"/>
        <v>17940</v>
      </c>
      <c r="BV30" s="200">
        <v>22</v>
      </c>
      <c r="BW30" s="200">
        <v>5</v>
      </c>
      <c r="BX30" s="200">
        <f t="shared" si="13"/>
        <v>8</v>
      </c>
      <c r="CB30" s="381">
        <f>_xlfn.IFNA(VLOOKUP(A30,'Actuals Summer'!$A:$AG,23,FALSE),0)</f>
        <v>20670</v>
      </c>
      <c r="CC30" s="381">
        <f>_xlfn.IFNA(VLOOKUP(A30,'Actuals Summer'!$A:$AG,24,FALSE),0)</f>
        <v>2925</v>
      </c>
      <c r="CD30" s="381">
        <f>_xlfn.IFNA(VLOOKUP(A30,'Actuals Summer'!$A:$AG,25,FALSE),0)</f>
        <v>5070</v>
      </c>
      <c r="CE30" s="381">
        <f>_xlfn.IFNA(VLOOKUP(A30,'Actuals Summer'!$A:$AG,26,FALSE),0)</f>
        <v>0</v>
      </c>
      <c r="CF30" s="381">
        <f>_xlfn.IFNA(VLOOKUP(A30,'Actuals Summer'!$A:$AG,27,FALSE),0)</f>
        <v>0</v>
      </c>
      <c r="CG30" s="381">
        <f>_xlfn.IFNA(VLOOKUP(A30,'Actuals Dep Summer'!B:O,6,FALSE)*$BN$3,0)</f>
        <v>13260</v>
      </c>
      <c r="CH30" s="381">
        <f>_xlfn.IFNA(VLOOKUP(A30,'Actuals Dep Summer'!B:O,7,FALSE)*$BN$3,0)</f>
        <v>585</v>
      </c>
      <c r="CI30" s="381">
        <f>_xlfn.IFNA(VLOOKUP(A30,'Actuals Dep Summer'!B:O,8,FALSE)*$BN$3,0)</f>
        <v>5850</v>
      </c>
      <c r="CJ30" s="381">
        <f>_xlfn.IFNA(VLOOKUP(A30,'Actuals Summer'!$A:$AG,31,FALSE),0)</f>
        <v>26.985145791307534</v>
      </c>
      <c r="CK30" s="381"/>
      <c r="CL30" s="381">
        <f>_xlfn.IFNA(VLOOKUP(A30,'Actuals Summer'!$A:$AG,32,FALSE),0)</f>
        <v>17940</v>
      </c>
      <c r="CM30" s="381">
        <f>_xlfn.IFNA(VLOOKUP(A30,'Actuals Summer'!$A:$AG,33,FALSE),0)</f>
        <v>7.9998819091356399</v>
      </c>
      <c r="CP30" s="458">
        <f t="shared" si="14"/>
        <v>0</v>
      </c>
      <c r="CQ30" s="458">
        <f t="shared" si="15"/>
        <v>48124.049999999996</v>
      </c>
      <c r="CR30" s="458">
        <f t="shared" si="0"/>
        <v>9956.6999999999989</v>
      </c>
      <c r="CS30" s="458">
        <f t="shared" si="16"/>
        <v>116992.2</v>
      </c>
      <c r="CT30" s="458">
        <f t="shared" si="17"/>
        <v>16555.5</v>
      </c>
      <c r="CU30" s="458">
        <f t="shared" si="18"/>
        <v>8564.4</v>
      </c>
      <c r="CV30" s="458">
        <f t="shared" si="19"/>
        <v>226.2</v>
      </c>
      <c r="CW30" s="458">
        <f t="shared" si="20"/>
        <v>530.4</v>
      </c>
      <c r="CX30" s="458">
        <f t="shared" si="21"/>
        <v>17940</v>
      </c>
      <c r="CY30" s="458">
        <f t="shared" si="22"/>
        <v>1640.7368421052631</v>
      </c>
      <c r="CZ30" s="458">
        <f t="shared" si="23"/>
        <v>932.23684210526324</v>
      </c>
      <c r="DA30" s="458">
        <f t="shared" si="24"/>
        <v>7504</v>
      </c>
      <c r="DB30" s="458">
        <f t="shared" si="25"/>
        <v>228966.42368421049</v>
      </c>
      <c r="DC30" s="452">
        <f>_xlfn.XLOOKUP($A30,'Actuals Summer'!$A:$A,'Actuals Summer'!L:L,0,0)</f>
        <v>0</v>
      </c>
      <c r="DD30" s="452">
        <f>_xlfn.XLOOKUP($A30,'Actuals Summer'!$A:$A,'Actuals Summer'!K:K,0,0)+_xlfn.XLOOKUP($A30,'Actuals Summer'!$A:$A,'Actuals Summer'!Q:Q,0,0)</f>
        <v>43145.7</v>
      </c>
      <c r="DE30" s="452">
        <f>_xlfn.XLOOKUP($A30,'Actuals Summer'!$A:$A,'Actuals Summer'!I:I,0,0)+_xlfn.XLOOKUP($A30,'Actuals Summer'!$A:$A,'Actuals Summer'!R:R,0,0)</f>
        <v>116992.2</v>
      </c>
      <c r="DF30" s="452">
        <f>_xlfn.XLOOKUP($A30,'Actuals Summer'!$A:$A,'Actuals Summer'!J:J,0,0)</f>
        <v>16555.5</v>
      </c>
      <c r="DG30" s="452">
        <f>_xlfn.XLOOKUP($A30,'Actuals Dep Summer'!$B:$B,'Actuals Dep Summer'!G:G,0,0)*'Actuals Dep Summer'!$F$2*'Actuals Dep Summer'!$C$2</f>
        <v>8088.5999999999995</v>
      </c>
      <c r="DH30" s="452">
        <f>_xlfn.XLOOKUP($A30,'Actuals Dep Summer'!$B:$B,'Actuals Dep Summer'!H:H,0,0)*'Actuals Dep Summer'!$F$2*'Actuals Dep Summer'!$C$3</f>
        <v>169.64999999999998</v>
      </c>
      <c r="DI30" s="452">
        <f>_xlfn.XLOOKUP($A30,'Actuals Dep Summer'!$B:$B,'Actuals Dep Summer'!I:I,0,0)*'Actuals Dep Summer'!$F$2*'Actuals Dep Summer'!$C$4</f>
        <v>468</v>
      </c>
      <c r="DJ30" s="452">
        <f>_xlfn.XLOOKUP($A30,'Actuals Summer'!$A:$A,'Actuals Summer'!P:P,0,0)</f>
        <v>17940</v>
      </c>
      <c r="DK30" s="452">
        <f>_xlfn.XLOOKUP($A30,'Actuals Summer'!$A:$A,'Actuals Summer'!O:O,0,0)</f>
        <v>2013.6315789473686</v>
      </c>
      <c r="DL30" s="452"/>
      <c r="DM30" s="452">
        <f>_xlfn.XLOOKUP($A30,'Actuals Summer'!$A:$A,'Actuals Summer'!M:M,0,0)</f>
        <v>2567.12</v>
      </c>
      <c r="DN30" s="453">
        <f t="shared" si="1"/>
        <v>207940.40157894735</v>
      </c>
      <c r="DO30" s="453">
        <f>_xlfn.XLOOKUP(A30,'Actuals Summer'!A:A,'Actuals Summer'!S:S,0,0)-'Summer data team '!DN30</f>
        <v>0</v>
      </c>
      <c r="DP30" s="463">
        <f t="shared" si="2"/>
        <v>21026.022105263139</v>
      </c>
    </row>
    <row r="31" spans="1:120" ht="13" x14ac:dyDescent="0.3">
      <c r="A31" s="364">
        <v>1802</v>
      </c>
      <c r="B31" s="364">
        <v>3301802</v>
      </c>
      <c r="C31" s="364" t="s">
        <v>189</v>
      </c>
      <c r="D31" s="506">
        <v>0</v>
      </c>
      <c r="E31" s="506">
        <v>25</v>
      </c>
      <c r="F31" s="506">
        <v>6</v>
      </c>
      <c r="G31" s="506">
        <v>51</v>
      </c>
      <c r="H31" s="506">
        <v>10</v>
      </c>
      <c r="I31" s="507">
        <v>31</v>
      </c>
      <c r="J31" s="507">
        <v>61</v>
      </c>
      <c r="K31" s="506">
        <v>12</v>
      </c>
      <c r="L31" s="506">
        <v>0</v>
      </c>
      <c r="M31" s="507">
        <v>12</v>
      </c>
      <c r="N31" s="506">
        <v>0</v>
      </c>
      <c r="O31" s="506">
        <v>375</v>
      </c>
      <c r="P31" s="506">
        <v>765</v>
      </c>
      <c r="Q31" s="506">
        <v>150</v>
      </c>
      <c r="R31" s="507">
        <v>915</v>
      </c>
      <c r="S31" s="506">
        <v>90</v>
      </c>
      <c r="T31" s="506">
        <v>465</v>
      </c>
      <c r="U31" s="506">
        <v>180</v>
      </c>
      <c r="V31" s="506">
        <v>0</v>
      </c>
      <c r="W31" s="507">
        <v>180</v>
      </c>
      <c r="X31" s="506">
        <v>32</v>
      </c>
      <c r="Y31" s="506">
        <v>480</v>
      </c>
      <c r="Z31" s="508">
        <v>45</v>
      </c>
      <c r="AA31" s="506">
        <v>35</v>
      </c>
      <c r="AB31" s="506">
        <v>525</v>
      </c>
      <c r="AC31" s="508">
        <v>90</v>
      </c>
      <c r="AD31" s="506">
        <v>9</v>
      </c>
      <c r="AE31" s="506">
        <v>135</v>
      </c>
      <c r="AF31" s="508">
        <v>15</v>
      </c>
      <c r="AG31" s="509">
        <v>21</v>
      </c>
      <c r="AH31" s="509">
        <v>315</v>
      </c>
      <c r="AI31" s="508">
        <v>0</v>
      </c>
      <c r="AJ31" s="509">
        <v>32</v>
      </c>
      <c r="AK31" s="509">
        <v>480</v>
      </c>
      <c r="AL31" s="508">
        <v>45</v>
      </c>
      <c r="AM31" s="506">
        <v>53</v>
      </c>
      <c r="AN31" s="506">
        <v>795</v>
      </c>
      <c r="AO31" s="508">
        <v>45</v>
      </c>
      <c r="AP31" s="508"/>
      <c r="AQ31" s="508">
        <f t="shared" si="3"/>
        <v>53</v>
      </c>
      <c r="AR31" s="509">
        <v>21</v>
      </c>
      <c r="AS31" s="509">
        <v>315</v>
      </c>
      <c r="AT31" s="508">
        <v>0</v>
      </c>
      <c r="AU31" s="509">
        <v>32</v>
      </c>
      <c r="AV31" s="509">
        <v>480</v>
      </c>
      <c r="AW31" s="508">
        <v>45</v>
      </c>
      <c r="AX31" s="506">
        <v>53</v>
      </c>
      <c r="AY31" s="506">
        <v>795</v>
      </c>
      <c r="AZ31" s="508">
        <v>45</v>
      </c>
      <c r="BA31" s="508"/>
      <c r="BB31" s="508">
        <f t="shared" si="4"/>
        <v>85</v>
      </c>
      <c r="BC31" s="509">
        <v>0</v>
      </c>
      <c r="BD31" s="509">
        <v>1</v>
      </c>
      <c r="BE31" s="506">
        <v>1</v>
      </c>
      <c r="BF31" s="200">
        <v>1346.4</v>
      </c>
      <c r="BG31" s="200">
        <v>162.6</v>
      </c>
      <c r="BH31" s="200"/>
      <c r="BI31" s="200"/>
      <c r="BJ31" s="200"/>
      <c r="BK31" s="200"/>
      <c r="BL31" s="200"/>
      <c r="BM31" s="505">
        <f t="shared" si="5"/>
        <v>0</v>
      </c>
      <c r="BN31" s="200">
        <f t="shared" si="6"/>
        <v>6221.4</v>
      </c>
      <c r="BO31" s="200">
        <f t="shared" si="26"/>
        <v>1170</v>
      </c>
      <c r="BP31" s="200">
        <f t="shared" si="7"/>
        <v>11895</v>
      </c>
      <c r="BQ31" s="200">
        <f t="shared" si="8"/>
        <v>2502.6</v>
      </c>
      <c r="BR31" s="200">
        <f t="shared" si="9"/>
        <v>6825</v>
      </c>
      <c r="BS31" s="200">
        <f t="shared" si="10"/>
        <v>7995</v>
      </c>
      <c r="BT31" s="200">
        <f t="shared" si="11"/>
        <v>1950</v>
      </c>
      <c r="BU31" s="200">
        <f t="shared" si="12"/>
        <v>10335</v>
      </c>
      <c r="BV31" s="200">
        <v>50</v>
      </c>
      <c r="BW31" s="200">
        <v>3</v>
      </c>
      <c r="BX31" s="200">
        <f t="shared" si="13"/>
        <v>1</v>
      </c>
      <c r="CB31" s="381">
        <f>_xlfn.IFNA(VLOOKUP(A31,'Actuals Summer'!$A:$AG,23,FALSE),0)</f>
        <v>12057.6</v>
      </c>
      <c r="CC31" s="381">
        <f>_xlfn.IFNA(VLOOKUP(A31,'Actuals Summer'!$A:$AG,24,FALSE),0)</f>
        <v>2340</v>
      </c>
      <c r="CD31" s="381">
        <f>_xlfn.IFNA(VLOOKUP(A31,'Actuals Summer'!$A:$AG,25,FALSE),0)</f>
        <v>7958.2138660399523</v>
      </c>
      <c r="CE31" s="381">
        <f>_xlfn.IFNA(VLOOKUP(A31,'Actuals Summer'!$A:$AG,26,FALSE),0)</f>
        <v>0</v>
      </c>
      <c r="CF31" s="381">
        <f>_xlfn.IFNA(VLOOKUP(A31,'Actuals Summer'!$A:$AG,27,FALSE),0)</f>
        <v>0</v>
      </c>
      <c r="CG31" s="381">
        <f>_xlfn.IFNA(VLOOKUP(A31,'Actuals Dep Summer'!B:O,6,FALSE)*$BN$3,0)</f>
        <v>6240</v>
      </c>
      <c r="CH31" s="381">
        <f>_xlfn.IFNA(VLOOKUP(A31,'Actuals Dep Summer'!B:O,7,FALSE)*$BN$3,0)</f>
        <v>6825</v>
      </c>
      <c r="CI31" s="381">
        <f>_xlfn.IFNA(VLOOKUP(A31,'Actuals Dep Summer'!B:O,8,FALSE)*$BN$3,0)</f>
        <v>1755</v>
      </c>
      <c r="CJ31" s="381">
        <f>_xlfn.IFNA(VLOOKUP(A31,'Actuals Summer'!$A:$AG,31,FALSE),0)*$BN$3</f>
        <v>688.62094260040351</v>
      </c>
      <c r="CK31" s="381"/>
      <c r="CL31" s="381">
        <f>_xlfn.IFNA(VLOOKUP(A31,'Actuals Summer'!$A:$AG,32,FALSE),0)*$BN$3</f>
        <v>134355</v>
      </c>
      <c r="CM31" s="381">
        <f>_xlfn.IFNA(VLOOKUP(A31,'Actuals Summer'!$A:$AG,33,FALSE),0)</f>
        <v>0.99998523864195499</v>
      </c>
      <c r="CP31" s="458">
        <f t="shared" si="14"/>
        <v>0</v>
      </c>
      <c r="CQ31" s="458">
        <f t="shared" si="15"/>
        <v>52944.113999999994</v>
      </c>
      <c r="CR31" s="458">
        <f t="shared" si="0"/>
        <v>9956.6999999999989</v>
      </c>
      <c r="CS31" s="458">
        <f t="shared" si="16"/>
        <v>67325.7</v>
      </c>
      <c r="CT31" s="458">
        <f t="shared" si="17"/>
        <v>14164.716</v>
      </c>
      <c r="CU31" s="458">
        <f t="shared" si="18"/>
        <v>4163.25</v>
      </c>
      <c r="CV31" s="458">
        <f t="shared" si="19"/>
        <v>2318.5499999999997</v>
      </c>
      <c r="CW31" s="458">
        <f t="shared" si="20"/>
        <v>156</v>
      </c>
      <c r="CX31" s="458">
        <f t="shared" si="21"/>
        <v>10335</v>
      </c>
      <c r="CY31" s="458">
        <f t="shared" si="22"/>
        <v>3728.947368421052</v>
      </c>
      <c r="CZ31" s="458">
        <f t="shared" si="23"/>
        <v>559.34210526315792</v>
      </c>
      <c r="DA31" s="458">
        <f t="shared" si="24"/>
        <v>938</v>
      </c>
      <c r="DB31" s="458">
        <f t="shared" si="25"/>
        <v>166590.31947368415</v>
      </c>
      <c r="DC31" s="452">
        <f>_xlfn.XLOOKUP($A31,'Actuals Summer'!$A:$A,'Actuals Summer'!L:L,0,0)</f>
        <v>0</v>
      </c>
      <c r="DD31" s="452">
        <f>_xlfn.XLOOKUP($A31,'Actuals Summer'!$A:$A,'Actuals Summer'!K:K,0,0)+_xlfn.XLOOKUP($A31,'Actuals Summer'!$A:$A,'Actuals Summer'!Q:Q,0,0)</f>
        <v>67724.399999999994</v>
      </c>
      <c r="DE31" s="452">
        <f>_xlfn.XLOOKUP($A31,'Actuals Summer'!$A:$A,'Actuals Summer'!I:I,0,0)+_xlfn.XLOOKUP($A31,'Actuals Summer'!$A:$A,'Actuals Summer'!R:R,0,0)</f>
        <v>68246.016000000003</v>
      </c>
      <c r="DF31" s="452">
        <f>_xlfn.XLOOKUP($A31,'Actuals Summer'!$A:$A,'Actuals Summer'!J:J,0,0)</f>
        <v>13244.4</v>
      </c>
      <c r="DG31" s="452">
        <f>_xlfn.XLOOKUP($A31,'Actuals Dep Summer'!$B:$B,'Actuals Dep Summer'!G:G,0,0)*'Actuals Dep Summer'!$F$2*'Actuals Dep Summer'!$C$2</f>
        <v>3806.4</v>
      </c>
      <c r="DH31" s="452">
        <f>_xlfn.XLOOKUP($A31,'Actuals Dep Summer'!$B:$B,'Actuals Dep Summer'!H:H,0,0)*'Actuals Dep Summer'!$F$2*'Actuals Dep Summer'!$C$3</f>
        <v>1979.2499999999998</v>
      </c>
      <c r="DI31" s="452">
        <f>_xlfn.XLOOKUP($A31,'Actuals Dep Summer'!$B:$B,'Actuals Dep Summer'!I:I,0,0)*'Actuals Dep Summer'!$F$2*'Actuals Dep Summer'!$C$4</f>
        <v>140.4</v>
      </c>
      <c r="DJ31" s="452">
        <f>_xlfn.XLOOKUP($A31,'Actuals Summer'!$A:$A,'Actuals Summer'!P:P,0,0)</f>
        <v>10335</v>
      </c>
      <c r="DK31" s="452">
        <f>_xlfn.XLOOKUP($A31,'Actuals Summer'!$A:$A,'Actuals Summer'!O:O,0,0)</f>
        <v>3952.6842105263158</v>
      </c>
      <c r="DL31" s="452"/>
      <c r="DM31" s="452">
        <f>_xlfn.XLOOKUP($A31,'Actuals Summer'!$A:$A,'Actuals Summer'!M:M,0,0)</f>
        <v>320.89</v>
      </c>
      <c r="DN31" s="453">
        <f t="shared" si="1"/>
        <v>169749.44021052631</v>
      </c>
      <c r="DO31" s="453">
        <f>_xlfn.XLOOKUP(A31,'Actuals Summer'!A:A,'Actuals Summer'!S:S,0,0)-'Summer data team '!DN31</f>
        <v>0</v>
      </c>
      <c r="DP31" s="463">
        <f t="shared" si="2"/>
        <v>-3159.1207368421601</v>
      </c>
    </row>
    <row r="32" spans="1:120" ht="13" x14ac:dyDescent="0.3">
      <c r="A32" s="364">
        <v>2003</v>
      </c>
      <c r="B32" s="364">
        <v>3302003</v>
      </c>
      <c r="C32" s="364" t="s">
        <v>845</v>
      </c>
      <c r="D32" s="506">
        <v>0</v>
      </c>
      <c r="E32" s="506">
        <v>0</v>
      </c>
      <c r="F32" s="506">
        <v>0</v>
      </c>
      <c r="G32" s="506">
        <v>36</v>
      </c>
      <c r="H32" s="506">
        <v>33</v>
      </c>
      <c r="I32" s="507">
        <v>0</v>
      </c>
      <c r="J32" s="507">
        <v>69</v>
      </c>
      <c r="K32" s="506">
        <v>0</v>
      </c>
      <c r="L32" s="506">
        <v>0</v>
      </c>
      <c r="M32" s="507">
        <v>0</v>
      </c>
      <c r="N32" s="506">
        <v>0</v>
      </c>
      <c r="O32" s="506">
        <v>0</v>
      </c>
      <c r="P32" s="506">
        <v>540</v>
      </c>
      <c r="Q32" s="506">
        <v>495</v>
      </c>
      <c r="R32" s="507">
        <v>1035</v>
      </c>
      <c r="S32" s="506">
        <v>0</v>
      </c>
      <c r="T32" s="506">
        <v>0</v>
      </c>
      <c r="U32" s="506">
        <v>0</v>
      </c>
      <c r="V32" s="506">
        <v>0</v>
      </c>
      <c r="W32" s="507">
        <v>0</v>
      </c>
      <c r="X32" s="506">
        <v>1</v>
      </c>
      <c r="Y32" s="506">
        <v>15</v>
      </c>
      <c r="Z32" s="508">
        <v>0</v>
      </c>
      <c r="AA32" s="506">
        <v>28</v>
      </c>
      <c r="AB32" s="506">
        <v>420</v>
      </c>
      <c r="AC32" s="508">
        <v>0</v>
      </c>
      <c r="AD32" s="506">
        <v>36</v>
      </c>
      <c r="AE32" s="506">
        <v>540</v>
      </c>
      <c r="AF32" s="508">
        <v>0</v>
      </c>
      <c r="AG32" s="509">
        <v>0</v>
      </c>
      <c r="AH32" s="509">
        <v>0</v>
      </c>
      <c r="AI32" s="508">
        <v>0</v>
      </c>
      <c r="AJ32" s="509">
        <v>25</v>
      </c>
      <c r="AK32" s="509">
        <v>375</v>
      </c>
      <c r="AL32" s="508">
        <v>0</v>
      </c>
      <c r="AM32" s="506">
        <v>25</v>
      </c>
      <c r="AN32" s="506">
        <v>375</v>
      </c>
      <c r="AO32" s="508">
        <v>0</v>
      </c>
      <c r="AP32" s="508"/>
      <c r="AQ32" s="508">
        <f t="shared" si="3"/>
        <v>25</v>
      </c>
      <c r="AR32" s="509">
        <v>0</v>
      </c>
      <c r="AS32" s="509">
        <v>0</v>
      </c>
      <c r="AT32" s="508">
        <v>0</v>
      </c>
      <c r="AU32" s="509">
        <v>25</v>
      </c>
      <c r="AV32" s="509">
        <v>375</v>
      </c>
      <c r="AW32" s="508">
        <v>0</v>
      </c>
      <c r="AX32" s="506">
        <v>25</v>
      </c>
      <c r="AY32" s="506">
        <v>375</v>
      </c>
      <c r="AZ32" s="508">
        <v>0</v>
      </c>
      <c r="BA32" s="508"/>
      <c r="BB32" s="508">
        <f t="shared" si="4"/>
        <v>50</v>
      </c>
      <c r="BC32" s="509">
        <v>0</v>
      </c>
      <c r="BD32" s="509">
        <v>0</v>
      </c>
      <c r="BE32" s="506">
        <v>0</v>
      </c>
      <c r="BF32" s="200"/>
      <c r="BG32" s="200"/>
      <c r="BH32" s="200"/>
      <c r="BI32" s="200"/>
      <c r="BJ32" s="200"/>
      <c r="BK32" s="200"/>
      <c r="BL32" s="200"/>
      <c r="BM32" s="505">
        <f t="shared" si="5"/>
        <v>0</v>
      </c>
      <c r="BN32" s="200">
        <f t="shared" si="6"/>
        <v>0</v>
      </c>
      <c r="BO32" s="200">
        <f t="shared" si="26"/>
        <v>0</v>
      </c>
      <c r="BP32" s="200">
        <f t="shared" si="7"/>
        <v>13455</v>
      </c>
      <c r="BQ32" s="200">
        <f t="shared" si="8"/>
        <v>0</v>
      </c>
      <c r="BR32" s="200">
        <f t="shared" si="9"/>
        <v>195</v>
      </c>
      <c r="BS32" s="200">
        <f t="shared" si="10"/>
        <v>5460</v>
      </c>
      <c r="BT32" s="200">
        <f t="shared" si="11"/>
        <v>7020</v>
      </c>
      <c r="BU32" s="200">
        <f t="shared" si="12"/>
        <v>4875</v>
      </c>
      <c r="BV32" s="200">
        <v>25</v>
      </c>
      <c r="BW32" s="200">
        <v>0</v>
      </c>
      <c r="BX32" s="200">
        <f t="shared" si="13"/>
        <v>0</v>
      </c>
      <c r="CB32" s="381">
        <f>_xlfn.IFNA(VLOOKUP(A32,'Actuals Summer'!$A:$AG,23,FALSE),0)</f>
        <v>13455</v>
      </c>
      <c r="CC32" s="381">
        <f>_xlfn.IFNA(VLOOKUP(A32,'Actuals Summer'!$A:$AG,24,FALSE),0)</f>
        <v>0</v>
      </c>
      <c r="CD32" s="381">
        <f>_xlfn.IFNA(VLOOKUP(A32,'Actuals Summer'!$A:$AG,25,FALSE),0)</f>
        <v>0</v>
      </c>
      <c r="CE32" s="381">
        <f>_xlfn.IFNA(VLOOKUP(A32,'Actuals Summer'!$A:$AG,26,FALSE),0)</f>
        <v>0</v>
      </c>
      <c r="CF32" s="381">
        <f>_xlfn.IFNA(VLOOKUP(A32,'Actuals Summer'!$A:$AG,27,FALSE),0)</f>
        <v>0</v>
      </c>
      <c r="CG32" s="381">
        <f>_xlfn.IFNA(VLOOKUP(A32,'Actuals Dep Summer'!B:O,6,FALSE)*$BN$3,0)</f>
        <v>195</v>
      </c>
      <c r="CH32" s="381">
        <f>_xlfn.IFNA(VLOOKUP(A32,'Actuals Dep Summer'!B:O,7,FALSE)*$BN$3,0)</f>
        <v>5460</v>
      </c>
      <c r="CI32" s="381">
        <f>_xlfn.IFNA(VLOOKUP(A32,'Actuals Dep Summer'!B:O,8,FALSE)*$BN$3,0)</f>
        <v>7020</v>
      </c>
      <c r="CJ32" s="381">
        <f>_xlfn.IFNA(VLOOKUP(A32,'Actuals Summer'!$A:$AG,31,FALSE),0)*$BN$3</f>
        <v>324.82119933981295</v>
      </c>
      <c r="CK32" s="381"/>
      <c r="CL32" s="381">
        <f>_xlfn.IFNA(VLOOKUP(A32,'Actuals Summer'!$A:$AG,32,FALSE),0)*$BN$3</f>
        <v>63375</v>
      </c>
      <c r="CM32" s="381">
        <f>_xlfn.IFNA(VLOOKUP(A32,'Actuals Summer'!$A:$AG,33,FALSE),0)</f>
        <v>0</v>
      </c>
      <c r="CP32" s="458">
        <f t="shared" si="14"/>
        <v>0</v>
      </c>
      <c r="CQ32" s="458">
        <f t="shared" si="15"/>
        <v>0</v>
      </c>
      <c r="CR32" s="458">
        <f t="shared" si="0"/>
        <v>0</v>
      </c>
      <c r="CS32" s="458">
        <f t="shared" si="16"/>
        <v>76155.3</v>
      </c>
      <c r="CT32" s="458">
        <f t="shared" si="17"/>
        <v>0</v>
      </c>
      <c r="CU32" s="458">
        <f t="shared" si="18"/>
        <v>118.95</v>
      </c>
      <c r="CV32" s="458">
        <f t="shared" si="19"/>
        <v>1583.3999999999999</v>
      </c>
      <c r="CW32" s="458">
        <f t="shared" si="20"/>
        <v>561.6</v>
      </c>
      <c r="CX32" s="458">
        <f t="shared" si="21"/>
        <v>4875</v>
      </c>
      <c r="CY32" s="458">
        <f t="shared" si="22"/>
        <v>1864.473684210526</v>
      </c>
      <c r="CZ32" s="458">
        <f t="shared" si="23"/>
        <v>0</v>
      </c>
      <c r="DA32" s="458">
        <f t="shared" si="24"/>
        <v>0</v>
      </c>
      <c r="DB32" s="458">
        <f t="shared" si="25"/>
        <v>85158.723684210519</v>
      </c>
      <c r="DC32" s="452">
        <f>_xlfn.XLOOKUP($A32,'Actuals Summer'!$A:$A,'Actuals Summer'!L:L,0,0)</f>
        <v>0</v>
      </c>
      <c r="DD32" s="452">
        <f>_xlfn.XLOOKUP($A32,'Actuals Summer'!$A:$A,'Actuals Summer'!K:K,0,0)+_xlfn.XLOOKUP($A32,'Actuals Summer'!$A:$A,'Actuals Summer'!Q:Q,0,0)</f>
        <v>0</v>
      </c>
      <c r="DE32" s="452">
        <f>_xlfn.XLOOKUP($A32,'Actuals Summer'!$A:$A,'Actuals Summer'!I:I,0,0)+_xlfn.XLOOKUP($A32,'Actuals Summer'!$A:$A,'Actuals Summer'!R:R,0,0)</f>
        <v>76155.3</v>
      </c>
      <c r="DF32" s="452">
        <f>_xlfn.XLOOKUP($A32,'Actuals Summer'!$A:$A,'Actuals Summer'!J:J,0,0)</f>
        <v>0</v>
      </c>
      <c r="DG32" s="452">
        <f>_xlfn.XLOOKUP($A32,'Actuals Dep Summer'!$B:$B,'Actuals Dep Summer'!G:G,0,0)*'Actuals Dep Summer'!$F$2*'Actuals Dep Summer'!$C$2</f>
        <v>118.95</v>
      </c>
      <c r="DH32" s="452">
        <f>_xlfn.XLOOKUP($A32,'Actuals Dep Summer'!$B:$B,'Actuals Dep Summer'!H:H,0,0)*'Actuals Dep Summer'!$F$2*'Actuals Dep Summer'!$C$3</f>
        <v>1583.3999999999999</v>
      </c>
      <c r="DI32" s="452">
        <f>_xlfn.XLOOKUP($A32,'Actuals Dep Summer'!$B:$B,'Actuals Dep Summer'!I:I,0,0)*'Actuals Dep Summer'!$F$2*'Actuals Dep Summer'!$C$4</f>
        <v>561.6</v>
      </c>
      <c r="DJ32" s="452">
        <f>_xlfn.XLOOKUP($A32,'Actuals Summer'!$A:$A,'Actuals Summer'!P:P,0,0)</f>
        <v>4875</v>
      </c>
      <c r="DK32" s="452">
        <f>_xlfn.XLOOKUP($A32,'Actuals Summer'!$A:$A,'Actuals Summer'!O:O,0,0)</f>
        <v>1864.4736842105265</v>
      </c>
      <c r="DL32" s="452"/>
      <c r="DM32" s="452">
        <f>_xlfn.XLOOKUP($A32,'Actuals Summer'!$A:$A,'Actuals Summer'!M:M,0,0)</f>
        <v>0</v>
      </c>
      <c r="DN32" s="453">
        <f t="shared" si="1"/>
        <v>85158.723684210519</v>
      </c>
      <c r="DO32" s="453">
        <f>_xlfn.XLOOKUP(A32,'Actuals Summer'!A:A,'Actuals Summer'!S:S,0,0)-'Summer data team '!DN32</f>
        <v>0</v>
      </c>
      <c r="DP32" s="463">
        <f t="shared" si="2"/>
        <v>0</v>
      </c>
    </row>
    <row r="33" spans="1:120" ht="13" x14ac:dyDescent="0.3">
      <c r="A33" s="364">
        <v>2004</v>
      </c>
      <c r="B33" s="364">
        <v>3302004</v>
      </c>
      <c r="C33" s="364" t="s">
        <v>197</v>
      </c>
      <c r="D33" s="506">
        <v>0</v>
      </c>
      <c r="E33" s="506">
        <v>0</v>
      </c>
      <c r="F33" s="506">
        <v>0</v>
      </c>
      <c r="G33" s="506">
        <v>8</v>
      </c>
      <c r="H33" s="506">
        <v>8</v>
      </c>
      <c r="I33" s="507">
        <v>0</v>
      </c>
      <c r="J33" s="507">
        <v>16</v>
      </c>
      <c r="K33" s="506">
        <v>0</v>
      </c>
      <c r="L33" s="506">
        <v>0</v>
      </c>
      <c r="M33" s="507">
        <v>0</v>
      </c>
      <c r="N33" s="506">
        <v>0</v>
      </c>
      <c r="O33" s="506">
        <v>0</v>
      </c>
      <c r="P33" s="506">
        <v>120</v>
      </c>
      <c r="Q33" s="506">
        <v>120</v>
      </c>
      <c r="R33" s="507">
        <v>240</v>
      </c>
      <c r="S33" s="506">
        <v>0</v>
      </c>
      <c r="T33" s="506">
        <v>0</v>
      </c>
      <c r="U33" s="506">
        <v>0</v>
      </c>
      <c r="V33" s="506">
        <v>0</v>
      </c>
      <c r="W33" s="507">
        <v>0</v>
      </c>
      <c r="X33" s="506">
        <v>2</v>
      </c>
      <c r="Y33" s="506">
        <v>30</v>
      </c>
      <c r="Z33" s="508">
        <v>0</v>
      </c>
      <c r="AA33" s="506">
        <v>0</v>
      </c>
      <c r="AB33" s="506">
        <v>0</v>
      </c>
      <c r="AC33" s="508">
        <v>0</v>
      </c>
      <c r="AD33" s="506">
        <v>8</v>
      </c>
      <c r="AE33" s="506">
        <v>120</v>
      </c>
      <c r="AF33" s="508">
        <v>0</v>
      </c>
      <c r="AG33" s="509">
        <v>0</v>
      </c>
      <c r="AH33" s="509">
        <v>0</v>
      </c>
      <c r="AI33" s="508">
        <v>0</v>
      </c>
      <c r="AJ33" s="509">
        <v>7</v>
      </c>
      <c r="AK33" s="509">
        <v>105</v>
      </c>
      <c r="AL33" s="508">
        <v>0</v>
      </c>
      <c r="AM33" s="506">
        <v>7</v>
      </c>
      <c r="AN33" s="506">
        <v>105</v>
      </c>
      <c r="AO33" s="508">
        <v>0</v>
      </c>
      <c r="AP33" s="508"/>
      <c r="AQ33" s="508">
        <f t="shared" si="3"/>
        <v>7</v>
      </c>
      <c r="AR33" s="509">
        <v>0</v>
      </c>
      <c r="AS33" s="509">
        <v>0</v>
      </c>
      <c r="AT33" s="508">
        <v>0</v>
      </c>
      <c r="AU33" s="509">
        <v>0</v>
      </c>
      <c r="AV33" s="509">
        <v>0</v>
      </c>
      <c r="AW33" s="508">
        <v>0</v>
      </c>
      <c r="AX33" s="506">
        <v>0</v>
      </c>
      <c r="AY33" s="506">
        <v>0</v>
      </c>
      <c r="AZ33" s="508">
        <v>0</v>
      </c>
      <c r="BA33" s="508"/>
      <c r="BB33" s="508">
        <f t="shared" si="4"/>
        <v>0</v>
      </c>
      <c r="BC33" s="509">
        <v>0</v>
      </c>
      <c r="BD33" s="509">
        <v>0</v>
      </c>
      <c r="BE33" s="506">
        <v>0</v>
      </c>
      <c r="BF33" s="200"/>
      <c r="BG33" s="200"/>
      <c r="BH33" s="200"/>
      <c r="BI33" s="200"/>
      <c r="BJ33" s="200"/>
      <c r="BK33" s="200"/>
      <c r="BL33" s="200"/>
      <c r="BM33" s="505">
        <f t="shared" si="5"/>
        <v>0</v>
      </c>
      <c r="BN33" s="200">
        <f t="shared" si="6"/>
        <v>0</v>
      </c>
      <c r="BO33" s="200">
        <f t="shared" si="26"/>
        <v>0</v>
      </c>
      <c r="BP33" s="200">
        <f t="shared" si="7"/>
        <v>3120</v>
      </c>
      <c r="BQ33" s="200">
        <f t="shared" si="8"/>
        <v>0</v>
      </c>
      <c r="BR33" s="200">
        <f t="shared" si="9"/>
        <v>390</v>
      </c>
      <c r="BS33" s="200">
        <f t="shared" si="10"/>
        <v>0</v>
      </c>
      <c r="BT33" s="200">
        <f t="shared" si="11"/>
        <v>1560</v>
      </c>
      <c r="BU33" s="200">
        <f t="shared" si="12"/>
        <v>1365</v>
      </c>
      <c r="BV33" s="200">
        <v>0</v>
      </c>
      <c r="BW33" s="200">
        <v>0</v>
      </c>
      <c r="BX33" s="200">
        <f t="shared" si="13"/>
        <v>0</v>
      </c>
      <c r="CB33" s="381">
        <f>_xlfn.IFNA(VLOOKUP(A33,'Actuals Summer'!$A:$AG,23,FALSE),0)</f>
        <v>3120</v>
      </c>
      <c r="CC33" s="381">
        <f>_xlfn.IFNA(VLOOKUP(A33,'Actuals Summer'!$A:$AG,24,FALSE),0)</f>
        <v>0</v>
      </c>
      <c r="CD33" s="381">
        <f>_xlfn.IFNA(VLOOKUP(A33,'Actuals Summer'!$A:$AG,25,FALSE),0)</f>
        <v>0</v>
      </c>
      <c r="CE33" s="381">
        <f>_xlfn.IFNA(VLOOKUP(A33,'Actuals Summer'!$A:$AG,26,FALSE),0)</f>
        <v>0</v>
      </c>
      <c r="CF33" s="381">
        <f>_xlfn.IFNA(VLOOKUP(A33,'Actuals Summer'!$A:$AG,27,FALSE),0)</f>
        <v>0</v>
      </c>
      <c r="CG33" s="381">
        <f>_xlfn.IFNA(VLOOKUP(A33,'Actuals Dep Summer'!B:O,6,FALSE)*$BN$3,0)</f>
        <v>390</v>
      </c>
      <c r="CH33" s="381">
        <f>_xlfn.IFNA(VLOOKUP(A33,'Actuals Dep Summer'!B:O,7,FALSE)*$BN$3,0)</f>
        <v>0</v>
      </c>
      <c r="CI33" s="381">
        <f>_xlfn.IFNA(VLOOKUP(A33,'Actuals Dep Summer'!B:O,8,FALSE)*$BN$3,0)</f>
        <v>1560</v>
      </c>
      <c r="CJ33" s="381">
        <f>_xlfn.IFNA(VLOOKUP(A33,'Actuals Summer'!$A:$AG,31,FALSE),0)*$BN$3</f>
        <v>0</v>
      </c>
      <c r="CK33" s="381"/>
      <c r="CL33" s="381">
        <f>_xlfn.IFNA(VLOOKUP(A33,'Actuals Summer'!$A:$AG,32,FALSE),0)*$BN$3</f>
        <v>17745</v>
      </c>
      <c r="CM33" s="381">
        <f>_xlfn.IFNA(VLOOKUP(A33,'Actuals Summer'!$A:$AG,33,FALSE),0)</f>
        <v>0</v>
      </c>
      <c r="CP33" s="458">
        <f t="shared" si="14"/>
        <v>0</v>
      </c>
      <c r="CQ33" s="458">
        <f t="shared" si="15"/>
        <v>0</v>
      </c>
      <c r="CR33" s="458">
        <f t="shared" si="0"/>
        <v>0</v>
      </c>
      <c r="CS33" s="458">
        <f t="shared" si="16"/>
        <v>17659.2</v>
      </c>
      <c r="CT33" s="458">
        <f t="shared" si="17"/>
        <v>0</v>
      </c>
      <c r="CU33" s="458">
        <f t="shared" si="18"/>
        <v>237.9</v>
      </c>
      <c r="CV33" s="458">
        <f t="shared" si="19"/>
        <v>0</v>
      </c>
      <c r="CW33" s="458">
        <f t="shared" si="20"/>
        <v>124.8</v>
      </c>
      <c r="CX33" s="458">
        <f t="shared" si="21"/>
        <v>1365</v>
      </c>
      <c r="CY33" s="458">
        <f t="shared" si="22"/>
        <v>0</v>
      </c>
      <c r="CZ33" s="458">
        <f t="shared" si="23"/>
        <v>0</v>
      </c>
      <c r="DA33" s="458">
        <f t="shared" si="24"/>
        <v>0</v>
      </c>
      <c r="DB33" s="458">
        <f t="shared" si="25"/>
        <v>19386.900000000001</v>
      </c>
      <c r="DC33" s="452">
        <f>_xlfn.XLOOKUP($A33,'Actuals Summer'!$A:$A,'Actuals Summer'!L:L,0,0)</f>
        <v>0</v>
      </c>
      <c r="DD33" s="452">
        <f>_xlfn.XLOOKUP($A33,'Actuals Summer'!$A:$A,'Actuals Summer'!K:K,0,0)+_xlfn.XLOOKUP($A33,'Actuals Summer'!$A:$A,'Actuals Summer'!Q:Q,0,0)</f>
        <v>0</v>
      </c>
      <c r="DE33" s="452">
        <f>_xlfn.XLOOKUP($A33,'Actuals Summer'!$A:$A,'Actuals Summer'!I:I,0,0)+_xlfn.XLOOKUP($A33,'Actuals Summer'!$A:$A,'Actuals Summer'!R:R,0,0)</f>
        <v>17659.2</v>
      </c>
      <c r="DF33" s="452">
        <f>_xlfn.XLOOKUP($A33,'Actuals Summer'!$A:$A,'Actuals Summer'!J:J,0,0)</f>
        <v>0</v>
      </c>
      <c r="DG33" s="452">
        <f>_xlfn.XLOOKUP($A33,'Actuals Dep Summer'!$B:$B,'Actuals Dep Summer'!G:G,0,0)*'Actuals Dep Summer'!$F$2*'Actuals Dep Summer'!$C$2</f>
        <v>237.9</v>
      </c>
      <c r="DH33" s="452">
        <f>_xlfn.XLOOKUP($A33,'Actuals Dep Summer'!$B:$B,'Actuals Dep Summer'!H:H,0,0)*'Actuals Dep Summer'!$F$2*'Actuals Dep Summer'!$C$3</f>
        <v>0</v>
      </c>
      <c r="DI33" s="452">
        <f>_xlfn.XLOOKUP($A33,'Actuals Dep Summer'!$B:$B,'Actuals Dep Summer'!I:I,0,0)*'Actuals Dep Summer'!$F$2*'Actuals Dep Summer'!$C$4</f>
        <v>124.8</v>
      </c>
      <c r="DJ33" s="452">
        <f>_xlfn.XLOOKUP($A33,'Actuals Summer'!$A:$A,'Actuals Summer'!P:P,0,0)</f>
        <v>1365</v>
      </c>
      <c r="DK33" s="452">
        <f>_xlfn.XLOOKUP($A33,'Actuals Summer'!$A:$A,'Actuals Summer'!O:O,0,0)</f>
        <v>0</v>
      </c>
      <c r="DL33" s="452"/>
      <c r="DM33" s="452">
        <f>_xlfn.XLOOKUP($A33,'Actuals Summer'!$A:$A,'Actuals Summer'!M:M,0,0)</f>
        <v>0</v>
      </c>
      <c r="DN33" s="453">
        <f t="shared" si="1"/>
        <v>19386.900000000001</v>
      </c>
      <c r="DO33" s="453">
        <f>_xlfn.XLOOKUP(A33,'Actuals Summer'!A:A,'Actuals Summer'!S:S,0,0)-'Summer data team '!DN33</f>
        <v>0</v>
      </c>
      <c r="DP33" s="463">
        <f t="shared" si="2"/>
        <v>0</v>
      </c>
    </row>
    <row r="34" spans="1:120" ht="13" x14ac:dyDescent="0.3">
      <c r="A34" s="364">
        <v>2005</v>
      </c>
      <c r="B34" s="364">
        <v>3302005</v>
      </c>
      <c r="C34" s="364" t="s">
        <v>193</v>
      </c>
      <c r="D34" s="506">
        <v>0</v>
      </c>
      <c r="E34" s="506">
        <v>0</v>
      </c>
      <c r="F34" s="506">
        <v>0</v>
      </c>
      <c r="G34" s="506">
        <v>17</v>
      </c>
      <c r="H34" s="506">
        <v>22</v>
      </c>
      <c r="I34" s="507">
        <v>0</v>
      </c>
      <c r="J34" s="507">
        <v>39</v>
      </c>
      <c r="K34" s="506">
        <v>5</v>
      </c>
      <c r="L34" s="506">
        <v>9</v>
      </c>
      <c r="M34" s="507">
        <v>14</v>
      </c>
      <c r="N34" s="506">
        <v>0</v>
      </c>
      <c r="O34" s="506">
        <v>0</v>
      </c>
      <c r="P34" s="506">
        <v>255</v>
      </c>
      <c r="Q34" s="506">
        <v>327.5</v>
      </c>
      <c r="R34" s="507">
        <v>582.5</v>
      </c>
      <c r="S34" s="506">
        <v>0</v>
      </c>
      <c r="T34" s="506">
        <v>0</v>
      </c>
      <c r="U34" s="506">
        <v>18.5</v>
      </c>
      <c r="V34" s="506">
        <v>30.5</v>
      </c>
      <c r="W34" s="507">
        <v>49</v>
      </c>
      <c r="X34" s="506">
        <v>1</v>
      </c>
      <c r="Y34" s="506">
        <v>15</v>
      </c>
      <c r="Z34" s="508">
        <v>0</v>
      </c>
      <c r="AA34" s="506">
        <v>1</v>
      </c>
      <c r="AB34" s="506">
        <v>15</v>
      </c>
      <c r="AC34" s="508">
        <v>0</v>
      </c>
      <c r="AD34" s="506">
        <v>1</v>
      </c>
      <c r="AE34" s="506">
        <v>15</v>
      </c>
      <c r="AF34" s="508">
        <v>0</v>
      </c>
      <c r="AG34" s="509">
        <v>0</v>
      </c>
      <c r="AH34" s="509">
        <v>0</v>
      </c>
      <c r="AI34" s="508">
        <v>0</v>
      </c>
      <c r="AJ34" s="509">
        <v>8</v>
      </c>
      <c r="AK34" s="509">
        <v>120</v>
      </c>
      <c r="AL34" s="508">
        <v>3</v>
      </c>
      <c r="AM34" s="506">
        <v>8</v>
      </c>
      <c r="AN34" s="506">
        <v>120</v>
      </c>
      <c r="AO34" s="508">
        <v>3</v>
      </c>
      <c r="AP34" s="508"/>
      <c r="AQ34" s="508">
        <f t="shared" si="3"/>
        <v>8</v>
      </c>
      <c r="AR34" s="509">
        <v>0</v>
      </c>
      <c r="AS34" s="509">
        <v>0</v>
      </c>
      <c r="AT34" s="508">
        <v>0</v>
      </c>
      <c r="AU34" s="509">
        <v>8</v>
      </c>
      <c r="AV34" s="509">
        <v>120</v>
      </c>
      <c r="AW34" s="508">
        <v>3</v>
      </c>
      <c r="AX34" s="506">
        <v>8</v>
      </c>
      <c r="AY34" s="506">
        <v>120</v>
      </c>
      <c r="AZ34" s="508">
        <v>3</v>
      </c>
      <c r="BA34" s="508"/>
      <c r="BB34" s="508">
        <f t="shared" si="4"/>
        <v>16</v>
      </c>
      <c r="BC34" s="509">
        <v>0</v>
      </c>
      <c r="BD34" s="509">
        <v>0</v>
      </c>
      <c r="BE34" s="506">
        <v>0</v>
      </c>
      <c r="BF34" s="200"/>
      <c r="BG34" s="200"/>
      <c r="BH34" s="200"/>
      <c r="BI34" s="200"/>
      <c r="BJ34" s="200"/>
      <c r="BK34" s="200"/>
      <c r="BL34" s="200"/>
      <c r="BM34" s="505">
        <f t="shared" si="5"/>
        <v>0</v>
      </c>
      <c r="BN34" s="200">
        <f t="shared" si="6"/>
        <v>0</v>
      </c>
      <c r="BO34" s="200">
        <f t="shared" si="26"/>
        <v>0</v>
      </c>
      <c r="BP34" s="200">
        <f t="shared" si="7"/>
        <v>7572.5</v>
      </c>
      <c r="BQ34" s="200">
        <f t="shared" si="8"/>
        <v>637</v>
      </c>
      <c r="BR34" s="200">
        <f t="shared" si="9"/>
        <v>195</v>
      </c>
      <c r="BS34" s="200">
        <f t="shared" si="10"/>
        <v>195</v>
      </c>
      <c r="BT34" s="200">
        <f t="shared" si="11"/>
        <v>195</v>
      </c>
      <c r="BU34" s="200">
        <f t="shared" si="12"/>
        <v>1560</v>
      </c>
      <c r="BV34" s="200">
        <v>7</v>
      </c>
      <c r="BW34" s="200">
        <v>1</v>
      </c>
      <c r="BX34" s="200">
        <f t="shared" si="13"/>
        <v>0</v>
      </c>
      <c r="CB34" s="381">
        <f>_xlfn.IFNA(VLOOKUP(A34,'Actuals Summer'!$A:$AG,23,FALSE),0)</f>
        <v>7572.5</v>
      </c>
      <c r="CC34" s="381">
        <f>_xlfn.IFNA(VLOOKUP(A34,'Actuals Summer'!$A:$AG,24,FALSE),0)</f>
        <v>637</v>
      </c>
      <c r="CD34" s="381">
        <f>_xlfn.IFNA(VLOOKUP(A34,'Actuals Summer'!$A:$AG,25,FALSE),0)</f>
        <v>0</v>
      </c>
      <c r="CE34" s="381">
        <f>_xlfn.IFNA(VLOOKUP(A34,'Actuals Summer'!$A:$AG,26,FALSE),0)</f>
        <v>0</v>
      </c>
      <c r="CF34" s="381">
        <f>_xlfn.IFNA(VLOOKUP(A34,'Actuals Summer'!$A:$AG,27,FALSE),0)</f>
        <v>0</v>
      </c>
      <c r="CG34" s="381">
        <f>_xlfn.IFNA(VLOOKUP(A34,'Actuals Dep Summer'!B:O,6,FALSE)*$BN$3,0)</f>
        <v>195</v>
      </c>
      <c r="CH34" s="381">
        <f>_xlfn.IFNA(VLOOKUP(A34,'Actuals Dep Summer'!B:O,7,FALSE)*$BN$3,0)</f>
        <v>195</v>
      </c>
      <c r="CI34" s="381">
        <f>_xlfn.IFNA(VLOOKUP(A34,'Actuals Dep Summer'!B:O,8,FALSE)*$BN$3,0)</f>
        <v>195</v>
      </c>
      <c r="CJ34" s="381">
        <f>_xlfn.IFNA(VLOOKUP(A34,'Actuals Summer'!$A:$AG,31,FALSE),0)*$BN$3</f>
        <v>103.94278378874014</v>
      </c>
      <c r="CK34" s="381"/>
      <c r="CL34" s="381">
        <f>_xlfn.IFNA(VLOOKUP(A34,'Actuals Summer'!$A:$AG,32,FALSE),0)*$BN$3</f>
        <v>20280</v>
      </c>
      <c r="CM34" s="381">
        <f>_xlfn.IFNA(VLOOKUP(A34,'Actuals Summer'!$A:$AG,33,FALSE),0)</f>
        <v>0</v>
      </c>
      <c r="CP34" s="458">
        <f t="shared" si="14"/>
        <v>0</v>
      </c>
      <c r="CQ34" s="458">
        <f t="shared" si="15"/>
        <v>0</v>
      </c>
      <c r="CR34" s="458">
        <f t="shared" si="0"/>
        <v>0</v>
      </c>
      <c r="CS34" s="458">
        <f t="shared" si="16"/>
        <v>42860.35</v>
      </c>
      <c r="CT34" s="458">
        <f t="shared" si="17"/>
        <v>3605.42</v>
      </c>
      <c r="CU34" s="458">
        <f t="shared" si="18"/>
        <v>118.95</v>
      </c>
      <c r="CV34" s="458">
        <f t="shared" si="19"/>
        <v>56.55</v>
      </c>
      <c r="CW34" s="458">
        <f t="shared" si="20"/>
        <v>15.6</v>
      </c>
      <c r="CX34" s="458">
        <f t="shared" si="21"/>
        <v>1560</v>
      </c>
      <c r="CY34" s="458">
        <f t="shared" si="22"/>
        <v>522.05263157894728</v>
      </c>
      <c r="CZ34" s="458">
        <f t="shared" si="23"/>
        <v>186.44736842105263</v>
      </c>
      <c r="DA34" s="458">
        <f t="shared" si="24"/>
        <v>0</v>
      </c>
      <c r="DB34" s="458">
        <f t="shared" si="25"/>
        <v>48925.369999999995</v>
      </c>
      <c r="DC34" s="452">
        <f>_xlfn.XLOOKUP($A34,'Actuals Summer'!$A:$A,'Actuals Summer'!L:L,0,0)</f>
        <v>0</v>
      </c>
      <c r="DD34" s="452">
        <f>_xlfn.XLOOKUP($A34,'Actuals Summer'!$A:$A,'Actuals Summer'!K:K,0,0)+_xlfn.XLOOKUP($A34,'Actuals Summer'!$A:$A,'Actuals Summer'!Q:Q,0,0)</f>
        <v>0</v>
      </c>
      <c r="DE34" s="452">
        <f>_xlfn.XLOOKUP($A34,'Actuals Summer'!$A:$A,'Actuals Summer'!I:I,0,0)+_xlfn.XLOOKUP($A34,'Actuals Summer'!$A:$A,'Actuals Summer'!R:R,0,0)</f>
        <v>42860.35</v>
      </c>
      <c r="DF34" s="452">
        <f>_xlfn.XLOOKUP($A34,'Actuals Summer'!$A:$A,'Actuals Summer'!J:J,0,0)</f>
        <v>3605.42</v>
      </c>
      <c r="DG34" s="452">
        <f>_xlfn.XLOOKUP($A34,'Actuals Dep Summer'!$B:$B,'Actuals Dep Summer'!G:G,0,0)*'Actuals Dep Summer'!$F$2*'Actuals Dep Summer'!$C$2</f>
        <v>118.95</v>
      </c>
      <c r="DH34" s="452">
        <f>_xlfn.XLOOKUP($A34,'Actuals Dep Summer'!$B:$B,'Actuals Dep Summer'!H:H,0,0)*'Actuals Dep Summer'!$F$2*'Actuals Dep Summer'!$C$3</f>
        <v>56.55</v>
      </c>
      <c r="DI34" s="452">
        <f>_xlfn.XLOOKUP($A34,'Actuals Dep Summer'!$B:$B,'Actuals Dep Summer'!I:I,0,0)*'Actuals Dep Summer'!$F$2*'Actuals Dep Summer'!$C$4</f>
        <v>15.6</v>
      </c>
      <c r="DJ34" s="452">
        <f>_xlfn.XLOOKUP($A34,'Actuals Summer'!$A:$A,'Actuals Summer'!P:P,0,0)</f>
        <v>1560</v>
      </c>
      <c r="DK34" s="452">
        <f>_xlfn.XLOOKUP($A34,'Actuals Summer'!$A:$A,'Actuals Summer'!O:O,0,0)</f>
        <v>596.63157894736844</v>
      </c>
      <c r="DL34" s="452"/>
      <c r="DM34" s="452">
        <f>_xlfn.XLOOKUP($A34,'Actuals Summer'!$A:$A,'Actuals Summer'!M:M,0,0)</f>
        <v>0</v>
      </c>
      <c r="DN34" s="453">
        <f t="shared" si="1"/>
        <v>48813.501578947362</v>
      </c>
      <c r="DO34" s="453">
        <f>_xlfn.XLOOKUP(A34,'Actuals Summer'!A:A,'Actuals Summer'!S:S,0,0)-'Summer data team '!DN34</f>
        <v>0</v>
      </c>
      <c r="DP34" s="463">
        <f t="shared" si="2"/>
        <v>111.86842105263349</v>
      </c>
    </row>
    <row r="35" spans="1:120" ht="13" x14ac:dyDescent="0.3">
      <c r="A35" s="364">
        <v>2008</v>
      </c>
      <c r="B35" s="364">
        <v>3302008</v>
      </c>
      <c r="C35" s="364" t="s">
        <v>133</v>
      </c>
      <c r="D35" s="506">
        <v>0</v>
      </c>
      <c r="E35" s="506">
        <v>0</v>
      </c>
      <c r="F35" s="506">
        <v>0</v>
      </c>
      <c r="G35" s="506">
        <v>24</v>
      </c>
      <c r="H35" s="506">
        <v>24</v>
      </c>
      <c r="I35" s="507">
        <v>0</v>
      </c>
      <c r="J35" s="507">
        <v>48</v>
      </c>
      <c r="K35" s="506">
        <v>3</v>
      </c>
      <c r="L35" s="506">
        <v>2</v>
      </c>
      <c r="M35" s="507">
        <v>5</v>
      </c>
      <c r="N35" s="506">
        <v>0</v>
      </c>
      <c r="O35" s="506">
        <v>0</v>
      </c>
      <c r="P35" s="506">
        <v>360</v>
      </c>
      <c r="Q35" s="506">
        <v>360</v>
      </c>
      <c r="R35" s="507">
        <v>720</v>
      </c>
      <c r="S35" s="506">
        <v>0</v>
      </c>
      <c r="T35" s="506">
        <v>0</v>
      </c>
      <c r="U35" s="506">
        <v>45</v>
      </c>
      <c r="V35" s="506">
        <v>30</v>
      </c>
      <c r="W35" s="507">
        <v>75</v>
      </c>
      <c r="X35" s="506">
        <v>7</v>
      </c>
      <c r="Y35" s="506">
        <v>105</v>
      </c>
      <c r="Z35" s="508">
        <v>15</v>
      </c>
      <c r="AA35" s="506">
        <v>0</v>
      </c>
      <c r="AB35" s="506">
        <v>0</v>
      </c>
      <c r="AC35" s="508">
        <v>0</v>
      </c>
      <c r="AD35" s="506">
        <v>24</v>
      </c>
      <c r="AE35" s="506">
        <v>360</v>
      </c>
      <c r="AF35" s="508">
        <v>30</v>
      </c>
      <c r="AG35" s="509">
        <v>0</v>
      </c>
      <c r="AH35" s="509">
        <v>0</v>
      </c>
      <c r="AI35" s="508">
        <v>0</v>
      </c>
      <c r="AJ35" s="509">
        <v>22</v>
      </c>
      <c r="AK35" s="509">
        <v>330</v>
      </c>
      <c r="AL35" s="508">
        <v>45</v>
      </c>
      <c r="AM35" s="506">
        <v>22</v>
      </c>
      <c r="AN35" s="506">
        <v>330</v>
      </c>
      <c r="AO35" s="508">
        <v>45</v>
      </c>
      <c r="AP35" s="508"/>
      <c r="AQ35" s="508">
        <f t="shared" si="3"/>
        <v>22</v>
      </c>
      <c r="AR35" s="509">
        <v>0</v>
      </c>
      <c r="AS35" s="509">
        <v>0</v>
      </c>
      <c r="AT35" s="508">
        <v>0</v>
      </c>
      <c r="AU35" s="509">
        <v>4</v>
      </c>
      <c r="AV35" s="509">
        <v>60</v>
      </c>
      <c r="AW35" s="508">
        <v>45</v>
      </c>
      <c r="AX35" s="506">
        <v>4</v>
      </c>
      <c r="AY35" s="506">
        <v>60</v>
      </c>
      <c r="AZ35" s="508">
        <v>45</v>
      </c>
      <c r="BA35" s="508"/>
      <c r="BB35" s="508">
        <f t="shared" si="4"/>
        <v>8</v>
      </c>
      <c r="BC35" s="509">
        <v>0</v>
      </c>
      <c r="BD35" s="509">
        <v>0</v>
      </c>
      <c r="BE35" s="506">
        <v>0</v>
      </c>
      <c r="BF35" s="200"/>
      <c r="BG35" s="200"/>
      <c r="BH35" s="200"/>
      <c r="BI35" s="200"/>
      <c r="BJ35" s="200"/>
      <c r="BK35" s="200"/>
      <c r="BL35" s="200"/>
      <c r="BM35" s="505">
        <f t="shared" si="5"/>
        <v>0</v>
      </c>
      <c r="BN35" s="200">
        <f t="shared" si="6"/>
        <v>0</v>
      </c>
      <c r="BO35" s="200">
        <f t="shared" si="26"/>
        <v>0</v>
      </c>
      <c r="BP35" s="200">
        <f t="shared" si="7"/>
        <v>9360</v>
      </c>
      <c r="BQ35" s="200">
        <f t="shared" si="8"/>
        <v>975</v>
      </c>
      <c r="BR35" s="200">
        <f t="shared" si="9"/>
        <v>1560</v>
      </c>
      <c r="BS35" s="200">
        <f t="shared" si="10"/>
        <v>0</v>
      </c>
      <c r="BT35" s="200">
        <f t="shared" si="11"/>
        <v>5070</v>
      </c>
      <c r="BU35" s="200">
        <f t="shared" si="12"/>
        <v>4290</v>
      </c>
      <c r="BV35" s="200">
        <v>1</v>
      </c>
      <c r="BW35" s="200">
        <v>3</v>
      </c>
      <c r="BX35" s="200">
        <f t="shared" si="13"/>
        <v>0</v>
      </c>
      <c r="CB35" s="381">
        <f>_xlfn.IFNA(VLOOKUP(A35,'Actuals Summer'!$A:$AG,23,FALSE),0)</f>
        <v>9360</v>
      </c>
      <c r="CC35" s="381">
        <f>_xlfn.IFNA(VLOOKUP(A35,'Actuals Summer'!$A:$AG,24,FALSE),0)</f>
        <v>975</v>
      </c>
      <c r="CD35" s="381">
        <f>_xlfn.IFNA(VLOOKUP(A35,'Actuals Summer'!$A:$AG,25,FALSE),0)</f>
        <v>0</v>
      </c>
      <c r="CE35" s="381">
        <f>_xlfn.IFNA(VLOOKUP(A35,'Actuals Summer'!$A:$AG,26,FALSE),0)</f>
        <v>0</v>
      </c>
      <c r="CF35" s="381">
        <f>_xlfn.IFNA(VLOOKUP(A35,'Actuals Summer'!$A:$AG,27,FALSE),0)</f>
        <v>0</v>
      </c>
      <c r="CG35" s="381">
        <f>_xlfn.IFNA(VLOOKUP(A35,'Actuals Dep Summer'!B:O,6,FALSE)*$BN$3,0)</f>
        <v>1365</v>
      </c>
      <c r="CH35" s="381">
        <f>_xlfn.IFNA(VLOOKUP(A35,'Actuals Dep Summer'!B:O,7,FALSE)*$BN$3,0)</f>
        <v>0</v>
      </c>
      <c r="CI35" s="381">
        <f>_xlfn.IFNA(VLOOKUP(A35,'Actuals Dep Summer'!B:O,8,FALSE)*$BN$3,0)</f>
        <v>4680</v>
      </c>
      <c r="CJ35" s="381">
        <f>_xlfn.IFNA(VLOOKUP(A35,'Actuals Summer'!$A:$AG,31,FALSE),0)*$BN$3</f>
        <v>51.971391894370072</v>
      </c>
      <c r="CK35" s="381"/>
      <c r="CL35" s="381">
        <f>_xlfn.IFNA(VLOOKUP(A35,'Actuals Summer'!$A:$AG,32,FALSE),0)*$BN$3</f>
        <v>55770</v>
      </c>
      <c r="CM35" s="381">
        <f>_xlfn.IFNA(VLOOKUP(A35,'Actuals Summer'!$A:$AG,33,FALSE),0)</f>
        <v>0</v>
      </c>
      <c r="CP35" s="458">
        <f t="shared" si="14"/>
        <v>0</v>
      </c>
      <c r="CQ35" s="458">
        <f t="shared" si="15"/>
        <v>0</v>
      </c>
      <c r="CR35" s="458">
        <f t="shared" si="0"/>
        <v>0</v>
      </c>
      <c r="CS35" s="458">
        <f t="shared" si="16"/>
        <v>52977.599999999999</v>
      </c>
      <c r="CT35" s="458">
        <f t="shared" si="17"/>
        <v>5518.5</v>
      </c>
      <c r="CU35" s="458">
        <f t="shared" si="18"/>
        <v>951.6</v>
      </c>
      <c r="CV35" s="458">
        <f t="shared" si="19"/>
        <v>0</v>
      </c>
      <c r="CW35" s="458">
        <f t="shared" si="20"/>
        <v>405.6</v>
      </c>
      <c r="CX35" s="458">
        <f t="shared" si="21"/>
        <v>4290</v>
      </c>
      <c r="CY35" s="458">
        <f t="shared" si="22"/>
        <v>74.578947368421041</v>
      </c>
      <c r="CZ35" s="458">
        <f t="shared" si="23"/>
        <v>559.34210526315792</v>
      </c>
      <c r="DA35" s="458">
        <f t="shared" si="24"/>
        <v>0</v>
      </c>
      <c r="DB35" s="458">
        <f t="shared" si="25"/>
        <v>64777.221052631576</v>
      </c>
      <c r="DC35" s="452">
        <f>_xlfn.XLOOKUP($A35,'Actuals Summer'!$A:$A,'Actuals Summer'!L:L,0,0)</f>
        <v>0</v>
      </c>
      <c r="DD35" s="452">
        <f>_xlfn.XLOOKUP($A35,'Actuals Summer'!$A:$A,'Actuals Summer'!K:K,0,0)+_xlfn.XLOOKUP($A35,'Actuals Summer'!$A:$A,'Actuals Summer'!Q:Q,0,0)</f>
        <v>0</v>
      </c>
      <c r="DE35" s="452">
        <f>_xlfn.XLOOKUP($A35,'Actuals Summer'!$A:$A,'Actuals Summer'!I:I,0,0)+_xlfn.XLOOKUP($A35,'Actuals Summer'!$A:$A,'Actuals Summer'!R:R,0,0)</f>
        <v>52977.599999999999</v>
      </c>
      <c r="DF35" s="452">
        <f>_xlfn.XLOOKUP($A35,'Actuals Summer'!$A:$A,'Actuals Summer'!J:J,0,0)</f>
        <v>5518.5</v>
      </c>
      <c r="DG35" s="452">
        <f>_xlfn.XLOOKUP($A35,'Actuals Dep Summer'!$B:$B,'Actuals Dep Summer'!G:G,0,0)*'Actuals Dep Summer'!$F$2*'Actuals Dep Summer'!$C$2</f>
        <v>832.65</v>
      </c>
      <c r="DH35" s="452">
        <f>_xlfn.XLOOKUP($A35,'Actuals Dep Summer'!$B:$B,'Actuals Dep Summer'!H:H,0,0)*'Actuals Dep Summer'!$F$2*'Actuals Dep Summer'!$C$3</f>
        <v>0</v>
      </c>
      <c r="DI35" s="452">
        <f>_xlfn.XLOOKUP($A35,'Actuals Dep Summer'!$B:$B,'Actuals Dep Summer'!I:I,0,0)*'Actuals Dep Summer'!$F$2*'Actuals Dep Summer'!$C$4</f>
        <v>374.40000000000003</v>
      </c>
      <c r="DJ35" s="452">
        <f>_xlfn.XLOOKUP($A35,'Actuals Summer'!$A:$A,'Actuals Summer'!P:P,0,0)</f>
        <v>4290</v>
      </c>
      <c r="DK35" s="452">
        <f>_xlfn.XLOOKUP($A35,'Actuals Summer'!$A:$A,'Actuals Summer'!O:O,0,0)</f>
        <v>298.31578947368422</v>
      </c>
      <c r="DL35" s="452"/>
      <c r="DM35" s="452">
        <f>_xlfn.XLOOKUP($A35,'Actuals Summer'!$A:$A,'Actuals Summer'!M:M,0,0)</f>
        <v>0</v>
      </c>
      <c r="DN35" s="453">
        <f t="shared" si="1"/>
        <v>64291.465789473688</v>
      </c>
      <c r="DO35" s="453">
        <f>_xlfn.XLOOKUP(A35,'Actuals Summer'!A:A,'Actuals Summer'!S:S,0,0)-'Summer data team '!DN35</f>
        <v>0</v>
      </c>
      <c r="DP35" s="463">
        <f t="shared" si="2"/>
        <v>485.75526315788738</v>
      </c>
    </row>
    <row r="36" spans="1:120" ht="13" x14ac:dyDescent="0.3">
      <c r="A36" s="364">
        <v>2011</v>
      </c>
      <c r="B36" s="364">
        <v>3302011</v>
      </c>
      <c r="C36" s="364" t="s">
        <v>169</v>
      </c>
      <c r="D36" s="506">
        <v>0</v>
      </c>
      <c r="E36" s="506">
        <v>0</v>
      </c>
      <c r="F36" s="506">
        <v>0</v>
      </c>
      <c r="G36" s="506">
        <v>18</v>
      </c>
      <c r="H36" s="506">
        <v>21</v>
      </c>
      <c r="I36" s="507">
        <v>0</v>
      </c>
      <c r="J36" s="507">
        <v>39</v>
      </c>
      <c r="K36" s="506">
        <v>0</v>
      </c>
      <c r="L36" s="506">
        <v>0</v>
      </c>
      <c r="M36" s="507">
        <v>0</v>
      </c>
      <c r="N36" s="506">
        <v>0</v>
      </c>
      <c r="O36" s="506">
        <v>0</v>
      </c>
      <c r="P36" s="506">
        <v>270</v>
      </c>
      <c r="Q36" s="506">
        <v>315</v>
      </c>
      <c r="R36" s="507">
        <v>585</v>
      </c>
      <c r="S36" s="506">
        <v>0</v>
      </c>
      <c r="T36" s="506">
        <v>0</v>
      </c>
      <c r="U36" s="506">
        <v>0</v>
      </c>
      <c r="V36" s="506">
        <v>0</v>
      </c>
      <c r="W36" s="507">
        <v>0</v>
      </c>
      <c r="X36" s="506">
        <v>11</v>
      </c>
      <c r="Y36" s="506">
        <v>165</v>
      </c>
      <c r="Z36" s="508">
        <v>0</v>
      </c>
      <c r="AA36" s="506">
        <v>2</v>
      </c>
      <c r="AB36" s="506">
        <v>30</v>
      </c>
      <c r="AC36" s="508">
        <v>0</v>
      </c>
      <c r="AD36" s="506">
        <v>3</v>
      </c>
      <c r="AE36" s="506">
        <v>45</v>
      </c>
      <c r="AF36" s="508">
        <v>0</v>
      </c>
      <c r="AG36" s="509">
        <v>0</v>
      </c>
      <c r="AH36" s="509">
        <v>0</v>
      </c>
      <c r="AI36" s="508">
        <v>0</v>
      </c>
      <c r="AJ36" s="509">
        <v>16</v>
      </c>
      <c r="AK36" s="509">
        <v>240</v>
      </c>
      <c r="AL36" s="508">
        <v>0</v>
      </c>
      <c r="AM36" s="506">
        <v>16</v>
      </c>
      <c r="AN36" s="506">
        <v>240</v>
      </c>
      <c r="AO36" s="508">
        <v>0</v>
      </c>
      <c r="AP36" s="508"/>
      <c r="AQ36" s="508">
        <f t="shared" si="3"/>
        <v>16</v>
      </c>
      <c r="AR36" s="509">
        <v>0</v>
      </c>
      <c r="AS36" s="509">
        <v>0</v>
      </c>
      <c r="AT36" s="508">
        <v>0</v>
      </c>
      <c r="AU36" s="509">
        <v>0</v>
      </c>
      <c r="AV36" s="509">
        <v>0</v>
      </c>
      <c r="AW36" s="508">
        <v>0</v>
      </c>
      <c r="AX36" s="506">
        <v>0</v>
      </c>
      <c r="AY36" s="506">
        <v>0</v>
      </c>
      <c r="AZ36" s="508">
        <v>0</v>
      </c>
      <c r="BA36" s="508"/>
      <c r="BB36" s="508">
        <f t="shared" si="4"/>
        <v>0</v>
      </c>
      <c r="BC36" s="509">
        <v>0</v>
      </c>
      <c r="BD36" s="509">
        <v>0</v>
      </c>
      <c r="BE36" s="506">
        <v>0</v>
      </c>
      <c r="BF36" s="200"/>
      <c r="BG36" s="200"/>
      <c r="BH36" s="200"/>
      <c r="BI36" s="200"/>
      <c r="BJ36" s="200"/>
      <c r="BK36" s="200"/>
      <c r="BL36" s="200"/>
      <c r="BM36" s="505">
        <f t="shared" si="5"/>
        <v>0</v>
      </c>
      <c r="BN36" s="200">
        <f t="shared" si="6"/>
        <v>0</v>
      </c>
      <c r="BO36" s="200">
        <f t="shared" si="26"/>
        <v>0</v>
      </c>
      <c r="BP36" s="200">
        <f t="shared" si="7"/>
        <v>7605</v>
      </c>
      <c r="BQ36" s="200">
        <f t="shared" si="8"/>
        <v>0</v>
      </c>
      <c r="BR36" s="200">
        <f t="shared" si="9"/>
        <v>2145</v>
      </c>
      <c r="BS36" s="200">
        <f t="shared" si="10"/>
        <v>390</v>
      </c>
      <c r="BT36" s="200">
        <f t="shared" si="11"/>
        <v>585</v>
      </c>
      <c r="BU36" s="200">
        <f t="shared" si="12"/>
        <v>3120</v>
      </c>
      <c r="BV36" s="200">
        <v>0</v>
      </c>
      <c r="BW36" s="200">
        <v>0</v>
      </c>
      <c r="BX36" s="200">
        <f t="shared" si="13"/>
        <v>0</v>
      </c>
      <c r="CB36" s="381">
        <f>_xlfn.IFNA(VLOOKUP(A36,'Actuals Summer'!$A:$AG,23,FALSE),0)</f>
        <v>7605</v>
      </c>
      <c r="CC36" s="381">
        <f>_xlfn.IFNA(VLOOKUP(A36,'Actuals Summer'!$A:$AG,24,FALSE),0)</f>
        <v>0</v>
      </c>
      <c r="CD36" s="381">
        <f>_xlfn.IFNA(VLOOKUP(A36,'Actuals Summer'!$A:$AG,25,FALSE),0)</f>
        <v>0</v>
      </c>
      <c r="CE36" s="381">
        <f>_xlfn.IFNA(VLOOKUP(A36,'Actuals Summer'!$A:$AG,26,FALSE),0)</f>
        <v>0</v>
      </c>
      <c r="CF36" s="381">
        <f>_xlfn.IFNA(VLOOKUP(A36,'Actuals Summer'!$A:$AG,27,FALSE),0)</f>
        <v>0</v>
      </c>
      <c r="CG36" s="381">
        <f>_xlfn.IFNA(VLOOKUP(A36,'Actuals Dep Summer'!B:O,6,FALSE)*$BN$3,0)</f>
        <v>2145</v>
      </c>
      <c r="CH36" s="381">
        <f>_xlfn.IFNA(VLOOKUP(A36,'Actuals Dep Summer'!B:O,7,FALSE)*$BN$3,0)</f>
        <v>390</v>
      </c>
      <c r="CI36" s="381">
        <f>_xlfn.IFNA(VLOOKUP(A36,'Actuals Dep Summer'!B:O,8,FALSE)*$BN$3,0)</f>
        <v>585</v>
      </c>
      <c r="CJ36" s="381">
        <f>_xlfn.IFNA(VLOOKUP(A36,'Actuals Summer'!$A:$AG,31,FALSE),0)*$BN$3</f>
        <v>0</v>
      </c>
      <c r="CK36" s="381"/>
      <c r="CL36" s="381">
        <f>_xlfn.IFNA(VLOOKUP(A36,'Actuals Summer'!$A:$AG,32,FALSE),0)*$BN$3</f>
        <v>40560</v>
      </c>
      <c r="CM36" s="381">
        <f>_xlfn.IFNA(VLOOKUP(A36,'Actuals Summer'!$A:$AG,33,FALSE),0)</f>
        <v>0</v>
      </c>
      <c r="CP36" s="458">
        <f t="shared" si="14"/>
        <v>0</v>
      </c>
      <c r="CQ36" s="458">
        <f t="shared" si="15"/>
        <v>0</v>
      </c>
      <c r="CR36" s="458">
        <f t="shared" si="0"/>
        <v>0</v>
      </c>
      <c r="CS36" s="458">
        <f t="shared" si="16"/>
        <v>43044.3</v>
      </c>
      <c r="CT36" s="458">
        <f t="shared" si="17"/>
        <v>0</v>
      </c>
      <c r="CU36" s="458">
        <f t="shared" si="18"/>
        <v>1308.45</v>
      </c>
      <c r="CV36" s="458">
        <f t="shared" si="19"/>
        <v>113.1</v>
      </c>
      <c r="CW36" s="458">
        <f t="shared" si="20"/>
        <v>46.800000000000004</v>
      </c>
      <c r="CX36" s="458">
        <f t="shared" si="21"/>
        <v>3120</v>
      </c>
      <c r="CY36" s="458">
        <f t="shared" si="22"/>
        <v>0</v>
      </c>
      <c r="CZ36" s="458">
        <f t="shared" si="23"/>
        <v>0</v>
      </c>
      <c r="DA36" s="458">
        <f t="shared" si="24"/>
        <v>0</v>
      </c>
      <c r="DB36" s="458">
        <f t="shared" si="25"/>
        <v>47632.65</v>
      </c>
      <c r="DC36" s="452">
        <f>_xlfn.XLOOKUP($A36,'Actuals Summer'!$A:$A,'Actuals Summer'!L:L,0,0)</f>
        <v>0</v>
      </c>
      <c r="DD36" s="452">
        <f>_xlfn.XLOOKUP($A36,'Actuals Summer'!$A:$A,'Actuals Summer'!K:K,0,0)+_xlfn.XLOOKUP($A36,'Actuals Summer'!$A:$A,'Actuals Summer'!Q:Q,0,0)</f>
        <v>0</v>
      </c>
      <c r="DE36" s="452">
        <f>_xlfn.XLOOKUP($A36,'Actuals Summer'!$A:$A,'Actuals Summer'!I:I,0,0)+_xlfn.XLOOKUP($A36,'Actuals Summer'!$A:$A,'Actuals Summer'!R:R,0,0)</f>
        <v>43044.3</v>
      </c>
      <c r="DF36" s="452">
        <f>_xlfn.XLOOKUP($A36,'Actuals Summer'!$A:$A,'Actuals Summer'!J:J,0,0)</f>
        <v>0</v>
      </c>
      <c r="DG36" s="452">
        <f>_xlfn.XLOOKUP($A36,'Actuals Dep Summer'!$B:$B,'Actuals Dep Summer'!G:G,0,0)*'Actuals Dep Summer'!$F$2*'Actuals Dep Summer'!$C$2</f>
        <v>1308.45</v>
      </c>
      <c r="DH36" s="452">
        <f>_xlfn.XLOOKUP($A36,'Actuals Dep Summer'!$B:$B,'Actuals Dep Summer'!H:H,0,0)*'Actuals Dep Summer'!$F$2*'Actuals Dep Summer'!$C$3</f>
        <v>113.1</v>
      </c>
      <c r="DI36" s="452">
        <f>_xlfn.XLOOKUP($A36,'Actuals Dep Summer'!$B:$B,'Actuals Dep Summer'!I:I,0,0)*'Actuals Dep Summer'!$F$2*'Actuals Dep Summer'!$C$4</f>
        <v>46.800000000000004</v>
      </c>
      <c r="DJ36" s="452">
        <f>_xlfn.XLOOKUP($A36,'Actuals Summer'!$A:$A,'Actuals Summer'!P:P,0,0)</f>
        <v>3120</v>
      </c>
      <c r="DK36" s="452">
        <f>_xlfn.XLOOKUP($A36,'Actuals Summer'!$A:$A,'Actuals Summer'!O:O,0,0)</f>
        <v>0</v>
      </c>
      <c r="DL36" s="452"/>
      <c r="DM36" s="452">
        <f>_xlfn.XLOOKUP($A36,'Actuals Summer'!$A:$A,'Actuals Summer'!M:M,0,0)</f>
        <v>0</v>
      </c>
      <c r="DN36" s="453">
        <f t="shared" si="1"/>
        <v>47632.65</v>
      </c>
      <c r="DO36" s="453">
        <f>_xlfn.XLOOKUP(A36,'Actuals Summer'!A:A,'Actuals Summer'!S:S,0,0)-'Summer data team '!DN36</f>
        <v>0</v>
      </c>
      <c r="DP36" s="463">
        <f t="shared" si="2"/>
        <v>0</v>
      </c>
    </row>
    <row r="37" spans="1:120" ht="13" x14ac:dyDescent="0.3">
      <c r="A37" s="364">
        <v>2014</v>
      </c>
      <c r="B37" s="364">
        <v>3302014</v>
      </c>
      <c r="C37" s="364" t="s">
        <v>187</v>
      </c>
      <c r="D37" s="506">
        <v>0</v>
      </c>
      <c r="E37" s="506">
        <v>0</v>
      </c>
      <c r="F37" s="506">
        <v>0</v>
      </c>
      <c r="G37" s="506">
        <v>10</v>
      </c>
      <c r="H37" s="506">
        <v>22</v>
      </c>
      <c r="I37" s="507">
        <v>0</v>
      </c>
      <c r="J37" s="507">
        <v>32</v>
      </c>
      <c r="K37" s="506">
        <v>0</v>
      </c>
      <c r="L37" s="506">
        <v>0</v>
      </c>
      <c r="M37" s="507">
        <v>0</v>
      </c>
      <c r="N37" s="506">
        <v>0</v>
      </c>
      <c r="O37" s="506">
        <v>0</v>
      </c>
      <c r="P37" s="506">
        <v>150</v>
      </c>
      <c r="Q37" s="506">
        <v>330</v>
      </c>
      <c r="R37" s="507">
        <v>480</v>
      </c>
      <c r="S37" s="506">
        <v>0</v>
      </c>
      <c r="T37" s="506">
        <v>0</v>
      </c>
      <c r="U37" s="506">
        <v>0</v>
      </c>
      <c r="V37" s="506">
        <v>0</v>
      </c>
      <c r="W37" s="507">
        <v>0</v>
      </c>
      <c r="X37" s="506">
        <v>6</v>
      </c>
      <c r="Y37" s="506">
        <v>90</v>
      </c>
      <c r="Z37" s="508">
        <v>0</v>
      </c>
      <c r="AA37" s="506">
        <v>16</v>
      </c>
      <c r="AB37" s="506">
        <v>240</v>
      </c>
      <c r="AC37" s="508">
        <v>0</v>
      </c>
      <c r="AD37" s="506">
        <v>2</v>
      </c>
      <c r="AE37" s="506">
        <v>30</v>
      </c>
      <c r="AF37" s="508">
        <v>0</v>
      </c>
      <c r="AG37" s="509">
        <v>0</v>
      </c>
      <c r="AH37" s="509">
        <v>0</v>
      </c>
      <c r="AI37" s="508">
        <v>0</v>
      </c>
      <c r="AJ37" s="509">
        <v>17</v>
      </c>
      <c r="AK37" s="509">
        <v>255</v>
      </c>
      <c r="AL37" s="508">
        <v>0</v>
      </c>
      <c r="AM37" s="506">
        <v>17</v>
      </c>
      <c r="AN37" s="506">
        <v>255</v>
      </c>
      <c r="AO37" s="508">
        <v>0</v>
      </c>
      <c r="AP37" s="508"/>
      <c r="AQ37" s="508">
        <f t="shared" si="3"/>
        <v>17</v>
      </c>
      <c r="AR37" s="509">
        <v>0</v>
      </c>
      <c r="AS37" s="509">
        <v>0</v>
      </c>
      <c r="AT37" s="508">
        <v>0</v>
      </c>
      <c r="AU37" s="509">
        <v>17</v>
      </c>
      <c r="AV37" s="509">
        <v>255</v>
      </c>
      <c r="AW37" s="508">
        <v>0</v>
      </c>
      <c r="AX37" s="506">
        <v>17</v>
      </c>
      <c r="AY37" s="506">
        <v>255</v>
      </c>
      <c r="AZ37" s="508">
        <v>0</v>
      </c>
      <c r="BA37" s="508"/>
      <c r="BB37" s="508">
        <f t="shared" si="4"/>
        <v>34</v>
      </c>
      <c r="BC37" s="509">
        <v>0</v>
      </c>
      <c r="BD37" s="509">
        <v>0</v>
      </c>
      <c r="BE37" s="506">
        <v>0</v>
      </c>
      <c r="BF37" s="200"/>
      <c r="BG37" s="200"/>
      <c r="BH37" s="200"/>
      <c r="BI37" s="200"/>
      <c r="BJ37" s="200"/>
      <c r="BK37" s="200"/>
      <c r="BL37" s="200"/>
      <c r="BM37" s="505">
        <f t="shared" si="5"/>
        <v>0</v>
      </c>
      <c r="BN37" s="200">
        <f t="shared" si="6"/>
        <v>0</v>
      </c>
      <c r="BO37" s="200">
        <f t="shared" ref="BO37:BO68" si="27">S37*$BN$3</f>
        <v>0</v>
      </c>
      <c r="BP37" s="200">
        <f t="shared" si="7"/>
        <v>6240</v>
      </c>
      <c r="BQ37" s="200">
        <f t="shared" si="8"/>
        <v>0</v>
      </c>
      <c r="BR37" s="200">
        <f t="shared" si="9"/>
        <v>1170</v>
      </c>
      <c r="BS37" s="200">
        <f t="shared" si="10"/>
        <v>3120</v>
      </c>
      <c r="BT37" s="200">
        <f t="shared" si="11"/>
        <v>390</v>
      </c>
      <c r="BU37" s="200">
        <f t="shared" si="12"/>
        <v>3315</v>
      </c>
      <c r="BV37" s="200">
        <v>17</v>
      </c>
      <c r="BW37" s="200">
        <v>0</v>
      </c>
      <c r="BX37" s="200">
        <f t="shared" si="13"/>
        <v>0</v>
      </c>
      <c r="CB37" s="381">
        <f>_xlfn.IFNA(VLOOKUP(A37,'Actuals Summer'!$A:$AG,23,FALSE),0)</f>
        <v>6240</v>
      </c>
      <c r="CC37" s="381">
        <f>_xlfn.IFNA(VLOOKUP(A37,'Actuals Summer'!$A:$AG,24,FALSE),0)</f>
        <v>0</v>
      </c>
      <c r="CD37" s="381">
        <f>_xlfn.IFNA(VLOOKUP(A37,'Actuals Summer'!$A:$AG,25,FALSE),0)</f>
        <v>0</v>
      </c>
      <c r="CE37" s="381">
        <f>_xlfn.IFNA(VLOOKUP(A37,'Actuals Summer'!$A:$AG,26,FALSE),0)</f>
        <v>0</v>
      </c>
      <c r="CF37" s="381">
        <f>_xlfn.IFNA(VLOOKUP(A37,'Actuals Summer'!$A:$AG,27,FALSE),0)</f>
        <v>0</v>
      </c>
      <c r="CG37" s="381">
        <f>_xlfn.IFNA(VLOOKUP(A37,'Actuals Dep Summer'!B:O,6,FALSE)*$BN$3,0)</f>
        <v>1170</v>
      </c>
      <c r="CH37" s="381">
        <f>_xlfn.IFNA(VLOOKUP(A37,'Actuals Dep Summer'!B:O,7,FALSE)*$BN$3,0)</f>
        <v>3120</v>
      </c>
      <c r="CI37" s="381">
        <f>_xlfn.IFNA(VLOOKUP(A37,'Actuals Dep Summer'!B:O,8,FALSE)*$BN$3,0)</f>
        <v>390</v>
      </c>
      <c r="CJ37" s="381">
        <f>_xlfn.IFNA(VLOOKUP(A37,'Actuals Summer'!$A:$AG,31,FALSE),0)*$BN$3</f>
        <v>220.87841555107278</v>
      </c>
      <c r="CK37" s="381"/>
      <c r="CL37" s="381">
        <f>_xlfn.IFNA(VLOOKUP(A37,'Actuals Summer'!$A:$AG,32,FALSE),0)*$BN$3</f>
        <v>43095</v>
      </c>
      <c r="CM37" s="381">
        <f>_xlfn.IFNA(VLOOKUP(A37,'Actuals Summer'!$A:$AG,33,FALSE),0)</f>
        <v>0</v>
      </c>
      <c r="CP37" s="458">
        <f t="shared" si="14"/>
        <v>0</v>
      </c>
      <c r="CQ37" s="458">
        <f t="shared" si="15"/>
        <v>0</v>
      </c>
      <c r="CR37" s="458">
        <f t="shared" ref="CR37:CR68" si="28">BO37*$BO$2</f>
        <v>0</v>
      </c>
      <c r="CS37" s="458">
        <f t="shared" si="16"/>
        <v>35318.400000000001</v>
      </c>
      <c r="CT37" s="458">
        <f t="shared" si="17"/>
        <v>0</v>
      </c>
      <c r="CU37" s="458">
        <f t="shared" si="18"/>
        <v>713.69999999999993</v>
      </c>
      <c r="CV37" s="458">
        <f t="shared" si="19"/>
        <v>904.8</v>
      </c>
      <c r="CW37" s="458">
        <f t="shared" si="20"/>
        <v>31.2</v>
      </c>
      <c r="CX37" s="458">
        <f t="shared" si="21"/>
        <v>3315</v>
      </c>
      <c r="CY37" s="458">
        <f t="shared" si="22"/>
        <v>1267.8421052631577</v>
      </c>
      <c r="CZ37" s="458">
        <f t="shared" si="23"/>
        <v>0</v>
      </c>
      <c r="DA37" s="458">
        <f t="shared" si="24"/>
        <v>0</v>
      </c>
      <c r="DB37" s="458">
        <f t="shared" si="25"/>
        <v>41550.942105263159</v>
      </c>
      <c r="DC37" s="452">
        <f>_xlfn.XLOOKUP($A37,'Actuals Summer'!$A:$A,'Actuals Summer'!L:L,0,0)</f>
        <v>0</v>
      </c>
      <c r="DD37" s="452">
        <f>_xlfn.XLOOKUP($A37,'Actuals Summer'!$A:$A,'Actuals Summer'!K:K,0,0)+_xlfn.XLOOKUP($A37,'Actuals Summer'!$A:$A,'Actuals Summer'!Q:Q,0,0)</f>
        <v>0</v>
      </c>
      <c r="DE37" s="452">
        <f>_xlfn.XLOOKUP($A37,'Actuals Summer'!$A:$A,'Actuals Summer'!I:I,0,0)+_xlfn.XLOOKUP($A37,'Actuals Summer'!$A:$A,'Actuals Summer'!R:R,0,0)</f>
        <v>35318.400000000001</v>
      </c>
      <c r="DF37" s="452">
        <f>_xlfn.XLOOKUP($A37,'Actuals Summer'!$A:$A,'Actuals Summer'!J:J,0,0)</f>
        <v>0</v>
      </c>
      <c r="DG37" s="452">
        <f>_xlfn.XLOOKUP($A37,'Actuals Dep Summer'!$B:$B,'Actuals Dep Summer'!G:G,0,0)*'Actuals Dep Summer'!$F$2*'Actuals Dep Summer'!$C$2</f>
        <v>713.69999999999993</v>
      </c>
      <c r="DH37" s="452">
        <f>_xlfn.XLOOKUP($A37,'Actuals Dep Summer'!$B:$B,'Actuals Dep Summer'!H:H,0,0)*'Actuals Dep Summer'!$F$2*'Actuals Dep Summer'!$C$3</f>
        <v>904.8</v>
      </c>
      <c r="DI37" s="452">
        <f>_xlfn.XLOOKUP($A37,'Actuals Dep Summer'!$B:$B,'Actuals Dep Summer'!I:I,0,0)*'Actuals Dep Summer'!$F$2*'Actuals Dep Summer'!$C$4</f>
        <v>31.2</v>
      </c>
      <c r="DJ37" s="452">
        <f>_xlfn.XLOOKUP($A37,'Actuals Summer'!$A:$A,'Actuals Summer'!P:P,0,0)</f>
        <v>3315</v>
      </c>
      <c r="DK37" s="452">
        <f>_xlfn.XLOOKUP($A37,'Actuals Summer'!$A:$A,'Actuals Summer'!O:O,0,0)</f>
        <v>1267.8421052631579</v>
      </c>
      <c r="DL37" s="452"/>
      <c r="DM37" s="452">
        <f>_xlfn.XLOOKUP($A37,'Actuals Summer'!$A:$A,'Actuals Summer'!M:M,0,0)</f>
        <v>0</v>
      </c>
      <c r="DN37" s="453">
        <f t="shared" ref="DN37:DN68" si="29">SUM(DC37:DM37)</f>
        <v>41550.942105263159</v>
      </c>
      <c r="DO37" s="453">
        <f>_xlfn.XLOOKUP(A37,'Actuals Summer'!A:A,'Actuals Summer'!S:S,0,0)-'Summer data team '!DN37</f>
        <v>0</v>
      </c>
      <c r="DP37" s="463">
        <f t="shared" ref="DP37:DP68" si="30">DB37-DN37</f>
        <v>0</v>
      </c>
    </row>
    <row r="38" spans="1:120" ht="13" x14ac:dyDescent="0.3">
      <c r="A38" s="364">
        <v>2015</v>
      </c>
      <c r="B38" s="364">
        <v>3302015</v>
      </c>
      <c r="C38" s="364" t="s">
        <v>99</v>
      </c>
      <c r="D38" s="506">
        <v>0</v>
      </c>
      <c r="E38" s="506">
        <v>0</v>
      </c>
      <c r="F38" s="506">
        <v>0</v>
      </c>
      <c r="G38" s="506">
        <v>17</v>
      </c>
      <c r="H38" s="506">
        <v>27</v>
      </c>
      <c r="I38" s="507">
        <v>0</v>
      </c>
      <c r="J38" s="507">
        <v>44</v>
      </c>
      <c r="K38" s="506">
        <v>0</v>
      </c>
      <c r="L38" s="506">
        <v>0</v>
      </c>
      <c r="M38" s="507">
        <v>0</v>
      </c>
      <c r="N38" s="506">
        <v>0</v>
      </c>
      <c r="O38" s="506">
        <v>0</v>
      </c>
      <c r="P38" s="506">
        <v>255</v>
      </c>
      <c r="Q38" s="506">
        <v>405</v>
      </c>
      <c r="R38" s="507">
        <v>660</v>
      </c>
      <c r="S38" s="506">
        <v>0</v>
      </c>
      <c r="T38" s="506">
        <v>0</v>
      </c>
      <c r="U38" s="506">
        <v>0</v>
      </c>
      <c r="V38" s="506">
        <v>0</v>
      </c>
      <c r="W38" s="507">
        <v>0</v>
      </c>
      <c r="X38" s="506">
        <v>13</v>
      </c>
      <c r="Y38" s="506">
        <v>195</v>
      </c>
      <c r="Z38" s="508">
        <v>0</v>
      </c>
      <c r="AA38" s="506">
        <v>12</v>
      </c>
      <c r="AB38" s="506">
        <v>180</v>
      </c>
      <c r="AC38" s="508">
        <v>0</v>
      </c>
      <c r="AD38" s="506">
        <v>18</v>
      </c>
      <c r="AE38" s="506">
        <v>270</v>
      </c>
      <c r="AF38" s="508">
        <v>0</v>
      </c>
      <c r="AG38" s="509">
        <v>0</v>
      </c>
      <c r="AH38" s="509">
        <v>0</v>
      </c>
      <c r="AI38" s="508">
        <v>0</v>
      </c>
      <c r="AJ38" s="509">
        <v>20</v>
      </c>
      <c r="AK38" s="509">
        <v>300</v>
      </c>
      <c r="AL38" s="508">
        <v>0</v>
      </c>
      <c r="AM38" s="506">
        <v>20</v>
      </c>
      <c r="AN38" s="506">
        <v>300</v>
      </c>
      <c r="AO38" s="508">
        <v>0</v>
      </c>
      <c r="AP38" s="508"/>
      <c r="AQ38" s="508">
        <f t="shared" si="3"/>
        <v>20</v>
      </c>
      <c r="AR38" s="509">
        <v>0</v>
      </c>
      <c r="AS38" s="509">
        <v>0</v>
      </c>
      <c r="AT38" s="508">
        <v>0</v>
      </c>
      <c r="AU38" s="509">
        <v>20</v>
      </c>
      <c r="AV38" s="509">
        <v>300</v>
      </c>
      <c r="AW38" s="508">
        <v>0</v>
      </c>
      <c r="AX38" s="506">
        <v>20</v>
      </c>
      <c r="AY38" s="506">
        <v>300</v>
      </c>
      <c r="AZ38" s="508">
        <v>0</v>
      </c>
      <c r="BA38" s="508"/>
      <c r="BB38" s="508">
        <f t="shared" si="4"/>
        <v>40</v>
      </c>
      <c r="BC38" s="509">
        <v>0</v>
      </c>
      <c r="BD38" s="509">
        <v>0</v>
      </c>
      <c r="BE38" s="506">
        <v>0</v>
      </c>
      <c r="BF38" s="200"/>
      <c r="BG38" s="200"/>
      <c r="BH38" s="200"/>
      <c r="BI38" s="200"/>
      <c r="BJ38" s="200"/>
      <c r="BK38" s="200"/>
      <c r="BL38" s="200"/>
      <c r="BM38" s="505">
        <f t="shared" si="5"/>
        <v>0</v>
      </c>
      <c r="BN38" s="200">
        <f t="shared" si="6"/>
        <v>0</v>
      </c>
      <c r="BO38" s="200">
        <f t="shared" si="27"/>
        <v>0</v>
      </c>
      <c r="BP38" s="200">
        <f t="shared" si="7"/>
        <v>8580</v>
      </c>
      <c r="BQ38" s="200">
        <f t="shared" si="8"/>
        <v>0</v>
      </c>
      <c r="BR38" s="200">
        <f t="shared" si="9"/>
        <v>2535</v>
      </c>
      <c r="BS38" s="200">
        <f t="shared" si="10"/>
        <v>2340</v>
      </c>
      <c r="BT38" s="200">
        <f t="shared" si="11"/>
        <v>3510</v>
      </c>
      <c r="BU38" s="200">
        <f t="shared" si="12"/>
        <v>3900</v>
      </c>
      <c r="BV38" s="200">
        <v>20</v>
      </c>
      <c r="BW38" s="200">
        <v>0</v>
      </c>
      <c r="BX38" s="200">
        <f t="shared" si="13"/>
        <v>0</v>
      </c>
      <c r="CB38" s="381">
        <f>_xlfn.IFNA(VLOOKUP(A38,'Actuals Summer'!$A:$AG,23,FALSE),0)</f>
        <v>8580</v>
      </c>
      <c r="CC38" s="381">
        <f>_xlfn.IFNA(VLOOKUP(A38,'Actuals Summer'!$A:$AG,24,FALSE),0)</f>
        <v>0</v>
      </c>
      <c r="CD38" s="381">
        <f>_xlfn.IFNA(VLOOKUP(A38,'Actuals Summer'!$A:$AG,25,FALSE),0)</f>
        <v>0</v>
      </c>
      <c r="CE38" s="381">
        <f>_xlfn.IFNA(VLOOKUP(A38,'Actuals Summer'!$A:$AG,26,FALSE),0)</f>
        <v>0</v>
      </c>
      <c r="CF38" s="381">
        <f>_xlfn.IFNA(VLOOKUP(A38,'Actuals Summer'!$A:$AG,27,FALSE),0)</f>
        <v>0</v>
      </c>
      <c r="CG38" s="381">
        <f>_xlfn.IFNA(VLOOKUP(A38,'Actuals Dep Summer'!B:O,6,FALSE)*$BN$3,0)</f>
        <v>2535</v>
      </c>
      <c r="CH38" s="381">
        <f>_xlfn.IFNA(VLOOKUP(A38,'Actuals Dep Summer'!B:O,7,FALSE)*$BN$3,0)</f>
        <v>2340</v>
      </c>
      <c r="CI38" s="381">
        <f>_xlfn.IFNA(VLOOKUP(A38,'Actuals Dep Summer'!B:O,8,FALSE)*$BN$3,0)</f>
        <v>3510</v>
      </c>
      <c r="CJ38" s="381">
        <f>_xlfn.IFNA(VLOOKUP(A38,'Actuals Summer'!$A:$AG,31,FALSE),0)*$BN$3</f>
        <v>259.8569594718503</v>
      </c>
      <c r="CK38" s="381"/>
      <c r="CL38" s="381">
        <f>_xlfn.IFNA(VLOOKUP(A38,'Actuals Summer'!$A:$AG,32,FALSE),0)*$BN$3</f>
        <v>50700</v>
      </c>
      <c r="CM38" s="381">
        <f>_xlfn.IFNA(VLOOKUP(A38,'Actuals Summer'!$A:$AG,33,FALSE),0)</f>
        <v>0</v>
      </c>
      <c r="CP38" s="458">
        <f t="shared" si="14"/>
        <v>0</v>
      </c>
      <c r="CQ38" s="458">
        <f t="shared" si="15"/>
        <v>0</v>
      </c>
      <c r="CR38" s="458">
        <f t="shared" si="28"/>
        <v>0</v>
      </c>
      <c r="CS38" s="458">
        <f t="shared" si="16"/>
        <v>48562.8</v>
      </c>
      <c r="CT38" s="458">
        <f t="shared" si="17"/>
        <v>0</v>
      </c>
      <c r="CU38" s="458">
        <f t="shared" si="18"/>
        <v>1546.35</v>
      </c>
      <c r="CV38" s="458">
        <f t="shared" si="19"/>
        <v>678.59999999999991</v>
      </c>
      <c r="CW38" s="458">
        <f t="shared" si="20"/>
        <v>280.8</v>
      </c>
      <c r="CX38" s="458">
        <f t="shared" si="21"/>
        <v>3900</v>
      </c>
      <c r="CY38" s="458">
        <f t="shared" si="22"/>
        <v>1491.578947368421</v>
      </c>
      <c r="CZ38" s="458">
        <f t="shared" si="23"/>
        <v>0</v>
      </c>
      <c r="DA38" s="458">
        <f t="shared" si="24"/>
        <v>0</v>
      </c>
      <c r="DB38" s="458">
        <f t="shared" si="25"/>
        <v>56460.128947368423</v>
      </c>
      <c r="DC38" s="452">
        <f>_xlfn.XLOOKUP($A38,'Actuals Summer'!$A:$A,'Actuals Summer'!L:L,0,0)</f>
        <v>0</v>
      </c>
      <c r="DD38" s="452">
        <f>_xlfn.XLOOKUP($A38,'Actuals Summer'!$A:$A,'Actuals Summer'!K:K,0,0)+_xlfn.XLOOKUP($A38,'Actuals Summer'!$A:$A,'Actuals Summer'!Q:Q,0,0)</f>
        <v>0</v>
      </c>
      <c r="DE38" s="452">
        <f>_xlfn.XLOOKUP($A38,'Actuals Summer'!$A:$A,'Actuals Summer'!I:I,0,0)+_xlfn.XLOOKUP($A38,'Actuals Summer'!$A:$A,'Actuals Summer'!R:R,0,0)</f>
        <v>48562.8</v>
      </c>
      <c r="DF38" s="452">
        <f>_xlfn.XLOOKUP($A38,'Actuals Summer'!$A:$A,'Actuals Summer'!J:J,0,0)</f>
        <v>0</v>
      </c>
      <c r="DG38" s="452">
        <f>_xlfn.XLOOKUP($A38,'Actuals Dep Summer'!$B:$B,'Actuals Dep Summer'!G:G,0,0)*'Actuals Dep Summer'!$F$2*'Actuals Dep Summer'!$C$2</f>
        <v>1546.35</v>
      </c>
      <c r="DH38" s="452">
        <f>_xlfn.XLOOKUP($A38,'Actuals Dep Summer'!$B:$B,'Actuals Dep Summer'!H:H,0,0)*'Actuals Dep Summer'!$F$2*'Actuals Dep Summer'!$C$3</f>
        <v>678.59999999999991</v>
      </c>
      <c r="DI38" s="452">
        <f>_xlfn.XLOOKUP($A38,'Actuals Dep Summer'!$B:$B,'Actuals Dep Summer'!I:I,0,0)*'Actuals Dep Summer'!$F$2*'Actuals Dep Summer'!$C$4</f>
        <v>280.8</v>
      </c>
      <c r="DJ38" s="452">
        <f>_xlfn.XLOOKUP($A38,'Actuals Summer'!$A:$A,'Actuals Summer'!P:P,0,0)</f>
        <v>3900</v>
      </c>
      <c r="DK38" s="452">
        <f>_xlfn.XLOOKUP($A38,'Actuals Summer'!$A:$A,'Actuals Summer'!O:O,0,0)</f>
        <v>1491.578947368421</v>
      </c>
      <c r="DL38" s="452"/>
      <c r="DM38" s="452">
        <f>_xlfn.XLOOKUP($A38,'Actuals Summer'!$A:$A,'Actuals Summer'!M:M,0,0)</f>
        <v>0</v>
      </c>
      <c r="DN38" s="453">
        <f t="shared" si="29"/>
        <v>56460.128947368423</v>
      </c>
      <c r="DO38" s="453">
        <f>_xlfn.XLOOKUP(A38,'Actuals Summer'!A:A,'Actuals Summer'!S:S,0,0)-'Summer data team '!DN38</f>
        <v>0</v>
      </c>
      <c r="DP38" s="463">
        <f t="shared" si="30"/>
        <v>0</v>
      </c>
    </row>
    <row r="39" spans="1:120" ht="13" x14ac:dyDescent="0.3">
      <c r="A39" s="364">
        <v>2018</v>
      </c>
      <c r="B39" s="364">
        <v>3302018</v>
      </c>
      <c r="C39" s="364" t="s">
        <v>254</v>
      </c>
      <c r="D39" s="506">
        <v>0</v>
      </c>
      <c r="E39" s="506">
        <v>16</v>
      </c>
      <c r="F39" s="506">
        <v>0</v>
      </c>
      <c r="G39" s="506">
        <v>24</v>
      </c>
      <c r="H39" s="506">
        <v>17</v>
      </c>
      <c r="I39" s="507">
        <v>16</v>
      </c>
      <c r="J39" s="507">
        <v>41</v>
      </c>
      <c r="K39" s="506">
        <v>4</v>
      </c>
      <c r="L39" s="506">
        <v>2</v>
      </c>
      <c r="M39" s="507">
        <v>6</v>
      </c>
      <c r="N39" s="506">
        <v>0</v>
      </c>
      <c r="O39" s="506">
        <v>240</v>
      </c>
      <c r="P39" s="506">
        <v>360</v>
      </c>
      <c r="Q39" s="506">
        <v>255</v>
      </c>
      <c r="R39" s="507">
        <v>615</v>
      </c>
      <c r="S39" s="506">
        <v>0</v>
      </c>
      <c r="T39" s="506">
        <v>240</v>
      </c>
      <c r="U39" s="506">
        <v>60</v>
      </c>
      <c r="V39" s="506">
        <v>30</v>
      </c>
      <c r="W39" s="507">
        <v>90</v>
      </c>
      <c r="X39" s="506">
        <v>42</v>
      </c>
      <c r="Y39" s="506">
        <v>630</v>
      </c>
      <c r="Z39" s="508">
        <v>60</v>
      </c>
      <c r="AA39" s="506">
        <v>8</v>
      </c>
      <c r="AB39" s="506">
        <v>120</v>
      </c>
      <c r="AC39" s="508">
        <v>15</v>
      </c>
      <c r="AD39" s="506">
        <v>1</v>
      </c>
      <c r="AE39" s="506">
        <v>15</v>
      </c>
      <c r="AF39" s="508">
        <v>0</v>
      </c>
      <c r="AG39" s="509">
        <v>11</v>
      </c>
      <c r="AH39" s="509">
        <v>165</v>
      </c>
      <c r="AI39" s="508">
        <v>0</v>
      </c>
      <c r="AJ39" s="509">
        <v>32</v>
      </c>
      <c r="AK39" s="509">
        <v>480</v>
      </c>
      <c r="AL39" s="508">
        <v>30</v>
      </c>
      <c r="AM39" s="506">
        <v>43</v>
      </c>
      <c r="AN39" s="506">
        <v>645</v>
      </c>
      <c r="AO39" s="508">
        <v>30</v>
      </c>
      <c r="AP39" s="508"/>
      <c r="AQ39" s="508">
        <f t="shared" si="3"/>
        <v>43</v>
      </c>
      <c r="AR39" s="509">
        <v>0</v>
      </c>
      <c r="AS39" s="509">
        <v>0</v>
      </c>
      <c r="AT39" s="508">
        <v>0</v>
      </c>
      <c r="AU39" s="509">
        <v>2</v>
      </c>
      <c r="AV39" s="509">
        <v>30</v>
      </c>
      <c r="AW39" s="508">
        <v>0</v>
      </c>
      <c r="AX39" s="506">
        <v>2</v>
      </c>
      <c r="AY39" s="506">
        <v>30</v>
      </c>
      <c r="AZ39" s="508">
        <v>0</v>
      </c>
      <c r="BA39" s="508"/>
      <c r="BB39" s="508">
        <f t="shared" si="4"/>
        <v>4</v>
      </c>
      <c r="BC39" s="509">
        <v>0</v>
      </c>
      <c r="BD39" s="509">
        <v>0</v>
      </c>
      <c r="BE39" s="506">
        <v>0</v>
      </c>
      <c r="BF39" s="200"/>
      <c r="BG39" s="200"/>
      <c r="BH39" s="200"/>
      <c r="BI39" s="200"/>
      <c r="BJ39" s="200"/>
      <c r="BK39" s="200"/>
      <c r="BL39" s="200"/>
      <c r="BM39" s="505">
        <f t="shared" si="5"/>
        <v>0</v>
      </c>
      <c r="BN39" s="200">
        <f t="shared" si="6"/>
        <v>3120</v>
      </c>
      <c r="BO39" s="200">
        <f t="shared" si="27"/>
        <v>0</v>
      </c>
      <c r="BP39" s="200">
        <f t="shared" si="7"/>
        <v>7995</v>
      </c>
      <c r="BQ39" s="200">
        <f t="shared" si="8"/>
        <v>1170</v>
      </c>
      <c r="BR39" s="200">
        <f t="shared" si="9"/>
        <v>8970</v>
      </c>
      <c r="BS39" s="200">
        <f t="shared" si="10"/>
        <v>1755</v>
      </c>
      <c r="BT39" s="200">
        <f t="shared" si="11"/>
        <v>195</v>
      </c>
      <c r="BU39" s="200">
        <f t="shared" si="12"/>
        <v>8385</v>
      </c>
      <c r="BV39" s="200">
        <v>2</v>
      </c>
      <c r="BW39" s="200">
        <v>0</v>
      </c>
      <c r="BX39" s="200">
        <f t="shared" si="13"/>
        <v>0</v>
      </c>
      <c r="CB39" s="381">
        <f>_xlfn.IFNA(VLOOKUP(A39,'Actuals Summer'!$A:$AG,23,FALSE),0)</f>
        <v>7995.0000000000009</v>
      </c>
      <c r="CC39" s="381">
        <f>_xlfn.IFNA(VLOOKUP(A39,'Actuals Summer'!$A:$AG,24,FALSE),0)</f>
        <v>1170</v>
      </c>
      <c r="CD39" s="381">
        <f>_xlfn.IFNA(VLOOKUP(A39,'Actuals Summer'!$A:$AG,25,FALSE),0)</f>
        <v>3120</v>
      </c>
      <c r="CE39" s="381">
        <f>_xlfn.IFNA(VLOOKUP(A39,'Actuals Summer'!$A:$AG,26,FALSE),0)</f>
        <v>0</v>
      </c>
      <c r="CF39" s="381">
        <f>_xlfn.IFNA(VLOOKUP(A39,'Actuals Summer'!$A:$AG,27,FALSE),0)</f>
        <v>0</v>
      </c>
      <c r="CG39" s="381">
        <f>_xlfn.IFNA(VLOOKUP(A39,'Actuals Dep Summer'!B:O,6,FALSE)*$BN$3,0)</f>
        <v>8190</v>
      </c>
      <c r="CH39" s="381">
        <f>_xlfn.IFNA(VLOOKUP(A39,'Actuals Dep Summer'!B:O,7,FALSE)*$BN$3,0)</f>
        <v>1560</v>
      </c>
      <c r="CI39" s="381">
        <f>_xlfn.IFNA(VLOOKUP(A39,'Actuals Dep Summer'!B:O,8,FALSE)*$BN$3,0)</f>
        <v>195</v>
      </c>
      <c r="CJ39" s="381">
        <f>_xlfn.IFNA(VLOOKUP(A39,'Actuals Summer'!$A:$AG,31,FALSE),0)*$BN$3</f>
        <v>25.985695947185036</v>
      </c>
      <c r="CK39" s="381"/>
      <c r="CL39" s="381">
        <f>_xlfn.IFNA(VLOOKUP(A39,'Actuals Summer'!$A:$AG,32,FALSE),0)*$BN$3</f>
        <v>109005</v>
      </c>
      <c r="CM39" s="381">
        <f>_xlfn.IFNA(VLOOKUP(A39,'Actuals Summer'!$A:$AG,33,FALSE),0)</f>
        <v>0</v>
      </c>
      <c r="CP39" s="458">
        <f t="shared" si="14"/>
        <v>0</v>
      </c>
      <c r="CQ39" s="458">
        <f t="shared" si="15"/>
        <v>26551.200000000001</v>
      </c>
      <c r="CR39" s="458">
        <f t="shared" si="28"/>
        <v>0</v>
      </c>
      <c r="CS39" s="458">
        <f t="shared" si="16"/>
        <v>45251.700000000004</v>
      </c>
      <c r="CT39" s="458">
        <f t="shared" si="17"/>
        <v>6622.2</v>
      </c>
      <c r="CU39" s="458">
        <f t="shared" si="18"/>
        <v>5471.7</v>
      </c>
      <c r="CV39" s="458">
        <f t="shared" si="19"/>
        <v>508.95</v>
      </c>
      <c r="CW39" s="458">
        <f t="shared" si="20"/>
        <v>15.6</v>
      </c>
      <c r="CX39" s="458">
        <f t="shared" si="21"/>
        <v>8385</v>
      </c>
      <c r="CY39" s="458">
        <f t="shared" si="22"/>
        <v>149.15789473684208</v>
      </c>
      <c r="CZ39" s="458">
        <f t="shared" si="23"/>
        <v>0</v>
      </c>
      <c r="DA39" s="458">
        <f t="shared" si="24"/>
        <v>0</v>
      </c>
      <c r="DB39" s="458">
        <f t="shared" si="25"/>
        <v>92955.507894736846</v>
      </c>
      <c r="DC39" s="452">
        <f>_xlfn.XLOOKUP($A39,'Actuals Summer'!$A:$A,'Actuals Summer'!L:L,0,0)</f>
        <v>0</v>
      </c>
      <c r="DD39" s="452">
        <f>_xlfn.XLOOKUP($A39,'Actuals Summer'!$A:$A,'Actuals Summer'!K:K,0,0)+_xlfn.XLOOKUP($A39,'Actuals Summer'!$A:$A,'Actuals Summer'!Q:Q,0,0)</f>
        <v>26551.200000000001</v>
      </c>
      <c r="DE39" s="452">
        <f>_xlfn.XLOOKUP($A39,'Actuals Summer'!$A:$A,'Actuals Summer'!I:I,0,0)+_xlfn.XLOOKUP($A39,'Actuals Summer'!$A:$A,'Actuals Summer'!R:R,0,0)</f>
        <v>45251.700000000004</v>
      </c>
      <c r="DF39" s="452">
        <f>_xlfn.XLOOKUP($A39,'Actuals Summer'!$A:$A,'Actuals Summer'!J:J,0,0)</f>
        <v>6622.2</v>
      </c>
      <c r="DG39" s="452">
        <f>_xlfn.XLOOKUP($A39,'Actuals Dep Summer'!$B:$B,'Actuals Dep Summer'!G:G,0,0)*'Actuals Dep Summer'!$F$2*'Actuals Dep Summer'!$C$2</f>
        <v>4995.8999999999996</v>
      </c>
      <c r="DH39" s="452">
        <f>_xlfn.XLOOKUP($A39,'Actuals Dep Summer'!$B:$B,'Actuals Dep Summer'!H:H,0,0)*'Actuals Dep Summer'!$F$2*'Actuals Dep Summer'!$C$3</f>
        <v>452.4</v>
      </c>
      <c r="DI39" s="452">
        <f>_xlfn.XLOOKUP($A39,'Actuals Dep Summer'!$B:$B,'Actuals Dep Summer'!I:I,0,0)*'Actuals Dep Summer'!$F$2*'Actuals Dep Summer'!$C$4</f>
        <v>15.6</v>
      </c>
      <c r="DJ39" s="452">
        <f>_xlfn.XLOOKUP($A39,'Actuals Summer'!$A:$A,'Actuals Summer'!P:P,0,0)</f>
        <v>8385</v>
      </c>
      <c r="DK39" s="452">
        <f>_xlfn.XLOOKUP($A39,'Actuals Summer'!$A:$A,'Actuals Summer'!O:O,0,0)</f>
        <v>149.15789473684211</v>
      </c>
      <c r="DL39" s="452"/>
      <c r="DM39" s="452">
        <f>_xlfn.XLOOKUP($A39,'Actuals Summer'!$A:$A,'Actuals Summer'!M:M,0,0)</f>
        <v>0</v>
      </c>
      <c r="DN39" s="453">
        <f t="shared" si="29"/>
        <v>92423.15789473684</v>
      </c>
      <c r="DO39" s="453">
        <f>_xlfn.XLOOKUP(A39,'Actuals Summer'!A:A,'Actuals Summer'!S:S,0,0)-'Summer data team '!DN39</f>
        <v>0</v>
      </c>
      <c r="DP39" s="463">
        <f t="shared" si="30"/>
        <v>532.35000000000582</v>
      </c>
    </row>
    <row r="40" spans="1:120" ht="13" x14ac:dyDescent="0.3">
      <c r="A40" s="364">
        <v>2020</v>
      </c>
      <c r="B40" s="364">
        <v>3302020</v>
      </c>
      <c r="C40" s="364" t="s">
        <v>255</v>
      </c>
      <c r="D40" s="506">
        <v>0</v>
      </c>
      <c r="E40" s="506">
        <v>0</v>
      </c>
      <c r="F40" s="506">
        <v>0</v>
      </c>
      <c r="G40" s="506">
        <v>39</v>
      </c>
      <c r="H40" s="506">
        <v>21</v>
      </c>
      <c r="I40" s="507">
        <v>0</v>
      </c>
      <c r="J40" s="507">
        <v>60</v>
      </c>
      <c r="K40" s="506">
        <v>10</v>
      </c>
      <c r="L40" s="506">
        <v>6</v>
      </c>
      <c r="M40" s="507">
        <v>16</v>
      </c>
      <c r="N40" s="506">
        <v>0</v>
      </c>
      <c r="O40" s="506">
        <v>0</v>
      </c>
      <c r="P40" s="506">
        <v>585</v>
      </c>
      <c r="Q40" s="506">
        <v>315</v>
      </c>
      <c r="R40" s="507">
        <v>900</v>
      </c>
      <c r="S40" s="506">
        <v>0</v>
      </c>
      <c r="T40" s="506">
        <v>0</v>
      </c>
      <c r="U40" s="506">
        <v>150</v>
      </c>
      <c r="V40" s="506">
        <v>90</v>
      </c>
      <c r="W40" s="507">
        <v>240</v>
      </c>
      <c r="X40" s="506">
        <v>1</v>
      </c>
      <c r="Y40" s="506">
        <v>15</v>
      </c>
      <c r="Z40" s="508">
        <v>0</v>
      </c>
      <c r="AA40" s="506">
        <v>8</v>
      </c>
      <c r="AB40" s="506">
        <v>120</v>
      </c>
      <c r="AC40" s="508">
        <v>15</v>
      </c>
      <c r="AD40" s="506">
        <v>20</v>
      </c>
      <c r="AE40" s="506">
        <v>300</v>
      </c>
      <c r="AF40" s="508">
        <v>120</v>
      </c>
      <c r="AG40" s="509">
        <v>0</v>
      </c>
      <c r="AH40" s="509">
        <v>0</v>
      </c>
      <c r="AI40" s="508">
        <v>0</v>
      </c>
      <c r="AJ40" s="509">
        <v>18</v>
      </c>
      <c r="AK40" s="509">
        <v>270</v>
      </c>
      <c r="AL40" s="508">
        <v>30</v>
      </c>
      <c r="AM40" s="506">
        <v>18</v>
      </c>
      <c r="AN40" s="506">
        <v>270</v>
      </c>
      <c r="AO40" s="508">
        <v>30</v>
      </c>
      <c r="AP40" s="508"/>
      <c r="AQ40" s="508">
        <f t="shared" si="3"/>
        <v>18</v>
      </c>
      <c r="AR40" s="509">
        <v>0</v>
      </c>
      <c r="AS40" s="509">
        <v>0</v>
      </c>
      <c r="AT40" s="508">
        <v>0</v>
      </c>
      <c r="AU40" s="509">
        <v>18</v>
      </c>
      <c r="AV40" s="509">
        <v>270</v>
      </c>
      <c r="AW40" s="508">
        <v>30</v>
      </c>
      <c r="AX40" s="506">
        <v>18</v>
      </c>
      <c r="AY40" s="506">
        <v>270</v>
      </c>
      <c r="AZ40" s="508">
        <v>30</v>
      </c>
      <c r="BA40" s="508"/>
      <c r="BB40" s="508">
        <f t="shared" si="4"/>
        <v>36</v>
      </c>
      <c r="BC40" s="509">
        <v>0</v>
      </c>
      <c r="BD40" s="509">
        <v>0</v>
      </c>
      <c r="BE40" s="506">
        <v>0</v>
      </c>
      <c r="BF40" s="200"/>
      <c r="BG40" s="200"/>
      <c r="BH40" s="200"/>
      <c r="BI40" s="200"/>
      <c r="BJ40" s="200"/>
      <c r="BK40" s="200"/>
      <c r="BL40" s="200"/>
      <c r="BM40" s="505">
        <f t="shared" si="5"/>
        <v>0</v>
      </c>
      <c r="BN40" s="200">
        <f t="shared" si="6"/>
        <v>0</v>
      </c>
      <c r="BO40" s="200">
        <f t="shared" si="27"/>
        <v>0</v>
      </c>
      <c r="BP40" s="200">
        <f t="shared" si="7"/>
        <v>11700</v>
      </c>
      <c r="BQ40" s="200">
        <f t="shared" si="8"/>
        <v>3120</v>
      </c>
      <c r="BR40" s="200">
        <f t="shared" si="9"/>
        <v>195</v>
      </c>
      <c r="BS40" s="200">
        <f t="shared" si="10"/>
        <v>1755</v>
      </c>
      <c r="BT40" s="200">
        <f t="shared" si="11"/>
        <v>5460</v>
      </c>
      <c r="BU40" s="200">
        <f t="shared" si="12"/>
        <v>3510</v>
      </c>
      <c r="BV40" s="200">
        <v>16</v>
      </c>
      <c r="BW40" s="200">
        <v>2</v>
      </c>
      <c r="BX40" s="200">
        <f t="shared" si="13"/>
        <v>0</v>
      </c>
      <c r="CB40" s="381">
        <f>_xlfn.IFNA(VLOOKUP(A40,'Actuals Summer'!$A:$AG,23,FALSE),0)</f>
        <v>11700</v>
      </c>
      <c r="CC40" s="381">
        <f>_xlfn.IFNA(VLOOKUP(A40,'Actuals Summer'!$A:$AG,24,FALSE),0)</f>
        <v>3120</v>
      </c>
      <c r="CD40" s="381">
        <f>_xlfn.IFNA(VLOOKUP(A40,'Actuals Summer'!$A:$AG,25,FALSE),0)</f>
        <v>0</v>
      </c>
      <c r="CE40" s="381">
        <f>_xlfn.IFNA(VLOOKUP(A40,'Actuals Summer'!$A:$AG,26,FALSE),0)</f>
        <v>0</v>
      </c>
      <c r="CF40" s="381">
        <f>_xlfn.IFNA(VLOOKUP(A40,'Actuals Summer'!$A:$AG,27,FALSE),0)</f>
        <v>0</v>
      </c>
      <c r="CG40" s="381">
        <f>_xlfn.IFNA(VLOOKUP(A40,'Actuals Dep Summer'!B:O,6,FALSE)*$BN$3,0)</f>
        <v>195</v>
      </c>
      <c r="CH40" s="381">
        <f>_xlfn.IFNA(VLOOKUP(A40,'Actuals Dep Summer'!B:O,7,FALSE)*$BN$3,0)</f>
        <v>1560</v>
      </c>
      <c r="CI40" s="381">
        <f>_xlfn.IFNA(VLOOKUP(A40,'Actuals Dep Summer'!B:O,8,FALSE)*$BN$3,0)</f>
        <v>3900</v>
      </c>
      <c r="CJ40" s="381">
        <f>_xlfn.IFNA(VLOOKUP(A40,'Actuals Summer'!$A:$AG,31,FALSE),0)*$BN$3</f>
        <v>233.87126352466532</v>
      </c>
      <c r="CK40" s="381"/>
      <c r="CL40" s="381">
        <f>_xlfn.IFNA(VLOOKUP(A40,'Actuals Summer'!$A:$AG,32,FALSE),0)*$BN$3</f>
        <v>45630</v>
      </c>
      <c r="CM40" s="381">
        <f>_xlfn.IFNA(VLOOKUP(A40,'Actuals Summer'!$A:$AG,33,FALSE),0)</f>
        <v>0</v>
      </c>
      <c r="CP40" s="458">
        <f t="shared" si="14"/>
        <v>0</v>
      </c>
      <c r="CQ40" s="458">
        <f t="shared" si="15"/>
        <v>0</v>
      </c>
      <c r="CR40" s="458">
        <f t="shared" si="28"/>
        <v>0</v>
      </c>
      <c r="CS40" s="458">
        <f t="shared" si="16"/>
        <v>66222</v>
      </c>
      <c r="CT40" s="458">
        <f t="shared" si="17"/>
        <v>17659.2</v>
      </c>
      <c r="CU40" s="458">
        <f t="shared" si="18"/>
        <v>118.95</v>
      </c>
      <c r="CV40" s="458">
        <f t="shared" si="19"/>
        <v>508.95</v>
      </c>
      <c r="CW40" s="458">
        <f t="shared" si="20"/>
        <v>436.8</v>
      </c>
      <c r="CX40" s="458">
        <f t="shared" si="21"/>
        <v>3510</v>
      </c>
      <c r="CY40" s="458">
        <f t="shared" si="22"/>
        <v>1193.2631578947367</v>
      </c>
      <c r="CZ40" s="458">
        <f t="shared" si="23"/>
        <v>372.89473684210526</v>
      </c>
      <c r="DA40" s="458">
        <f t="shared" si="24"/>
        <v>0</v>
      </c>
      <c r="DB40" s="458">
        <f t="shared" si="25"/>
        <v>90022.057894736834</v>
      </c>
      <c r="DC40" s="452">
        <f>_xlfn.XLOOKUP($A40,'Actuals Summer'!$A:$A,'Actuals Summer'!L:L,0,0)</f>
        <v>0</v>
      </c>
      <c r="DD40" s="452">
        <f>_xlfn.XLOOKUP($A40,'Actuals Summer'!$A:$A,'Actuals Summer'!K:K,0,0)+_xlfn.XLOOKUP($A40,'Actuals Summer'!$A:$A,'Actuals Summer'!Q:Q,0,0)</f>
        <v>0</v>
      </c>
      <c r="DE40" s="452">
        <f>_xlfn.XLOOKUP($A40,'Actuals Summer'!$A:$A,'Actuals Summer'!I:I,0,0)+_xlfn.XLOOKUP($A40,'Actuals Summer'!$A:$A,'Actuals Summer'!R:R,0,0)</f>
        <v>66222</v>
      </c>
      <c r="DF40" s="452">
        <f>_xlfn.XLOOKUP($A40,'Actuals Summer'!$A:$A,'Actuals Summer'!J:J,0,0)</f>
        <v>17659.2</v>
      </c>
      <c r="DG40" s="452">
        <f>_xlfn.XLOOKUP($A40,'Actuals Dep Summer'!$B:$B,'Actuals Dep Summer'!G:G,0,0)*'Actuals Dep Summer'!$F$2*'Actuals Dep Summer'!$C$2</f>
        <v>118.95</v>
      </c>
      <c r="DH40" s="452">
        <f>_xlfn.XLOOKUP($A40,'Actuals Dep Summer'!$B:$B,'Actuals Dep Summer'!H:H,0,0)*'Actuals Dep Summer'!$F$2*'Actuals Dep Summer'!$C$3</f>
        <v>452.4</v>
      </c>
      <c r="DI40" s="452">
        <f>_xlfn.XLOOKUP($A40,'Actuals Dep Summer'!$B:$B,'Actuals Dep Summer'!I:I,0,0)*'Actuals Dep Summer'!$F$2*'Actuals Dep Summer'!$C$4</f>
        <v>312</v>
      </c>
      <c r="DJ40" s="452">
        <f>_xlfn.XLOOKUP($A40,'Actuals Summer'!$A:$A,'Actuals Summer'!P:P,0,0)</f>
        <v>3510</v>
      </c>
      <c r="DK40" s="452">
        <f>_xlfn.XLOOKUP($A40,'Actuals Summer'!$A:$A,'Actuals Summer'!O:O,0,0)</f>
        <v>1342.421052631579</v>
      </c>
      <c r="DL40" s="452"/>
      <c r="DM40" s="452">
        <f>_xlfn.XLOOKUP($A40,'Actuals Summer'!$A:$A,'Actuals Summer'!M:M,0,0)</f>
        <v>0</v>
      </c>
      <c r="DN40" s="453">
        <f t="shared" si="29"/>
        <v>89616.971052631561</v>
      </c>
      <c r="DO40" s="453">
        <f>_xlfn.XLOOKUP(A40,'Actuals Summer'!A:A,'Actuals Summer'!S:S,0,0)-'Summer data team '!DN40</f>
        <v>0</v>
      </c>
      <c r="DP40" s="463">
        <f t="shared" si="30"/>
        <v>405.08684210527281</v>
      </c>
    </row>
    <row r="41" spans="1:120" ht="13" x14ac:dyDescent="0.3">
      <c r="A41" s="364">
        <v>2021</v>
      </c>
      <c r="B41" s="364">
        <v>3302021</v>
      </c>
      <c r="C41" s="364" t="s">
        <v>846</v>
      </c>
      <c r="D41" s="506">
        <v>0</v>
      </c>
      <c r="E41" s="506">
        <v>0</v>
      </c>
      <c r="F41" s="506">
        <v>0</v>
      </c>
      <c r="G41" s="506">
        <v>12</v>
      </c>
      <c r="H41" s="506">
        <v>14</v>
      </c>
      <c r="I41" s="507">
        <v>0</v>
      </c>
      <c r="J41" s="507">
        <v>26</v>
      </c>
      <c r="K41" s="506">
        <v>0</v>
      </c>
      <c r="L41" s="506">
        <v>0</v>
      </c>
      <c r="M41" s="507">
        <v>0</v>
      </c>
      <c r="N41" s="506">
        <v>0</v>
      </c>
      <c r="O41" s="506">
        <v>0</v>
      </c>
      <c r="P41" s="506">
        <v>180</v>
      </c>
      <c r="Q41" s="506">
        <v>210</v>
      </c>
      <c r="R41" s="507">
        <v>390</v>
      </c>
      <c r="S41" s="506">
        <v>0</v>
      </c>
      <c r="T41" s="506">
        <v>0</v>
      </c>
      <c r="U41" s="506">
        <v>0</v>
      </c>
      <c r="V41" s="506">
        <v>0</v>
      </c>
      <c r="W41" s="507">
        <v>0</v>
      </c>
      <c r="X41" s="506">
        <v>1</v>
      </c>
      <c r="Y41" s="506">
        <v>15</v>
      </c>
      <c r="Z41" s="508">
        <v>0</v>
      </c>
      <c r="AA41" s="506">
        <v>15</v>
      </c>
      <c r="AB41" s="506">
        <v>225</v>
      </c>
      <c r="AC41" s="508">
        <v>0</v>
      </c>
      <c r="AD41" s="506">
        <v>2</v>
      </c>
      <c r="AE41" s="506">
        <v>30</v>
      </c>
      <c r="AF41" s="508">
        <v>0</v>
      </c>
      <c r="AG41" s="509">
        <v>0</v>
      </c>
      <c r="AH41" s="509">
        <v>0</v>
      </c>
      <c r="AI41" s="508">
        <v>0</v>
      </c>
      <c r="AJ41" s="509">
        <v>14</v>
      </c>
      <c r="AK41" s="509">
        <v>210</v>
      </c>
      <c r="AL41" s="508">
        <v>0</v>
      </c>
      <c r="AM41" s="506">
        <v>14</v>
      </c>
      <c r="AN41" s="506">
        <v>210</v>
      </c>
      <c r="AO41" s="508">
        <v>0</v>
      </c>
      <c r="AP41" s="508"/>
      <c r="AQ41" s="508">
        <f t="shared" si="3"/>
        <v>14</v>
      </c>
      <c r="AR41" s="509">
        <v>0</v>
      </c>
      <c r="AS41" s="509">
        <v>0</v>
      </c>
      <c r="AT41" s="508">
        <v>0</v>
      </c>
      <c r="AU41" s="509">
        <v>9</v>
      </c>
      <c r="AV41" s="509">
        <v>135</v>
      </c>
      <c r="AW41" s="508">
        <v>0</v>
      </c>
      <c r="AX41" s="506">
        <v>9</v>
      </c>
      <c r="AY41" s="506">
        <v>135</v>
      </c>
      <c r="AZ41" s="508">
        <v>0</v>
      </c>
      <c r="BA41" s="508"/>
      <c r="BB41" s="508">
        <f t="shared" si="4"/>
        <v>18</v>
      </c>
      <c r="BC41" s="509">
        <v>0</v>
      </c>
      <c r="BD41" s="509">
        <v>0</v>
      </c>
      <c r="BE41" s="506">
        <v>0</v>
      </c>
      <c r="BF41" s="200"/>
      <c r="BG41" s="200"/>
      <c r="BH41" s="200"/>
      <c r="BI41" s="200"/>
      <c r="BJ41" s="200"/>
      <c r="BK41" s="200"/>
      <c r="BL41" s="200"/>
      <c r="BM41" s="505">
        <f t="shared" si="5"/>
        <v>0</v>
      </c>
      <c r="BN41" s="200">
        <f t="shared" si="6"/>
        <v>0</v>
      </c>
      <c r="BO41" s="200">
        <f t="shared" si="27"/>
        <v>0</v>
      </c>
      <c r="BP41" s="200">
        <f t="shared" si="7"/>
        <v>5070</v>
      </c>
      <c r="BQ41" s="200">
        <f t="shared" si="8"/>
        <v>0</v>
      </c>
      <c r="BR41" s="200">
        <f t="shared" si="9"/>
        <v>195</v>
      </c>
      <c r="BS41" s="200">
        <f t="shared" si="10"/>
        <v>2925</v>
      </c>
      <c r="BT41" s="200">
        <f t="shared" si="11"/>
        <v>390</v>
      </c>
      <c r="BU41" s="200">
        <f t="shared" si="12"/>
        <v>2730</v>
      </c>
      <c r="BV41" s="200">
        <v>9</v>
      </c>
      <c r="BW41" s="200">
        <v>0</v>
      </c>
      <c r="BX41" s="200">
        <f t="shared" si="13"/>
        <v>0</v>
      </c>
      <c r="CB41" s="381">
        <f>_xlfn.IFNA(VLOOKUP(A41,'Actuals Summer'!$A:$AG,23,FALSE),0)</f>
        <v>5070</v>
      </c>
      <c r="CC41" s="381">
        <f>_xlfn.IFNA(VLOOKUP(A41,'Actuals Summer'!$A:$AG,24,FALSE),0)</f>
        <v>0</v>
      </c>
      <c r="CD41" s="381">
        <f>_xlfn.IFNA(VLOOKUP(A41,'Actuals Summer'!$A:$AG,25,FALSE),0)</f>
        <v>0</v>
      </c>
      <c r="CE41" s="381">
        <f>_xlfn.IFNA(VLOOKUP(A41,'Actuals Summer'!$A:$AG,26,FALSE),0)</f>
        <v>0</v>
      </c>
      <c r="CF41" s="381">
        <f>_xlfn.IFNA(VLOOKUP(A41,'Actuals Summer'!$A:$AG,27,FALSE),0)</f>
        <v>0</v>
      </c>
      <c r="CG41" s="381">
        <f>_xlfn.IFNA(VLOOKUP(A41,'Actuals Dep Summer'!B:O,6,FALSE)*$BN$3,0)</f>
        <v>195</v>
      </c>
      <c r="CH41" s="381">
        <f>_xlfn.IFNA(VLOOKUP(A41,'Actuals Dep Summer'!B:O,7,FALSE)*$BN$3,0)</f>
        <v>2925</v>
      </c>
      <c r="CI41" s="381">
        <f>_xlfn.IFNA(VLOOKUP(A41,'Actuals Dep Summer'!B:O,8,FALSE)*$BN$3,0)</f>
        <v>390</v>
      </c>
      <c r="CJ41" s="381">
        <f>_xlfn.IFNA(VLOOKUP(A41,'Actuals Summer'!$A:$AG,31,FALSE),0)*$BN$3</f>
        <v>116.93563176233266</v>
      </c>
      <c r="CK41" s="381"/>
      <c r="CL41" s="381">
        <f>_xlfn.IFNA(VLOOKUP(A41,'Actuals Summer'!$A:$AG,32,FALSE),0)*$BN$3</f>
        <v>35490</v>
      </c>
      <c r="CM41" s="381">
        <f>_xlfn.IFNA(VLOOKUP(A41,'Actuals Summer'!$A:$AG,33,FALSE),0)</f>
        <v>0</v>
      </c>
      <c r="CP41" s="458">
        <f t="shared" si="14"/>
        <v>0</v>
      </c>
      <c r="CQ41" s="458">
        <f t="shared" si="15"/>
        <v>0</v>
      </c>
      <c r="CR41" s="458">
        <f t="shared" si="28"/>
        <v>0</v>
      </c>
      <c r="CS41" s="458">
        <f t="shared" si="16"/>
        <v>28696.2</v>
      </c>
      <c r="CT41" s="458">
        <f t="shared" si="17"/>
        <v>0</v>
      </c>
      <c r="CU41" s="458">
        <f t="shared" si="18"/>
        <v>118.95</v>
      </c>
      <c r="CV41" s="458">
        <f t="shared" si="19"/>
        <v>848.24999999999989</v>
      </c>
      <c r="CW41" s="458">
        <f t="shared" si="20"/>
        <v>31.2</v>
      </c>
      <c r="CX41" s="458">
        <f t="shared" si="21"/>
        <v>2730</v>
      </c>
      <c r="CY41" s="458">
        <f t="shared" si="22"/>
        <v>671.21052631578948</v>
      </c>
      <c r="CZ41" s="458">
        <f t="shared" si="23"/>
        <v>0</v>
      </c>
      <c r="DA41" s="458">
        <f t="shared" si="24"/>
        <v>0</v>
      </c>
      <c r="DB41" s="458">
        <f t="shared" si="25"/>
        <v>33095.810526315792</v>
      </c>
      <c r="DC41" s="452">
        <f>_xlfn.XLOOKUP($A41,'Actuals Summer'!$A:$A,'Actuals Summer'!L:L,0,0)</f>
        <v>0</v>
      </c>
      <c r="DD41" s="452">
        <f>_xlfn.XLOOKUP($A41,'Actuals Summer'!$A:$A,'Actuals Summer'!K:K,0,0)+_xlfn.XLOOKUP($A41,'Actuals Summer'!$A:$A,'Actuals Summer'!Q:Q,0,0)</f>
        <v>0</v>
      </c>
      <c r="DE41" s="452">
        <f>_xlfn.XLOOKUP($A41,'Actuals Summer'!$A:$A,'Actuals Summer'!I:I,0,0)+_xlfn.XLOOKUP($A41,'Actuals Summer'!$A:$A,'Actuals Summer'!R:R,0,0)</f>
        <v>28696.2</v>
      </c>
      <c r="DF41" s="452">
        <f>_xlfn.XLOOKUP($A41,'Actuals Summer'!$A:$A,'Actuals Summer'!J:J,0,0)</f>
        <v>0</v>
      </c>
      <c r="DG41" s="452">
        <f>_xlfn.XLOOKUP($A41,'Actuals Dep Summer'!$B:$B,'Actuals Dep Summer'!G:G,0,0)*'Actuals Dep Summer'!$F$2*'Actuals Dep Summer'!$C$2</f>
        <v>118.95</v>
      </c>
      <c r="DH41" s="452">
        <f>_xlfn.XLOOKUP($A41,'Actuals Dep Summer'!$B:$B,'Actuals Dep Summer'!H:H,0,0)*'Actuals Dep Summer'!$F$2*'Actuals Dep Summer'!$C$3</f>
        <v>848.24999999999989</v>
      </c>
      <c r="DI41" s="452">
        <f>_xlfn.XLOOKUP($A41,'Actuals Dep Summer'!$B:$B,'Actuals Dep Summer'!I:I,0,0)*'Actuals Dep Summer'!$F$2*'Actuals Dep Summer'!$C$4</f>
        <v>31.2</v>
      </c>
      <c r="DJ41" s="452">
        <f>_xlfn.XLOOKUP($A41,'Actuals Summer'!$A:$A,'Actuals Summer'!P:P,0,0)</f>
        <v>2730</v>
      </c>
      <c r="DK41" s="452">
        <f>_xlfn.XLOOKUP($A41,'Actuals Summer'!$A:$A,'Actuals Summer'!O:O,0,0)</f>
        <v>671.21052631578948</v>
      </c>
      <c r="DL41" s="452"/>
      <c r="DM41" s="452">
        <f>_xlfn.XLOOKUP($A41,'Actuals Summer'!$A:$A,'Actuals Summer'!M:M,0,0)</f>
        <v>0</v>
      </c>
      <c r="DN41" s="453">
        <f t="shared" si="29"/>
        <v>33095.810526315792</v>
      </c>
      <c r="DO41" s="453">
        <f>_xlfn.XLOOKUP(A41,'Actuals Summer'!A:A,'Actuals Summer'!S:S,0,0)-'Summer data team '!DN41</f>
        <v>0</v>
      </c>
      <c r="DP41" s="463">
        <f t="shared" si="30"/>
        <v>0</v>
      </c>
    </row>
    <row r="42" spans="1:120" ht="13" x14ac:dyDescent="0.3">
      <c r="A42" s="364">
        <v>2030</v>
      </c>
      <c r="B42" s="364">
        <v>3302030</v>
      </c>
      <c r="C42" s="364" t="s">
        <v>44</v>
      </c>
      <c r="D42" s="506">
        <v>0</v>
      </c>
      <c r="E42" s="506">
        <v>0</v>
      </c>
      <c r="F42" s="506">
        <v>0</v>
      </c>
      <c r="G42" s="506">
        <v>26</v>
      </c>
      <c r="H42" s="506">
        <v>26</v>
      </c>
      <c r="I42" s="507">
        <v>0</v>
      </c>
      <c r="J42" s="507">
        <v>52</v>
      </c>
      <c r="K42" s="506">
        <v>0</v>
      </c>
      <c r="L42" s="506">
        <v>0</v>
      </c>
      <c r="M42" s="507">
        <v>0</v>
      </c>
      <c r="N42" s="506">
        <v>0</v>
      </c>
      <c r="O42" s="506">
        <v>0</v>
      </c>
      <c r="P42" s="506">
        <v>390</v>
      </c>
      <c r="Q42" s="506">
        <v>390</v>
      </c>
      <c r="R42" s="507">
        <v>780</v>
      </c>
      <c r="S42" s="506">
        <v>0</v>
      </c>
      <c r="T42" s="506">
        <v>0</v>
      </c>
      <c r="U42" s="506">
        <v>0</v>
      </c>
      <c r="V42" s="506">
        <v>0</v>
      </c>
      <c r="W42" s="507">
        <v>0</v>
      </c>
      <c r="X42" s="506">
        <v>2</v>
      </c>
      <c r="Y42" s="506">
        <v>30</v>
      </c>
      <c r="Z42" s="508">
        <v>0</v>
      </c>
      <c r="AA42" s="506">
        <v>2</v>
      </c>
      <c r="AB42" s="506">
        <v>30</v>
      </c>
      <c r="AC42" s="508">
        <v>0</v>
      </c>
      <c r="AD42" s="506">
        <v>37</v>
      </c>
      <c r="AE42" s="506">
        <v>555</v>
      </c>
      <c r="AF42" s="508">
        <v>0</v>
      </c>
      <c r="AG42" s="509">
        <v>0</v>
      </c>
      <c r="AH42" s="509">
        <v>0</v>
      </c>
      <c r="AI42" s="508">
        <v>0</v>
      </c>
      <c r="AJ42" s="509">
        <v>23</v>
      </c>
      <c r="AK42" s="509">
        <v>345</v>
      </c>
      <c r="AL42" s="508">
        <v>0</v>
      </c>
      <c r="AM42" s="506">
        <v>23</v>
      </c>
      <c r="AN42" s="506">
        <v>345</v>
      </c>
      <c r="AO42" s="508">
        <v>0</v>
      </c>
      <c r="AP42" s="508"/>
      <c r="AQ42" s="508">
        <f t="shared" si="3"/>
        <v>23</v>
      </c>
      <c r="AR42" s="509">
        <v>0</v>
      </c>
      <c r="AS42" s="509">
        <v>0</v>
      </c>
      <c r="AT42" s="508">
        <v>0</v>
      </c>
      <c r="AU42" s="509">
        <v>0</v>
      </c>
      <c r="AV42" s="509">
        <v>0</v>
      </c>
      <c r="AW42" s="508">
        <v>0</v>
      </c>
      <c r="AX42" s="506">
        <v>0</v>
      </c>
      <c r="AY42" s="506">
        <v>0</v>
      </c>
      <c r="AZ42" s="508">
        <v>0</v>
      </c>
      <c r="BA42" s="508"/>
      <c r="BB42" s="508">
        <f t="shared" si="4"/>
        <v>0</v>
      </c>
      <c r="BC42" s="509">
        <v>0</v>
      </c>
      <c r="BD42" s="509">
        <v>0</v>
      </c>
      <c r="BE42" s="506">
        <v>0</v>
      </c>
      <c r="BF42" s="200"/>
      <c r="BG42" s="200"/>
      <c r="BH42" s="200"/>
      <c r="BI42" s="200"/>
      <c r="BJ42" s="200"/>
      <c r="BK42" s="200"/>
      <c r="BL42" s="200"/>
      <c r="BM42" s="505">
        <f t="shared" si="5"/>
        <v>0</v>
      </c>
      <c r="BN42" s="200">
        <f t="shared" si="6"/>
        <v>0</v>
      </c>
      <c r="BO42" s="200">
        <f t="shared" si="27"/>
        <v>0</v>
      </c>
      <c r="BP42" s="200">
        <f t="shared" si="7"/>
        <v>10140</v>
      </c>
      <c r="BQ42" s="200">
        <f t="shared" si="8"/>
        <v>0</v>
      </c>
      <c r="BR42" s="200">
        <f t="shared" si="9"/>
        <v>390</v>
      </c>
      <c r="BS42" s="200">
        <f t="shared" si="10"/>
        <v>390</v>
      </c>
      <c r="BT42" s="200">
        <f t="shared" si="11"/>
        <v>7215</v>
      </c>
      <c r="BU42" s="200">
        <f t="shared" si="12"/>
        <v>4485</v>
      </c>
      <c r="BV42" s="200">
        <v>0</v>
      </c>
      <c r="BW42" s="200">
        <v>0</v>
      </c>
      <c r="BX42" s="200">
        <f t="shared" si="13"/>
        <v>0</v>
      </c>
      <c r="CB42" s="381">
        <f>_xlfn.IFNA(VLOOKUP(A42,'Actuals Summer'!$A:$AG,23,FALSE),0)</f>
        <v>10140</v>
      </c>
      <c r="CC42" s="381">
        <f>_xlfn.IFNA(VLOOKUP(A42,'Actuals Summer'!$A:$AG,24,FALSE),0)</f>
        <v>0</v>
      </c>
      <c r="CD42" s="381">
        <f>_xlfn.IFNA(VLOOKUP(A42,'Actuals Summer'!$A:$AG,25,FALSE),0)</f>
        <v>0</v>
      </c>
      <c r="CE42" s="381">
        <f>_xlfn.IFNA(VLOOKUP(A42,'Actuals Summer'!$A:$AG,26,FALSE),0)</f>
        <v>0</v>
      </c>
      <c r="CF42" s="381">
        <f>_xlfn.IFNA(VLOOKUP(A42,'Actuals Summer'!$A:$AG,27,FALSE),0)</f>
        <v>0</v>
      </c>
      <c r="CG42" s="381">
        <f>_xlfn.IFNA(VLOOKUP(A42,'Actuals Dep Summer'!B:O,6,FALSE)*$BN$3,0)</f>
        <v>390</v>
      </c>
      <c r="CH42" s="381">
        <f>_xlfn.IFNA(VLOOKUP(A42,'Actuals Dep Summer'!B:O,7,FALSE)*$BN$3,0)</f>
        <v>390</v>
      </c>
      <c r="CI42" s="381">
        <f>_xlfn.IFNA(VLOOKUP(A42,'Actuals Dep Summer'!B:O,8,FALSE)*$BN$3,0)</f>
        <v>7215</v>
      </c>
      <c r="CJ42" s="381">
        <f>_xlfn.IFNA(VLOOKUP(A42,'Actuals Summer'!$A:$AG,31,FALSE),0)*$BN$3</f>
        <v>0</v>
      </c>
      <c r="CK42" s="381"/>
      <c r="CL42" s="381">
        <f>_xlfn.IFNA(VLOOKUP(A42,'Actuals Summer'!$A:$AG,32,FALSE),0)*$BN$3</f>
        <v>58305</v>
      </c>
      <c r="CM42" s="381">
        <f>_xlfn.IFNA(VLOOKUP(A42,'Actuals Summer'!$A:$AG,33,FALSE),0)</f>
        <v>0</v>
      </c>
      <c r="CP42" s="458">
        <f t="shared" si="14"/>
        <v>0</v>
      </c>
      <c r="CQ42" s="458">
        <f t="shared" si="15"/>
        <v>0</v>
      </c>
      <c r="CR42" s="458">
        <f t="shared" si="28"/>
        <v>0</v>
      </c>
      <c r="CS42" s="458">
        <f t="shared" si="16"/>
        <v>57392.4</v>
      </c>
      <c r="CT42" s="458">
        <f t="shared" si="17"/>
        <v>0</v>
      </c>
      <c r="CU42" s="458">
        <f t="shared" si="18"/>
        <v>237.9</v>
      </c>
      <c r="CV42" s="458">
        <f t="shared" si="19"/>
        <v>113.1</v>
      </c>
      <c r="CW42" s="458">
        <f t="shared" si="20"/>
        <v>577.20000000000005</v>
      </c>
      <c r="CX42" s="458">
        <f t="shared" si="21"/>
        <v>4485</v>
      </c>
      <c r="CY42" s="458">
        <f t="shared" si="22"/>
        <v>0</v>
      </c>
      <c r="CZ42" s="458">
        <f t="shared" si="23"/>
        <v>0</v>
      </c>
      <c r="DA42" s="458">
        <f t="shared" si="24"/>
        <v>0</v>
      </c>
      <c r="DB42" s="458">
        <f t="shared" si="25"/>
        <v>62805.599999999999</v>
      </c>
      <c r="DC42" s="452">
        <f>_xlfn.XLOOKUP($A42,'Actuals Summer'!$A:$A,'Actuals Summer'!L:L,0,0)</f>
        <v>0</v>
      </c>
      <c r="DD42" s="452">
        <f>_xlfn.XLOOKUP($A42,'Actuals Summer'!$A:$A,'Actuals Summer'!K:K,0,0)+_xlfn.XLOOKUP($A42,'Actuals Summer'!$A:$A,'Actuals Summer'!Q:Q,0,0)</f>
        <v>0</v>
      </c>
      <c r="DE42" s="452">
        <f>_xlfn.XLOOKUP($A42,'Actuals Summer'!$A:$A,'Actuals Summer'!I:I,0,0)+_xlfn.XLOOKUP($A42,'Actuals Summer'!$A:$A,'Actuals Summer'!R:R,0,0)</f>
        <v>57392.4</v>
      </c>
      <c r="DF42" s="452">
        <f>_xlfn.XLOOKUP($A42,'Actuals Summer'!$A:$A,'Actuals Summer'!J:J,0,0)</f>
        <v>0</v>
      </c>
      <c r="DG42" s="452">
        <f>_xlfn.XLOOKUP($A42,'Actuals Dep Summer'!$B:$B,'Actuals Dep Summer'!G:G,0,0)*'Actuals Dep Summer'!$F$2*'Actuals Dep Summer'!$C$2</f>
        <v>237.9</v>
      </c>
      <c r="DH42" s="452">
        <f>_xlfn.XLOOKUP($A42,'Actuals Dep Summer'!$B:$B,'Actuals Dep Summer'!H:H,0,0)*'Actuals Dep Summer'!$F$2*'Actuals Dep Summer'!$C$3</f>
        <v>113.1</v>
      </c>
      <c r="DI42" s="452">
        <f>_xlfn.XLOOKUP($A42,'Actuals Dep Summer'!$B:$B,'Actuals Dep Summer'!I:I,0,0)*'Actuals Dep Summer'!$F$2*'Actuals Dep Summer'!$C$4</f>
        <v>577.20000000000005</v>
      </c>
      <c r="DJ42" s="452">
        <f>_xlfn.XLOOKUP($A42,'Actuals Summer'!$A:$A,'Actuals Summer'!P:P,0,0)</f>
        <v>4485</v>
      </c>
      <c r="DK42" s="452">
        <f>_xlfn.XLOOKUP($A42,'Actuals Summer'!$A:$A,'Actuals Summer'!O:O,0,0)</f>
        <v>0</v>
      </c>
      <c r="DL42" s="452"/>
      <c r="DM42" s="452">
        <f>_xlfn.XLOOKUP($A42,'Actuals Summer'!$A:$A,'Actuals Summer'!M:M,0,0)</f>
        <v>0</v>
      </c>
      <c r="DN42" s="453">
        <f t="shared" si="29"/>
        <v>62805.599999999999</v>
      </c>
      <c r="DO42" s="453">
        <f>_xlfn.XLOOKUP(A42,'Actuals Summer'!A:A,'Actuals Summer'!S:S,0,0)-'Summer data team '!DN42</f>
        <v>0</v>
      </c>
      <c r="DP42" s="463">
        <f t="shared" si="30"/>
        <v>0</v>
      </c>
    </row>
    <row r="43" spans="1:120" ht="13" x14ac:dyDescent="0.3">
      <c r="A43" s="364">
        <v>2036</v>
      </c>
      <c r="B43" s="364">
        <v>3302036</v>
      </c>
      <c r="C43" s="364" t="s">
        <v>847</v>
      </c>
      <c r="D43" s="506">
        <v>0</v>
      </c>
      <c r="E43" s="506">
        <v>0</v>
      </c>
      <c r="F43" s="506">
        <v>0</v>
      </c>
      <c r="G43" s="506">
        <v>18</v>
      </c>
      <c r="H43" s="506">
        <v>8</v>
      </c>
      <c r="I43" s="507">
        <v>0</v>
      </c>
      <c r="J43" s="507">
        <v>26</v>
      </c>
      <c r="K43" s="506">
        <v>0</v>
      </c>
      <c r="L43" s="506">
        <v>0</v>
      </c>
      <c r="M43" s="507">
        <v>0</v>
      </c>
      <c r="N43" s="506">
        <v>0</v>
      </c>
      <c r="O43" s="506">
        <v>0</v>
      </c>
      <c r="P43" s="506">
        <v>270</v>
      </c>
      <c r="Q43" s="506">
        <v>120</v>
      </c>
      <c r="R43" s="507">
        <v>390</v>
      </c>
      <c r="S43" s="506">
        <v>0</v>
      </c>
      <c r="T43" s="506">
        <v>0</v>
      </c>
      <c r="U43" s="506">
        <v>0</v>
      </c>
      <c r="V43" s="506">
        <v>0</v>
      </c>
      <c r="W43" s="507">
        <v>0</v>
      </c>
      <c r="X43" s="506">
        <v>2</v>
      </c>
      <c r="Y43" s="506">
        <v>30</v>
      </c>
      <c r="Z43" s="508">
        <v>0</v>
      </c>
      <c r="AA43" s="506">
        <v>14</v>
      </c>
      <c r="AB43" s="506">
        <v>210</v>
      </c>
      <c r="AC43" s="508">
        <v>0</v>
      </c>
      <c r="AD43" s="506">
        <v>5</v>
      </c>
      <c r="AE43" s="506">
        <v>75</v>
      </c>
      <c r="AF43" s="508">
        <v>0</v>
      </c>
      <c r="AG43" s="509">
        <v>0</v>
      </c>
      <c r="AH43" s="509">
        <v>0</v>
      </c>
      <c r="AI43" s="508">
        <v>0</v>
      </c>
      <c r="AJ43" s="509">
        <v>6</v>
      </c>
      <c r="AK43" s="509">
        <v>90</v>
      </c>
      <c r="AL43" s="508">
        <v>0</v>
      </c>
      <c r="AM43" s="506">
        <v>6</v>
      </c>
      <c r="AN43" s="506">
        <v>90</v>
      </c>
      <c r="AO43" s="508">
        <v>0</v>
      </c>
      <c r="AP43" s="508"/>
      <c r="AQ43" s="508">
        <f t="shared" si="3"/>
        <v>6</v>
      </c>
      <c r="AR43" s="509">
        <v>0</v>
      </c>
      <c r="AS43" s="509">
        <v>0</v>
      </c>
      <c r="AT43" s="508">
        <v>0</v>
      </c>
      <c r="AU43" s="509">
        <v>4</v>
      </c>
      <c r="AV43" s="509">
        <v>60</v>
      </c>
      <c r="AW43" s="508">
        <v>0</v>
      </c>
      <c r="AX43" s="506">
        <v>4</v>
      </c>
      <c r="AY43" s="506">
        <v>60</v>
      </c>
      <c r="AZ43" s="508">
        <v>0</v>
      </c>
      <c r="BA43" s="508"/>
      <c r="BB43" s="508">
        <f t="shared" si="4"/>
        <v>8</v>
      </c>
      <c r="BC43" s="509">
        <v>0</v>
      </c>
      <c r="BD43" s="509">
        <v>0</v>
      </c>
      <c r="BE43" s="506">
        <v>0</v>
      </c>
      <c r="BF43" s="200"/>
      <c r="BG43" s="200"/>
      <c r="BH43" s="200"/>
      <c r="BI43" s="200"/>
      <c r="BJ43" s="200"/>
      <c r="BK43" s="200"/>
      <c r="BL43" s="200"/>
      <c r="BM43" s="505">
        <f t="shared" si="5"/>
        <v>0</v>
      </c>
      <c r="BN43" s="200">
        <f t="shared" si="6"/>
        <v>0</v>
      </c>
      <c r="BO43" s="200">
        <f t="shared" si="27"/>
        <v>0</v>
      </c>
      <c r="BP43" s="200">
        <f t="shared" si="7"/>
        <v>5070</v>
      </c>
      <c r="BQ43" s="200">
        <f t="shared" si="8"/>
        <v>0</v>
      </c>
      <c r="BR43" s="200">
        <f t="shared" si="9"/>
        <v>390</v>
      </c>
      <c r="BS43" s="200">
        <f t="shared" si="10"/>
        <v>2730</v>
      </c>
      <c r="BT43" s="200">
        <f t="shared" si="11"/>
        <v>975</v>
      </c>
      <c r="BU43" s="200">
        <f t="shared" si="12"/>
        <v>1170</v>
      </c>
      <c r="BV43" s="200">
        <v>4</v>
      </c>
      <c r="BW43" s="200">
        <v>0</v>
      </c>
      <c r="BX43" s="200">
        <f t="shared" si="13"/>
        <v>0</v>
      </c>
      <c r="CB43" s="381">
        <f>_xlfn.IFNA(VLOOKUP(A43,'Actuals Summer'!$A:$AG,23,FALSE),0)</f>
        <v>5070</v>
      </c>
      <c r="CC43" s="381">
        <f>_xlfn.IFNA(VLOOKUP(A43,'Actuals Summer'!$A:$AG,24,FALSE),0)</f>
        <v>0</v>
      </c>
      <c r="CD43" s="381">
        <f>_xlfn.IFNA(VLOOKUP(A43,'Actuals Summer'!$A:$AG,25,FALSE),0)</f>
        <v>0</v>
      </c>
      <c r="CE43" s="381">
        <f>_xlfn.IFNA(VLOOKUP(A43,'Actuals Summer'!$A:$AG,26,FALSE),0)</f>
        <v>0</v>
      </c>
      <c r="CF43" s="381">
        <f>_xlfn.IFNA(VLOOKUP(A43,'Actuals Summer'!$A:$AG,27,FALSE),0)</f>
        <v>0</v>
      </c>
      <c r="CG43" s="381">
        <f>_xlfn.IFNA(VLOOKUP(A43,'Actuals Dep Summer'!B:O,6,FALSE)*$BN$3,0)</f>
        <v>390</v>
      </c>
      <c r="CH43" s="381">
        <f>_xlfn.IFNA(VLOOKUP(A43,'Actuals Dep Summer'!B:O,7,FALSE)*$BN$3,0)</f>
        <v>2730</v>
      </c>
      <c r="CI43" s="381">
        <f>_xlfn.IFNA(VLOOKUP(A43,'Actuals Dep Summer'!B:O,8,FALSE)*$BN$3,0)</f>
        <v>975</v>
      </c>
      <c r="CJ43" s="381">
        <f>_xlfn.IFNA(VLOOKUP(A43,'Actuals Summer'!$A:$AG,31,FALSE),0)*$BN$3</f>
        <v>51.971391894370072</v>
      </c>
      <c r="CK43" s="381"/>
      <c r="CL43" s="381">
        <f>_xlfn.IFNA(VLOOKUP(A43,'Actuals Summer'!$A:$AG,32,FALSE),0)*$BN$3</f>
        <v>15210</v>
      </c>
      <c r="CM43" s="381">
        <f>_xlfn.IFNA(VLOOKUP(A43,'Actuals Summer'!$A:$AG,33,FALSE),0)</f>
        <v>0</v>
      </c>
      <c r="CP43" s="458">
        <f t="shared" si="14"/>
        <v>0</v>
      </c>
      <c r="CQ43" s="458">
        <f t="shared" si="15"/>
        <v>0</v>
      </c>
      <c r="CR43" s="458">
        <f t="shared" si="28"/>
        <v>0</v>
      </c>
      <c r="CS43" s="458">
        <f t="shared" si="16"/>
        <v>28696.2</v>
      </c>
      <c r="CT43" s="458">
        <f t="shared" si="17"/>
        <v>0</v>
      </c>
      <c r="CU43" s="458">
        <f t="shared" si="18"/>
        <v>237.9</v>
      </c>
      <c r="CV43" s="458">
        <f t="shared" si="19"/>
        <v>791.69999999999993</v>
      </c>
      <c r="CW43" s="458">
        <f t="shared" si="20"/>
        <v>78</v>
      </c>
      <c r="CX43" s="458">
        <f t="shared" si="21"/>
        <v>1170</v>
      </c>
      <c r="CY43" s="458">
        <f t="shared" si="22"/>
        <v>298.31578947368416</v>
      </c>
      <c r="CZ43" s="458">
        <f t="shared" si="23"/>
        <v>0</v>
      </c>
      <c r="DA43" s="458">
        <f t="shared" si="24"/>
        <v>0</v>
      </c>
      <c r="DB43" s="458">
        <f t="shared" si="25"/>
        <v>31272.115789473686</v>
      </c>
      <c r="DC43" s="452">
        <f>_xlfn.XLOOKUP($A43,'Actuals Summer'!$A:$A,'Actuals Summer'!L:L,0,0)</f>
        <v>0</v>
      </c>
      <c r="DD43" s="452">
        <f>_xlfn.XLOOKUP($A43,'Actuals Summer'!$A:$A,'Actuals Summer'!K:K,0,0)+_xlfn.XLOOKUP($A43,'Actuals Summer'!$A:$A,'Actuals Summer'!Q:Q,0,0)</f>
        <v>0</v>
      </c>
      <c r="DE43" s="452">
        <f>_xlfn.XLOOKUP($A43,'Actuals Summer'!$A:$A,'Actuals Summer'!I:I,0,0)+_xlfn.XLOOKUP($A43,'Actuals Summer'!$A:$A,'Actuals Summer'!R:R,0,0)</f>
        <v>28696.2</v>
      </c>
      <c r="DF43" s="452">
        <f>_xlfn.XLOOKUP($A43,'Actuals Summer'!$A:$A,'Actuals Summer'!J:J,0,0)</f>
        <v>0</v>
      </c>
      <c r="DG43" s="452">
        <f>_xlfn.XLOOKUP($A43,'Actuals Dep Summer'!$B:$B,'Actuals Dep Summer'!G:G,0,0)*'Actuals Dep Summer'!$F$2*'Actuals Dep Summer'!$C$2</f>
        <v>237.9</v>
      </c>
      <c r="DH43" s="452">
        <f>_xlfn.XLOOKUP($A43,'Actuals Dep Summer'!$B:$B,'Actuals Dep Summer'!H:H,0,0)*'Actuals Dep Summer'!$F$2*'Actuals Dep Summer'!$C$3</f>
        <v>791.69999999999993</v>
      </c>
      <c r="DI43" s="452">
        <f>_xlfn.XLOOKUP($A43,'Actuals Dep Summer'!$B:$B,'Actuals Dep Summer'!I:I,0,0)*'Actuals Dep Summer'!$F$2*'Actuals Dep Summer'!$C$4</f>
        <v>78</v>
      </c>
      <c r="DJ43" s="452">
        <f>_xlfn.XLOOKUP($A43,'Actuals Summer'!$A:$A,'Actuals Summer'!P:P,0,0)</f>
        <v>1170</v>
      </c>
      <c r="DK43" s="452">
        <f>_xlfn.XLOOKUP($A43,'Actuals Summer'!$A:$A,'Actuals Summer'!O:O,0,0)</f>
        <v>298.31578947368422</v>
      </c>
      <c r="DL43" s="452"/>
      <c r="DM43" s="452">
        <f>_xlfn.XLOOKUP($A43,'Actuals Summer'!$A:$A,'Actuals Summer'!M:M,0,0)</f>
        <v>0</v>
      </c>
      <c r="DN43" s="453">
        <f t="shared" si="29"/>
        <v>31272.115789473686</v>
      </c>
      <c r="DO43" s="453">
        <f>_xlfn.XLOOKUP(A43,'Actuals Summer'!A:A,'Actuals Summer'!S:S,0,0)-'Summer data team '!DN43</f>
        <v>0</v>
      </c>
      <c r="DP43" s="463">
        <f t="shared" si="30"/>
        <v>0</v>
      </c>
    </row>
    <row r="44" spans="1:120" ht="13" x14ac:dyDescent="0.3">
      <c r="A44" s="364">
        <v>2037</v>
      </c>
      <c r="B44" s="364">
        <v>3302037</v>
      </c>
      <c r="C44" s="364" t="s">
        <v>258</v>
      </c>
      <c r="D44" s="506">
        <v>0</v>
      </c>
      <c r="E44" s="506">
        <v>0</v>
      </c>
      <c r="F44" s="506">
        <v>0</v>
      </c>
      <c r="G44" s="506">
        <v>14</v>
      </c>
      <c r="H44" s="506">
        <v>18</v>
      </c>
      <c r="I44" s="507">
        <v>0</v>
      </c>
      <c r="J44" s="507">
        <v>32</v>
      </c>
      <c r="K44" s="506">
        <v>3</v>
      </c>
      <c r="L44" s="506">
        <v>5</v>
      </c>
      <c r="M44" s="507">
        <v>8</v>
      </c>
      <c r="N44" s="506">
        <v>0</v>
      </c>
      <c r="O44" s="506">
        <v>0</v>
      </c>
      <c r="P44" s="506">
        <v>210</v>
      </c>
      <c r="Q44" s="506">
        <v>270</v>
      </c>
      <c r="R44" s="507">
        <v>480</v>
      </c>
      <c r="S44" s="506">
        <v>0</v>
      </c>
      <c r="T44" s="506">
        <v>0</v>
      </c>
      <c r="U44" s="506">
        <v>45</v>
      </c>
      <c r="V44" s="506">
        <v>75</v>
      </c>
      <c r="W44" s="507">
        <v>120</v>
      </c>
      <c r="X44" s="506">
        <v>0</v>
      </c>
      <c r="Y44" s="506">
        <v>0</v>
      </c>
      <c r="Z44" s="508">
        <v>0</v>
      </c>
      <c r="AA44" s="506">
        <v>5</v>
      </c>
      <c r="AB44" s="506">
        <v>75</v>
      </c>
      <c r="AC44" s="508">
        <v>15</v>
      </c>
      <c r="AD44" s="506">
        <v>10</v>
      </c>
      <c r="AE44" s="506">
        <v>150</v>
      </c>
      <c r="AF44" s="508">
        <v>30</v>
      </c>
      <c r="AG44" s="509">
        <v>0</v>
      </c>
      <c r="AH44" s="509">
        <v>0</v>
      </c>
      <c r="AI44" s="508">
        <v>0</v>
      </c>
      <c r="AJ44" s="509">
        <v>7</v>
      </c>
      <c r="AK44" s="509">
        <v>105</v>
      </c>
      <c r="AL44" s="508">
        <v>15</v>
      </c>
      <c r="AM44" s="506">
        <v>7</v>
      </c>
      <c r="AN44" s="506">
        <v>105</v>
      </c>
      <c r="AO44" s="508">
        <v>15</v>
      </c>
      <c r="AP44" s="508"/>
      <c r="AQ44" s="508">
        <f t="shared" si="3"/>
        <v>7</v>
      </c>
      <c r="AR44" s="509">
        <v>0</v>
      </c>
      <c r="AS44" s="509">
        <v>0</v>
      </c>
      <c r="AT44" s="508">
        <v>0</v>
      </c>
      <c r="AU44" s="509">
        <v>1</v>
      </c>
      <c r="AV44" s="509">
        <v>15</v>
      </c>
      <c r="AW44" s="508">
        <v>15</v>
      </c>
      <c r="AX44" s="506">
        <v>1</v>
      </c>
      <c r="AY44" s="506">
        <v>15</v>
      </c>
      <c r="AZ44" s="508">
        <v>15</v>
      </c>
      <c r="BA44" s="508"/>
      <c r="BB44" s="508">
        <f t="shared" si="4"/>
        <v>2</v>
      </c>
      <c r="BC44" s="509">
        <v>0</v>
      </c>
      <c r="BD44" s="509">
        <v>0</v>
      </c>
      <c r="BE44" s="506">
        <v>0</v>
      </c>
      <c r="BF44" s="200"/>
      <c r="BG44" s="200"/>
      <c r="BH44" s="200"/>
      <c r="BI44" s="200"/>
      <c r="BJ44" s="200"/>
      <c r="BK44" s="200"/>
      <c r="BL44" s="200"/>
      <c r="BM44" s="505">
        <f t="shared" si="5"/>
        <v>0</v>
      </c>
      <c r="BN44" s="200">
        <f t="shared" si="6"/>
        <v>0</v>
      </c>
      <c r="BO44" s="200">
        <f t="shared" si="27"/>
        <v>0</v>
      </c>
      <c r="BP44" s="200">
        <f t="shared" si="7"/>
        <v>6240</v>
      </c>
      <c r="BQ44" s="200">
        <f t="shared" si="8"/>
        <v>1560</v>
      </c>
      <c r="BR44" s="200">
        <f t="shared" si="9"/>
        <v>0</v>
      </c>
      <c r="BS44" s="200">
        <f t="shared" si="10"/>
        <v>1170</v>
      </c>
      <c r="BT44" s="200">
        <f t="shared" si="11"/>
        <v>2340</v>
      </c>
      <c r="BU44" s="200">
        <f t="shared" si="12"/>
        <v>1365</v>
      </c>
      <c r="BV44" s="200">
        <v>0</v>
      </c>
      <c r="BW44" s="200">
        <v>1</v>
      </c>
      <c r="BX44" s="200">
        <f t="shared" si="13"/>
        <v>0</v>
      </c>
      <c r="CB44" s="381">
        <f>_xlfn.IFNA(VLOOKUP(A44,'Actuals Summer'!$A:$AG,23,FALSE),0)</f>
        <v>6240</v>
      </c>
      <c r="CC44" s="381">
        <f>_xlfn.IFNA(VLOOKUP(A44,'Actuals Summer'!$A:$AG,24,FALSE),0)</f>
        <v>1560</v>
      </c>
      <c r="CD44" s="381">
        <f>_xlfn.IFNA(VLOOKUP(A44,'Actuals Summer'!$A:$AG,25,FALSE),0)</f>
        <v>0</v>
      </c>
      <c r="CE44" s="381">
        <f>_xlfn.IFNA(VLOOKUP(A44,'Actuals Summer'!$A:$AG,26,FALSE),0)</f>
        <v>0</v>
      </c>
      <c r="CF44" s="381">
        <f>_xlfn.IFNA(VLOOKUP(A44,'Actuals Summer'!$A:$AG,27,FALSE),0)</f>
        <v>0</v>
      </c>
      <c r="CG44" s="381">
        <f>_xlfn.IFNA(VLOOKUP(A44,'Actuals Dep Summer'!B:O,6,FALSE)*$BN$3,0)</f>
        <v>0</v>
      </c>
      <c r="CH44" s="381">
        <f>_xlfn.IFNA(VLOOKUP(A44,'Actuals Dep Summer'!B:O,7,FALSE)*$BN$3,0)</f>
        <v>975</v>
      </c>
      <c r="CI44" s="381">
        <f>_xlfn.IFNA(VLOOKUP(A44,'Actuals Dep Summer'!B:O,8,FALSE)*$BN$3,0)</f>
        <v>1950</v>
      </c>
      <c r="CJ44" s="381">
        <f>_xlfn.IFNA(VLOOKUP(A44,'Actuals Summer'!$A:$AG,31,FALSE),0)*$BN$3</f>
        <v>12.992847973592518</v>
      </c>
      <c r="CK44" s="381"/>
      <c r="CL44" s="381">
        <f>_xlfn.IFNA(VLOOKUP(A44,'Actuals Summer'!$A:$AG,32,FALSE),0)*$BN$3</f>
        <v>17745</v>
      </c>
      <c r="CM44" s="381">
        <f>_xlfn.IFNA(VLOOKUP(A44,'Actuals Summer'!$A:$AG,33,FALSE),0)</f>
        <v>0</v>
      </c>
      <c r="CP44" s="458">
        <f t="shared" si="14"/>
        <v>0</v>
      </c>
      <c r="CQ44" s="458">
        <f t="shared" si="15"/>
        <v>0</v>
      </c>
      <c r="CR44" s="458">
        <f t="shared" si="28"/>
        <v>0</v>
      </c>
      <c r="CS44" s="458">
        <f t="shared" si="16"/>
        <v>35318.400000000001</v>
      </c>
      <c r="CT44" s="458">
        <f t="shared" si="17"/>
        <v>8829.6</v>
      </c>
      <c r="CU44" s="458">
        <f t="shared" si="18"/>
        <v>0</v>
      </c>
      <c r="CV44" s="458">
        <f t="shared" si="19"/>
        <v>339.29999999999995</v>
      </c>
      <c r="CW44" s="458">
        <f t="shared" si="20"/>
        <v>187.20000000000002</v>
      </c>
      <c r="CX44" s="458">
        <f t="shared" si="21"/>
        <v>1365</v>
      </c>
      <c r="CY44" s="458">
        <f t="shared" si="22"/>
        <v>0</v>
      </c>
      <c r="CZ44" s="458">
        <f t="shared" si="23"/>
        <v>186.44736842105263</v>
      </c>
      <c r="DA44" s="458">
        <f t="shared" si="24"/>
        <v>0</v>
      </c>
      <c r="DB44" s="458">
        <f t="shared" si="25"/>
        <v>46225.947368421053</v>
      </c>
      <c r="DC44" s="452">
        <f>_xlfn.XLOOKUP($A44,'Actuals Summer'!$A:$A,'Actuals Summer'!L:L,0,0)</f>
        <v>0</v>
      </c>
      <c r="DD44" s="452">
        <f>_xlfn.XLOOKUP($A44,'Actuals Summer'!$A:$A,'Actuals Summer'!K:K,0,0)+_xlfn.XLOOKUP($A44,'Actuals Summer'!$A:$A,'Actuals Summer'!Q:Q,0,0)</f>
        <v>0</v>
      </c>
      <c r="DE44" s="452">
        <f>_xlfn.XLOOKUP($A44,'Actuals Summer'!$A:$A,'Actuals Summer'!I:I,0,0)+_xlfn.XLOOKUP($A44,'Actuals Summer'!$A:$A,'Actuals Summer'!R:R,0,0)</f>
        <v>35318.400000000001</v>
      </c>
      <c r="DF44" s="452">
        <f>_xlfn.XLOOKUP($A44,'Actuals Summer'!$A:$A,'Actuals Summer'!J:J,0,0)</f>
        <v>8829.6</v>
      </c>
      <c r="DG44" s="452">
        <f>_xlfn.XLOOKUP($A44,'Actuals Dep Summer'!$B:$B,'Actuals Dep Summer'!G:G,0,0)*'Actuals Dep Summer'!$F$2*'Actuals Dep Summer'!$C$2</f>
        <v>0</v>
      </c>
      <c r="DH44" s="452">
        <f>_xlfn.XLOOKUP($A44,'Actuals Dep Summer'!$B:$B,'Actuals Dep Summer'!H:H,0,0)*'Actuals Dep Summer'!$F$2*'Actuals Dep Summer'!$C$3</f>
        <v>282.75</v>
      </c>
      <c r="DI44" s="452">
        <f>_xlfn.XLOOKUP($A44,'Actuals Dep Summer'!$B:$B,'Actuals Dep Summer'!I:I,0,0)*'Actuals Dep Summer'!$F$2*'Actuals Dep Summer'!$C$4</f>
        <v>156</v>
      </c>
      <c r="DJ44" s="452">
        <f>_xlfn.XLOOKUP($A44,'Actuals Summer'!$A:$A,'Actuals Summer'!P:P,0,0)</f>
        <v>1365</v>
      </c>
      <c r="DK44" s="452">
        <f>_xlfn.XLOOKUP($A44,'Actuals Summer'!$A:$A,'Actuals Summer'!O:O,0,0)</f>
        <v>74.578947368421055</v>
      </c>
      <c r="DL44" s="452"/>
      <c r="DM44" s="452">
        <f>_xlfn.XLOOKUP($A44,'Actuals Summer'!$A:$A,'Actuals Summer'!M:M,0,0)</f>
        <v>0</v>
      </c>
      <c r="DN44" s="453">
        <f t="shared" si="29"/>
        <v>46026.32894736842</v>
      </c>
      <c r="DO44" s="453">
        <f>_xlfn.XLOOKUP(A44,'Actuals Summer'!A:A,'Actuals Summer'!S:S,0,0)-'Summer data team '!DN44</f>
        <v>0</v>
      </c>
      <c r="DP44" s="463">
        <f t="shared" si="30"/>
        <v>199.61842105263349</v>
      </c>
    </row>
    <row r="45" spans="1:120" ht="13" x14ac:dyDescent="0.3">
      <c r="A45" s="364">
        <v>2039</v>
      </c>
      <c r="B45" s="364">
        <v>3302039</v>
      </c>
      <c r="C45" s="364" t="s">
        <v>260</v>
      </c>
      <c r="D45" s="506">
        <v>0</v>
      </c>
      <c r="E45" s="506">
        <v>0</v>
      </c>
      <c r="F45" s="506">
        <v>0</v>
      </c>
      <c r="G45" s="506">
        <v>17</v>
      </c>
      <c r="H45" s="506">
        <v>29</v>
      </c>
      <c r="I45" s="507">
        <v>0</v>
      </c>
      <c r="J45" s="507">
        <v>46</v>
      </c>
      <c r="K45" s="506">
        <v>0</v>
      </c>
      <c r="L45" s="506">
        <v>0</v>
      </c>
      <c r="M45" s="507">
        <v>0</v>
      </c>
      <c r="N45" s="506">
        <v>0</v>
      </c>
      <c r="O45" s="506">
        <v>0</v>
      </c>
      <c r="P45" s="506">
        <v>255</v>
      </c>
      <c r="Q45" s="506">
        <v>435</v>
      </c>
      <c r="R45" s="507">
        <v>690</v>
      </c>
      <c r="S45" s="506">
        <v>0</v>
      </c>
      <c r="T45" s="506">
        <v>0</v>
      </c>
      <c r="U45" s="506">
        <v>0</v>
      </c>
      <c r="V45" s="506">
        <v>0</v>
      </c>
      <c r="W45" s="507">
        <v>0</v>
      </c>
      <c r="X45" s="506">
        <v>0</v>
      </c>
      <c r="Y45" s="506">
        <v>0</v>
      </c>
      <c r="Z45" s="508">
        <v>0</v>
      </c>
      <c r="AA45" s="506">
        <v>2</v>
      </c>
      <c r="AB45" s="506">
        <v>30</v>
      </c>
      <c r="AC45" s="508">
        <v>0</v>
      </c>
      <c r="AD45" s="506">
        <v>27</v>
      </c>
      <c r="AE45" s="506">
        <v>405</v>
      </c>
      <c r="AF45" s="508">
        <v>0</v>
      </c>
      <c r="AG45" s="509">
        <v>0</v>
      </c>
      <c r="AH45" s="509">
        <v>0</v>
      </c>
      <c r="AI45" s="508">
        <v>0</v>
      </c>
      <c r="AJ45" s="509">
        <v>13</v>
      </c>
      <c r="AK45" s="509">
        <v>195</v>
      </c>
      <c r="AL45" s="508">
        <v>0</v>
      </c>
      <c r="AM45" s="506">
        <v>13</v>
      </c>
      <c r="AN45" s="506">
        <v>195</v>
      </c>
      <c r="AO45" s="508">
        <v>0</v>
      </c>
      <c r="AP45" s="508"/>
      <c r="AQ45" s="508">
        <f t="shared" si="3"/>
        <v>13</v>
      </c>
      <c r="AR45" s="509">
        <v>0</v>
      </c>
      <c r="AS45" s="509">
        <v>0</v>
      </c>
      <c r="AT45" s="508">
        <v>0</v>
      </c>
      <c r="AU45" s="509">
        <v>13</v>
      </c>
      <c r="AV45" s="509">
        <v>195</v>
      </c>
      <c r="AW45" s="508">
        <v>0</v>
      </c>
      <c r="AX45" s="506">
        <v>13</v>
      </c>
      <c r="AY45" s="506">
        <v>195</v>
      </c>
      <c r="AZ45" s="508">
        <v>0</v>
      </c>
      <c r="BA45" s="508"/>
      <c r="BB45" s="508">
        <f t="shared" si="4"/>
        <v>26</v>
      </c>
      <c r="BC45" s="509">
        <v>0</v>
      </c>
      <c r="BD45" s="509">
        <v>0</v>
      </c>
      <c r="BE45" s="506">
        <v>0</v>
      </c>
      <c r="BF45" s="200"/>
      <c r="BG45" s="200"/>
      <c r="BH45" s="200"/>
      <c r="BI45" s="200"/>
      <c r="BJ45" s="200"/>
      <c r="BK45" s="200"/>
      <c r="BL45" s="200"/>
      <c r="BM45" s="505">
        <f t="shared" si="5"/>
        <v>0</v>
      </c>
      <c r="BN45" s="200">
        <f t="shared" si="6"/>
        <v>0</v>
      </c>
      <c r="BO45" s="200">
        <f t="shared" si="27"/>
        <v>0</v>
      </c>
      <c r="BP45" s="200">
        <f t="shared" si="7"/>
        <v>8970</v>
      </c>
      <c r="BQ45" s="200">
        <f t="shared" si="8"/>
        <v>0</v>
      </c>
      <c r="BR45" s="200">
        <f t="shared" si="9"/>
        <v>0</v>
      </c>
      <c r="BS45" s="200">
        <f t="shared" si="10"/>
        <v>390</v>
      </c>
      <c r="BT45" s="200">
        <f t="shared" si="11"/>
        <v>5265</v>
      </c>
      <c r="BU45" s="200">
        <f t="shared" si="12"/>
        <v>2535</v>
      </c>
      <c r="BV45" s="200">
        <v>13</v>
      </c>
      <c r="BW45" s="200">
        <v>0</v>
      </c>
      <c r="BX45" s="200">
        <f t="shared" si="13"/>
        <v>0</v>
      </c>
      <c r="CB45" s="381">
        <f>_xlfn.IFNA(VLOOKUP(A45,'Actuals Summer'!$A:$AG,23,FALSE),0)</f>
        <v>8970</v>
      </c>
      <c r="CC45" s="381">
        <f>_xlfn.IFNA(VLOOKUP(A45,'Actuals Summer'!$A:$AG,24,FALSE),0)</f>
        <v>0</v>
      </c>
      <c r="CD45" s="381">
        <f>_xlfn.IFNA(VLOOKUP(A45,'Actuals Summer'!$A:$AG,25,FALSE),0)</f>
        <v>0</v>
      </c>
      <c r="CE45" s="381">
        <f>_xlfn.IFNA(VLOOKUP(A45,'Actuals Summer'!$A:$AG,26,FALSE),0)</f>
        <v>0</v>
      </c>
      <c r="CF45" s="381">
        <f>_xlfn.IFNA(VLOOKUP(A45,'Actuals Summer'!$A:$AG,27,FALSE),0)</f>
        <v>0</v>
      </c>
      <c r="CG45" s="381">
        <f>_xlfn.IFNA(VLOOKUP(A45,'Actuals Dep Summer'!B:O,6,FALSE)*$BN$3,0)</f>
        <v>0</v>
      </c>
      <c r="CH45" s="381">
        <f>_xlfn.IFNA(VLOOKUP(A45,'Actuals Dep Summer'!B:O,7,FALSE)*$BN$3,0)</f>
        <v>390</v>
      </c>
      <c r="CI45" s="381">
        <f>_xlfn.IFNA(VLOOKUP(A45,'Actuals Dep Summer'!B:O,8,FALSE)*$BN$3,0)</f>
        <v>5265</v>
      </c>
      <c r="CJ45" s="381">
        <f>_xlfn.IFNA(VLOOKUP(A45,'Actuals Summer'!$A:$AG,31,FALSE),0)*$BN$3</f>
        <v>168.90702365670273</v>
      </c>
      <c r="CK45" s="381"/>
      <c r="CL45" s="381">
        <f>_xlfn.IFNA(VLOOKUP(A45,'Actuals Summer'!$A:$AG,32,FALSE),0)*$BN$3</f>
        <v>32955</v>
      </c>
      <c r="CM45" s="381">
        <f>_xlfn.IFNA(VLOOKUP(A45,'Actuals Summer'!$A:$AG,33,FALSE),0)</f>
        <v>0</v>
      </c>
      <c r="CP45" s="458">
        <f t="shared" si="14"/>
        <v>0</v>
      </c>
      <c r="CQ45" s="458">
        <f t="shared" si="15"/>
        <v>0</v>
      </c>
      <c r="CR45" s="458">
        <f t="shared" si="28"/>
        <v>0</v>
      </c>
      <c r="CS45" s="458">
        <f t="shared" si="16"/>
        <v>50770.200000000004</v>
      </c>
      <c r="CT45" s="458">
        <f t="shared" si="17"/>
        <v>0</v>
      </c>
      <c r="CU45" s="458">
        <f t="shared" si="18"/>
        <v>0</v>
      </c>
      <c r="CV45" s="458">
        <f t="shared" si="19"/>
        <v>113.1</v>
      </c>
      <c r="CW45" s="458">
        <f t="shared" si="20"/>
        <v>421.2</v>
      </c>
      <c r="CX45" s="458">
        <f t="shared" si="21"/>
        <v>2535</v>
      </c>
      <c r="CY45" s="458">
        <f t="shared" si="22"/>
        <v>969.52631578947353</v>
      </c>
      <c r="CZ45" s="458">
        <f t="shared" si="23"/>
        <v>0</v>
      </c>
      <c r="DA45" s="458">
        <f t="shared" si="24"/>
        <v>0</v>
      </c>
      <c r="DB45" s="458">
        <f t="shared" si="25"/>
        <v>54809.026315789473</v>
      </c>
      <c r="DC45" s="452">
        <f>_xlfn.XLOOKUP($A45,'Actuals Summer'!$A:$A,'Actuals Summer'!L:L,0,0)</f>
        <v>0</v>
      </c>
      <c r="DD45" s="452">
        <f>_xlfn.XLOOKUP($A45,'Actuals Summer'!$A:$A,'Actuals Summer'!K:K,0,0)+_xlfn.XLOOKUP($A45,'Actuals Summer'!$A:$A,'Actuals Summer'!Q:Q,0,0)</f>
        <v>0</v>
      </c>
      <c r="DE45" s="452">
        <f>_xlfn.XLOOKUP($A45,'Actuals Summer'!$A:$A,'Actuals Summer'!I:I,0,0)+_xlfn.XLOOKUP($A45,'Actuals Summer'!$A:$A,'Actuals Summer'!R:R,0,0)</f>
        <v>50770.200000000004</v>
      </c>
      <c r="DF45" s="452">
        <f>_xlfn.XLOOKUP($A45,'Actuals Summer'!$A:$A,'Actuals Summer'!J:J,0,0)</f>
        <v>0</v>
      </c>
      <c r="DG45" s="452">
        <f>_xlfn.XLOOKUP($A45,'Actuals Dep Summer'!$B:$B,'Actuals Dep Summer'!G:G,0,0)*'Actuals Dep Summer'!$F$2*'Actuals Dep Summer'!$C$2</f>
        <v>0</v>
      </c>
      <c r="DH45" s="452">
        <f>_xlfn.XLOOKUP($A45,'Actuals Dep Summer'!$B:$B,'Actuals Dep Summer'!H:H,0,0)*'Actuals Dep Summer'!$F$2*'Actuals Dep Summer'!$C$3</f>
        <v>113.1</v>
      </c>
      <c r="DI45" s="452">
        <f>_xlfn.XLOOKUP($A45,'Actuals Dep Summer'!$B:$B,'Actuals Dep Summer'!I:I,0,0)*'Actuals Dep Summer'!$F$2*'Actuals Dep Summer'!$C$4</f>
        <v>421.2</v>
      </c>
      <c r="DJ45" s="452">
        <f>_xlfn.XLOOKUP($A45,'Actuals Summer'!$A:$A,'Actuals Summer'!P:P,0,0)</f>
        <v>2535</v>
      </c>
      <c r="DK45" s="452">
        <f>_xlfn.XLOOKUP($A45,'Actuals Summer'!$A:$A,'Actuals Summer'!O:O,0,0)</f>
        <v>969.52631578947376</v>
      </c>
      <c r="DL45" s="452"/>
      <c r="DM45" s="452">
        <f>_xlfn.XLOOKUP($A45,'Actuals Summer'!$A:$A,'Actuals Summer'!M:M,0,0)</f>
        <v>0</v>
      </c>
      <c r="DN45" s="453">
        <f t="shared" si="29"/>
        <v>54809.026315789473</v>
      </c>
      <c r="DO45" s="453">
        <f>_xlfn.XLOOKUP(A45,'Actuals Summer'!A:A,'Actuals Summer'!S:S,0,0)-'Summer data team '!DN45</f>
        <v>0</v>
      </c>
      <c r="DP45" s="463">
        <f t="shared" si="30"/>
        <v>0</v>
      </c>
    </row>
    <row r="46" spans="1:120" ht="13" x14ac:dyDescent="0.3">
      <c r="A46" s="364">
        <v>2040</v>
      </c>
      <c r="B46" s="364">
        <v>3302040</v>
      </c>
      <c r="C46" s="364" t="s">
        <v>55</v>
      </c>
      <c r="D46" s="506">
        <v>0</v>
      </c>
      <c r="E46" s="506">
        <v>0</v>
      </c>
      <c r="F46" s="506">
        <v>0</v>
      </c>
      <c r="G46" s="506">
        <v>14</v>
      </c>
      <c r="H46" s="506">
        <v>12</v>
      </c>
      <c r="I46" s="507">
        <v>0</v>
      </c>
      <c r="J46" s="507">
        <v>26</v>
      </c>
      <c r="K46" s="506">
        <v>0</v>
      </c>
      <c r="L46" s="506">
        <v>0</v>
      </c>
      <c r="M46" s="507">
        <v>0</v>
      </c>
      <c r="N46" s="506">
        <v>0</v>
      </c>
      <c r="O46" s="506">
        <v>0</v>
      </c>
      <c r="P46" s="506">
        <v>210</v>
      </c>
      <c r="Q46" s="506">
        <v>180</v>
      </c>
      <c r="R46" s="507">
        <v>390</v>
      </c>
      <c r="S46" s="506">
        <v>0</v>
      </c>
      <c r="T46" s="506">
        <v>0</v>
      </c>
      <c r="U46" s="506">
        <v>0</v>
      </c>
      <c r="V46" s="506">
        <v>0</v>
      </c>
      <c r="W46" s="507">
        <v>0</v>
      </c>
      <c r="X46" s="506">
        <v>0</v>
      </c>
      <c r="Y46" s="506">
        <v>0</v>
      </c>
      <c r="Z46" s="508">
        <v>0</v>
      </c>
      <c r="AA46" s="506">
        <v>1</v>
      </c>
      <c r="AB46" s="506">
        <v>15</v>
      </c>
      <c r="AC46" s="508">
        <v>0</v>
      </c>
      <c r="AD46" s="506">
        <v>2</v>
      </c>
      <c r="AE46" s="506">
        <v>30</v>
      </c>
      <c r="AF46" s="508">
        <v>0</v>
      </c>
      <c r="AG46" s="509">
        <v>0</v>
      </c>
      <c r="AH46" s="509">
        <v>0</v>
      </c>
      <c r="AI46" s="508">
        <v>0</v>
      </c>
      <c r="AJ46" s="509">
        <v>3</v>
      </c>
      <c r="AK46" s="509">
        <v>45</v>
      </c>
      <c r="AL46" s="508">
        <v>0</v>
      </c>
      <c r="AM46" s="506">
        <v>3</v>
      </c>
      <c r="AN46" s="506">
        <v>45</v>
      </c>
      <c r="AO46" s="508">
        <v>0</v>
      </c>
      <c r="AP46" s="508"/>
      <c r="AQ46" s="508">
        <f t="shared" si="3"/>
        <v>3</v>
      </c>
      <c r="AR46" s="509">
        <v>0</v>
      </c>
      <c r="AS46" s="509">
        <v>0</v>
      </c>
      <c r="AT46" s="508">
        <v>0</v>
      </c>
      <c r="AU46" s="509">
        <v>2</v>
      </c>
      <c r="AV46" s="509">
        <v>30</v>
      </c>
      <c r="AW46" s="508">
        <v>0</v>
      </c>
      <c r="AX46" s="506">
        <v>2</v>
      </c>
      <c r="AY46" s="506">
        <v>30</v>
      </c>
      <c r="AZ46" s="508">
        <v>0</v>
      </c>
      <c r="BA46" s="508"/>
      <c r="BB46" s="508">
        <f t="shared" si="4"/>
        <v>4</v>
      </c>
      <c r="BC46" s="509">
        <v>0</v>
      </c>
      <c r="BD46" s="509">
        <v>0</v>
      </c>
      <c r="BE46" s="506">
        <v>0</v>
      </c>
      <c r="BF46" s="200"/>
      <c r="BG46" s="200"/>
      <c r="BH46" s="200"/>
      <c r="BI46" s="200"/>
      <c r="BJ46" s="200"/>
      <c r="BK46" s="200"/>
      <c r="BL46" s="200"/>
      <c r="BM46" s="505">
        <f t="shared" si="5"/>
        <v>0</v>
      </c>
      <c r="BN46" s="200">
        <f t="shared" si="6"/>
        <v>0</v>
      </c>
      <c r="BO46" s="200">
        <f t="shared" si="27"/>
        <v>0</v>
      </c>
      <c r="BP46" s="200">
        <f t="shared" si="7"/>
        <v>5070</v>
      </c>
      <c r="BQ46" s="200">
        <f t="shared" si="8"/>
        <v>0</v>
      </c>
      <c r="BR46" s="200">
        <f t="shared" si="9"/>
        <v>0</v>
      </c>
      <c r="BS46" s="200">
        <f t="shared" si="10"/>
        <v>195</v>
      </c>
      <c r="BT46" s="200">
        <f t="shared" si="11"/>
        <v>390</v>
      </c>
      <c r="BU46" s="200">
        <f t="shared" si="12"/>
        <v>585</v>
      </c>
      <c r="BV46" s="200">
        <v>2</v>
      </c>
      <c r="BW46" s="200">
        <v>0</v>
      </c>
      <c r="BX46" s="200">
        <f t="shared" si="13"/>
        <v>0</v>
      </c>
      <c r="CB46" s="381">
        <f>_xlfn.IFNA(VLOOKUP(A46,'Actuals Summer'!$A:$AG,23,FALSE),0)</f>
        <v>5070</v>
      </c>
      <c r="CC46" s="381">
        <f>_xlfn.IFNA(VLOOKUP(A46,'Actuals Summer'!$A:$AG,24,FALSE),0)</f>
        <v>0</v>
      </c>
      <c r="CD46" s="381">
        <f>_xlfn.IFNA(VLOOKUP(A46,'Actuals Summer'!$A:$AG,25,FALSE),0)</f>
        <v>0</v>
      </c>
      <c r="CE46" s="381">
        <f>_xlfn.IFNA(VLOOKUP(A46,'Actuals Summer'!$A:$AG,26,FALSE),0)</f>
        <v>0</v>
      </c>
      <c r="CF46" s="381">
        <f>_xlfn.IFNA(VLOOKUP(A46,'Actuals Summer'!$A:$AG,27,FALSE),0)</f>
        <v>0</v>
      </c>
      <c r="CG46" s="381">
        <f>_xlfn.IFNA(VLOOKUP(A46,'Actuals Dep Summer'!B:O,6,FALSE)*$BN$3,0)</f>
        <v>0</v>
      </c>
      <c r="CH46" s="381">
        <f>_xlfn.IFNA(VLOOKUP(A46,'Actuals Dep Summer'!B:O,7,FALSE)*$BN$3,0)</f>
        <v>195</v>
      </c>
      <c r="CI46" s="381">
        <f>_xlfn.IFNA(VLOOKUP(A46,'Actuals Dep Summer'!B:O,8,FALSE)*$BN$3,0)</f>
        <v>390</v>
      </c>
      <c r="CJ46" s="381">
        <f>_xlfn.IFNA(VLOOKUP(A46,'Actuals Summer'!$A:$AG,31,FALSE),0)*$BN$3</f>
        <v>25.985695947185036</v>
      </c>
      <c r="CK46" s="381"/>
      <c r="CL46" s="381">
        <f>_xlfn.IFNA(VLOOKUP(A46,'Actuals Summer'!$A:$AG,32,FALSE),0)*$BN$3</f>
        <v>7605</v>
      </c>
      <c r="CM46" s="381">
        <f>_xlfn.IFNA(VLOOKUP(A46,'Actuals Summer'!$A:$AG,33,FALSE),0)</f>
        <v>0</v>
      </c>
      <c r="CP46" s="458">
        <f t="shared" si="14"/>
        <v>0</v>
      </c>
      <c r="CQ46" s="458">
        <f t="shared" si="15"/>
        <v>0</v>
      </c>
      <c r="CR46" s="458">
        <f t="shared" si="28"/>
        <v>0</v>
      </c>
      <c r="CS46" s="458">
        <f t="shared" si="16"/>
        <v>28696.2</v>
      </c>
      <c r="CT46" s="458">
        <f t="shared" si="17"/>
        <v>0</v>
      </c>
      <c r="CU46" s="458">
        <f t="shared" si="18"/>
        <v>0</v>
      </c>
      <c r="CV46" s="458">
        <f t="shared" si="19"/>
        <v>56.55</v>
      </c>
      <c r="CW46" s="458">
        <f t="shared" si="20"/>
        <v>31.2</v>
      </c>
      <c r="CX46" s="458">
        <f t="shared" si="21"/>
        <v>585</v>
      </c>
      <c r="CY46" s="458">
        <f t="shared" si="22"/>
        <v>149.15789473684208</v>
      </c>
      <c r="CZ46" s="458">
        <f t="shared" si="23"/>
        <v>0</v>
      </c>
      <c r="DA46" s="458">
        <f t="shared" si="24"/>
        <v>0</v>
      </c>
      <c r="DB46" s="458">
        <f t="shared" si="25"/>
        <v>29518.107894736844</v>
      </c>
      <c r="DC46" s="452">
        <f>_xlfn.XLOOKUP($A46,'Actuals Summer'!$A:$A,'Actuals Summer'!L:L,0,0)</f>
        <v>0</v>
      </c>
      <c r="DD46" s="452">
        <f>_xlfn.XLOOKUP($A46,'Actuals Summer'!$A:$A,'Actuals Summer'!K:K,0,0)+_xlfn.XLOOKUP($A46,'Actuals Summer'!$A:$A,'Actuals Summer'!Q:Q,0,0)</f>
        <v>0</v>
      </c>
      <c r="DE46" s="452">
        <f>_xlfn.XLOOKUP($A46,'Actuals Summer'!$A:$A,'Actuals Summer'!I:I,0,0)+_xlfn.XLOOKUP($A46,'Actuals Summer'!$A:$A,'Actuals Summer'!R:R,0,0)</f>
        <v>28696.2</v>
      </c>
      <c r="DF46" s="452">
        <f>_xlfn.XLOOKUP($A46,'Actuals Summer'!$A:$A,'Actuals Summer'!J:J,0,0)</f>
        <v>0</v>
      </c>
      <c r="DG46" s="452">
        <f>_xlfn.XLOOKUP($A46,'Actuals Dep Summer'!$B:$B,'Actuals Dep Summer'!G:G,0,0)*'Actuals Dep Summer'!$F$2*'Actuals Dep Summer'!$C$2</f>
        <v>0</v>
      </c>
      <c r="DH46" s="452">
        <f>_xlfn.XLOOKUP($A46,'Actuals Dep Summer'!$B:$B,'Actuals Dep Summer'!H:H,0,0)*'Actuals Dep Summer'!$F$2*'Actuals Dep Summer'!$C$3</f>
        <v>56.55</v>
      </c>
      <c r="DI46" s="452">
        <f>_xlfn.XLOOKUP($A46,'Actuals Dep Summer'!$B:$B,'Actuals Dep Summer'!I:I,0,0)*'Actuals Dep Summer'!$F$2*'Actuals Dep Summer'!$C$4</f>
        <v>31.2</v>
      </c>
      <c r="DJ46" s="452">
        <f>_xlfn.XLOOKUP($A46,'Actuals Summer'!$A:$A,'Actuals Summer'!P:P,0,0)</f>
        <v>585</v>
      </c>
      <c r="DK46" s="452">
        <f>_xlfn.XLOOKUP($A46,'Actuals Summer'!$A:$A,'Actuals Summer'!O:O,0,0)</f>
        <v>149.15789473684211</v>
      </c>
      <c r="DL46" s="452"/>
      <c r="DM46" s="452">
        <f>_xlfn.XLOOKUP($A46,'Actuals Summer'!$A:$A,'Actuals Summer'!M:M,0,0)</f>
        <v>0</v>
      </c>
      <c r="DN46" s="453">
        <f t="shared" si="29"/>
        <v>29518.107894736844</v>
      </c>
      <c r="DO46" s="453">
        <f>_xlfn.XLOOKUP(A46,'Actuals Summer'!A:A,'Actuals Summer'!S:S,0,0)-'Summer data team '!DN46</f>
        <v>0</v>
      </c>
      <c r="DP46" s="463">
        <f t="shared" si="30"/>
        <v>0</v>
      </c>
    </row>
    <row r="47" spans="1:120" ht="13" x14ac:dyDescent="0.3">
      <c r="A47" s="364">
        <v>2048</v>
      </c>
      <c r="B47" s="364">
        <v>3302048</v>
      </c>
      <c r="C47" s="364" t="s">
        <v>261</v>
      </c>
      <c r="D47" s="506">
        <v>0</v>
      </c>
      <c r="E47" s="506">
        <v>0</v>
      </c>
      <c r="F47" s="506">
        <v>0</v>
      </c>
      <c r="G47" s="506">
        <v>7</v>
      </c>
      <c r="H47" s="506">
        <v>5</v>
      </c>
      <c r="I47" s="507">
        <v>0</v>
      </c>
      <c r="J47" s="507">
        <v>12</v>
      </c>
      <c r="K47" s="506">
        <v>0</v>
      </c>
      <c r="L47" s="506">
        <v>0</v>
      </c>
      <c r="M47" s="507">
        <v>0</v>
      </c>
      <c r="N47" s="506">
        <v>0</v>
      </c>
      <c r="O47" s="506">
        <v>0</v>
      </c>
      <c r="P47" s="506">
        <v>105</v>
      </c>
      <c r="Q47" s="506">
        <v>75</v>
      </c>
      <c r="R47" s="507">
        <v>180</v>
      </c>
      <c r="S47" s="506">
        <v>0</v>
      </c>
      <c r="T47" s="506">
        <v>0</v>
      </c>
      <c r="U47" s="506">
        <v>0</v>
      </c>
      <c r="V47" s="506">
        <v>0</v>
      </c>
      <c r="W47" s="507">
        <v>0</v>
      </c>
      <c r="X47" s="506">
        <v>1</v>
      </c>
      <c r="Y47" s="506">
        <v>15</v>
      </c>
      <c r="Z47" s="508">
        <v>0</v>
      </c>
      <c r="AA47" s="506">
        <v>10</v>
      </c>
      <c r="AB47" s="506">
        <v>150</v>
      </c>
      <c r="AC47" s="508">
        <v>0</v>
      </c>
      <c r="AD47" s="506">
        <v>1</v>
      </c>
      <c r="AE47" s="506">
        <v>15</v>
      </c>
      <c r="AF47" s="508">
        <v>0</v>
      </c>
      <c r="AG47" s="509">
        <v>0</v>
      </c>
      <c r="AH47" s="509">
        <v>0</v>
      </c>
      <c r="AI47" s="508">
        <v>0</v>
      </c>
      <c r="AJ47" s="509">
        <v>8</v>
      </c>
      <c r="AK47" s="509">
        <v>120</v>
      </c>
      <c r="AL47" s="508">
        <v>0</v>
      </c>
      <c r="AM47" s="506">
        <v>8</v>
      </c>
      <c r="AN47" s="506">
        <v>120</v>
      </c>
      <c r="AO47" s="508">
        <v>0</v>
      </c>
      <c r="AP47" s="508"/>
      <c r="AQ47" s="508">
        <f t="shared" si="3"/>
        <v>8</v>
      </c>
      <c r="AR47" s="509">
        <v>0</v>
      </c>
      <c r="AS47" s="509">
        <v>0</v>
      </c>
      <c r="AT47" s="508">
        <v>0</v>
      </c>
      <c r="AU47" s="509">
        <v>8</v>
      </c>
      <c r="AV47" s="509">
        <v>120</v>
      </c>
      <c r="AW47" s="508">
        <v>0</v>
      </c>
      <c r="AX47" s="506">
        <v>8</v>
      </c>
      <c r="AY47" s="506">
        <v>120</v>
      </c>
      <c r="AZ47" s="508">
        <v>0</v>
      </c>
      <c r="BA47" s="508"/>
      <c r="BB47" s="508">
        <f t="shared" si="4"/>
        <v>16</v>
      </c>
      <c r="BC47" s="509">
        <v>0</v>
      </c>
      <c r="BD47" s="509">
        <v>0</v>
      </c>
      <c r="BE47" s="506">
        <v>0</v>
      </c>
      <c r="BF47" s="200"/>
      <c r="BG47" s="200"/>
      <c r="BH47" s="200"/>
      <c r="BI47" s="200"/>
      <c r="BJ47" s="200"/>
      <c r="BK47" s="200"/>
      <c r="BL47" s="200"/>
      <c r="BM47" s="505">
        <f t="shared" si="5"/>
        <v>0</v>
      </c>
      <c r="BN47" s="200">
        <f t="shared" si="6"/>
        <v>0</v>
      </c>
      <c r="BO47" s="200">
        <f t="shared" si="27"/>
        <v>0</v>
      </c>
      <c r="BP47" s="200">
        <f t="shared" si="7"/>
        <v>2340</v>
      </c>
      <c r="BQ47" s="200">
        <f t="shared" si="8"/>
        <v>0</v>
      </c>
      <c r="BR47" s="200">
        <f t="shared" si="9"/>
        <v>195</v>
      </c>
      <c r="BS47" s="200">
        <f t="shared" si="10"/>
        <v>1950</v>
      </c>
      <c r="BT47" s="200">
        <f t="shared" si="11"/>
        <v>195</v>
      </c>
      <c r="BU47" s="200">
        <f t="shared" si="12"/>
        <v>1560</v>
      </c>
      <c r="BV47" s="200">
        <v>8</v>
      </c>
      <c r="BW47" s="200">
        <v>0</v>
      </c>
      <c r="BX47" s="200">
        <f t="shared" si="13"/>
        <v>0</v>
      </c>
      <c r="CB47" s="381">
        <f>_xlfn.IFNA(VLOOKUP(A47,'Actuals Summer'!$A:$AG,23,FALSE),0)</f>
        <v>2340</v>
      </c>
      <c r="CC47" s="381">
        <f>_xlfn.IFNA(VLOOKUP(A47,'Actuals Summer'!$A:$AG,24,FALSE),0)</f>
        <v>0</v>
      </c>
      <c r="CD47" s="381">
        <f>_xlfn.IFNA(VLOOKUP(A47,'Actuals Summer'!$A:$AG,25,FALSE),0)</f>
        <v>0</v>
      </c>
      <c r="CE47" s="381">
        <f>_xlfn.IFNA(VLOOKUP(A47,'Actuals Summer'!$A:$AG,26,FALSE),0)</f>
        <v>0</v>
      </c>
      <c r="CF47" s="381">
        <f>_xlfn.IFNA(VLOOKUP(A47,'Actuals Summer'!$A:$AG,27,FALSE),0)</f>
        <v>0</v>
      </c>
      <c r="CG47" s="381">
        <f>_xlfn.IFNA(VLOOKUP(A47,'Actuals Dep Summer'!B:O,6,FALSE)*$BN$3,0)</f>
        <v>195</v>
      </c>
      <c r="CH47" s="381">
        <f>_xlfn.IFNA(VLOOKUP(A47,'Actuals Dep Summer'!B:O,7,FALSE)*$BN$3,0)</f>
        <v>1950</v>
      </c>
      <c r="CI47" s="381">
        <f>_xlfn.IFNA(VLOOKUP(A47,'Actuals Dep Summer'!B:O,8,FALSE)*$BN$3,0)</f>
        <v>195</v>
      </c>
      <c r="CJ47" s="381">
        <f>_xlfn.IFNA(VLOOKUP(A47,'Actuals Summer'!$A:$AG,31,FALSE),0)*$BN$3</f>
        <v>103.94278378874014</v>
      </c>
      <c r="CK47" s="381"/>
      <c r="CL47" s="381">
        <f>_xlfn.IFNA(VLOOKUP(A47,'Actuals Summer'!$A:$AG,32,FALSE),0)*$BN$3</f>
        <v>20280</v>
      </c>
      <c r="CM47" s="381">
        <f>_xlfn.IFNA(VLOOKUP(A47,'Actuals Summer'!$A:$AG,33,FALSE),0)</f>
        <v>0</v>
      </c>
      <c r="CP47" s="458">
        <f t="shared" si="14"/>
        <v>0</v>
      </c>
      <c r="CQ47" s="458">
        <f t="shared" si="15"/>
        <v>0</v>
      </c>
      <c r="CR47" s="458">
        <f t="shared" si="28"/>
        <v>0</v>
      </c>
      <c r="CS47" s="458">
        <f t="shared" si="16"/>
        <v>13244.4</v>
      </c>
      <c r="CT47" s="458">
        <f t="shared" si="17"/>
        <v>0</v>
      </c>
      <c r="CU47" s="458">
        <f t="shared" si="18"/>
        <v>118.95</v>
      </c>
      <c r="CV47" s="458">
        <f t="shared" si="19"/>
        <v>565.5</v>
      </c>
      <c r="CW47" s="458">
        <f t="shared" si="20"/>
        <v>15.6</v>
      </c>
      <c r="CX47" s="458">
        <f t="shared" si="21"/>
        <v>1560</v>
      </c>
      <c r="CY47" s="458">
        <f t="shared" si="22"/>
        <v>596.63157894736833</v>
      </c>
      <c r="CZ47" s="458">
        <f t="shared" si="23"/>
        <v>0</v>
      </c>
      <c r="DA47" s="458">
        <f t="shared" si="24"/>
        <v>0</v>
      </c>
      <c r="DB47" s="458">
        <f t="shared" si="25"/>
        <v>16101.081578947369</v>
      </c>
      <c r="DC47" s="452">
        <f>_xlfn.XLOOKUP($A47,'Actuals Summer'!$A:$A,'Actuals Summer'!L:L,0,0)</f>
        <v>0</v>
      </c>
      <c r="DD47" s="452">
        <f>_xlfn.XLOOKUP($A47,'Actuals Summer'!$A:$A,'Actuals Summer'!K:K,0,0)+_xlfn.XLOOKUP($A47,'Actuals Summer'!$A:$A,'Actuals Summer'!Q:Q,0,0)</f>
        <v>0</v>
      </c>
      <c r="DE47" s="452">
        <f>_xlfn.XLOOKUP($A47,'Actuals Summer'!$A:$A,'Actuals Summer'!I:I,0,0)+_xlfn.XLOOKUP($A47,'Actuals Summer'!$A:$A,'Actuals Summer'!R:R,0,0)</f>
        <v>13244.4</v>
      </c>
      <c r="DF47" s="452">
        <f>_xlfn.XLOOKUP($A47,'Actuals Summer'!$A:$A,'Actuals Summer'!J:J,0,0)</f>
        <v>0</v>
      </c>
      <c r="DG47" s="452">
        <f>_xlfn.XLOOKUP($A47,'Actuals Dep Summer'!$B:$B,'Actuals Dep Summer'!G:G,0,0)*'Actuals Dep Summer'!$F$2*'Actuals Dep Summer'!$C$2</f>
        <v>118.95</v>
      </c>
      <c r="DH47" s="452">
        <f>_xlfn.XLOOKUP($A47,'Actuals Dep Summer'!$B:$B,'Actuals Dep Summer'!H:H,0,0)*'Actuals Dep Summer'!$F$2*'Actuals Dep Summer'!$C$3</f>
        <v>565.5</v>
      </c>
      <c r="DI47" s="452">
        <f>_xlfn.XLOOKUP($A47,'Actuals Dep Summer'!$B:$B,'Actuals Dep Summer'!I:I,0,0)*'Actuals Dep Summer'!$F$2*'Actuals Dep Summer'!$C$4</f>
        <v>15.6</v>
      </c>
      <c r="DJ47" s="452">
        <f>_xlfn.XLOOKUP($A47,'Actuals Summer'!$A:$A,'Actuals Summer'!P:P,0,0)</f>
        <v>1560</v>
      </c>
      <c r="DK47" s="452">
        <f>_xlfn.XLOOKUP($A47,'Actuals Summer'!$A:$A,'Actuals Summer'!O:O,0,0)</f>
        <v>596.63157894736844</v>
      </c>
      <c r="DL47" s="452"/>
      <c r="DM47" s="452">
        <f>_xlfn.XLOOKUP($A47,'Actuals Summer'!$A:$A,'Actuals Summer'!M:M,0,0)</f>
        <v>0</v>
      </c>
      <c r="DN47" s="453">
        <f t="shared" si="29"/>
        <v>16101.081578947369</v>
      </c>
      <c r="DO47" s="453">
        <f>_xlfn.XLOOKUP(A47,'Actuals Summer'!A:A,'Actuals Summer'!S:S,0,0)-'Summer data team '!DN47</f>
        <v>0</v>
      </c>
      <c r="DP47" s="463">
        <f t="shared" si="30"/>
        <v>0</v>
      </c>
    </row>
    <row r="48" spans="1:120" ht="13" x14ac:dyDescent="0.3">
      <c r="A48" s="364">
        <v>2054</v>
      </c>
      <c r="B48" s="364">
        <v>3302054</v>
      </c>
      <c r="C48" s="364" t="s">
        <v>67</v>
      </c>
      <c r="D48" s="506">
        <v>0</v>
      </c>
      <c r="E48" s="506">
        <v>0</v>
      </c>
      <c r="F48" s="506">
        <v>0</v>
      </c>
      <c r="G48" s="506">
        <v>22</v>
      </c>
      <c r="H48" s="506">
        <v>18</v>
      </c>
      <c r="I48" s="507">
        <v>0</v>
      </c>
      <c r="J48" s="507">
        <v>40</v>
      </c>
      <c r="K48" s="506">
        <v>5</v>
      </c>
      <c r="L48" s="506">
        <v>5</v>
      </c>
      <c r="M48" s="507">
        <v>10</v>
      </c>
      <c r="N48" s="506">
        <v>0</v>
      </c>
      <c r="O48" s="506">
        <v>0</v>
      </c>
      <c r="P48" s="506">
        <v>330</v>
      </c>
      <c r="Q48" s="506">
        <v>270</v>
      </c>
      <c r="R48" s="507">
        <v>600</v>
      </c>
      <c r="S48" s="506">
        <v>0</v>
      </c>
      <c r="T48" s="506">
        <v>0</v>
      </c>
      <c r="U48" s="506">
        <v>75</v>
      </c>
      <c r="V48" s="506">
        <v>75</v>
      </c>
      <c r="W48" s="507">
        <v>150</v>
      </c>
      <c r="X48" s="506">
        <v>7</v>
      </c>
      <c r="Y48" s="506">
        <v>105</v>
      </c>
      <c r="Z48" s="508">
        <v>15</v>
      </c>
      <c r="AA48" s="506">
        <v>2</v>
      </c>
      <c r="AB48" s="506">
        <v>30</v>
      </c>
      <c r="AC48" s="508">
        <v>0</v>
      </c>
      <c r="AD48" s="506">
        <v>3</v>
      </c>
      <c r="AE48" s="506">
        <v>45</v>
      </c>
      <c r="AF48" s="508">
        <v>15</v>
      </c>
      <c r="AG48" s="509">
        <v>0</v>
      </c>
      <c r="AH48" s="509">
        <v>0</v>
      </c>
      <c r="AI48" s="508">
        <v>0</v>
      </c>
      <c r="AJ48" s="509">
        <v>8</v>
      </c>
      <c r="AK48" s="509">
        <v>120</v>
      </c>
      <c r="AL48" s="508">
        <v>45</v>
      </c>
      <c r="AM48" s="506">
        <v>8</v>
      </c>
      <c r="AN48" s="506">
        <v>120</v>
      </c>
      <c r="AO48" s="508">
        <v>45</v>
      </c>
      <c r="AP48" s="508"/>
      <c r="AQ48" s="508">
        <f t="shared" si="3"/>
        <v>8</v>
      </c>
      <c r="AR48" s="509">
        <v>0</v>
      </c>
      <c r="AS48" s="509">
        <v>0</v>
      </c>
      <c r="AT48" s="508">
        <v>0</v>
      </c>
      <c r="AU48" s="509">
        <v>2</v>
      </c>
      <c r="AV48" s="509">
        <v>30</v>
      </c>
      <c r="AW48" s="508">
        <v>15</v>
      </c>
      <c r="AX48" s="506">
        <v>2</v>
      </c>
      <c r="AY48" s="506">
        <v>30</v>
      </c>
      <c r="AZ48" s="508">
        <v>15</v>
      </c>
      <c r="BA48" s="508"/>
      <c r="BB48" s="508">
        <f t="shared" si="4"/>
        <v>4</v>
      </c>
      <c r="BC48" s="509">
        <v>0</v>
      </c>
      <c r="BD48" s="509">
        <v>0</v>
      </c>
      <c r="BE48" s="506">
        <v>0</v>
      </c>
      <c r="BF48" s="200"/>
      <c r="BG48" s="200"/>
      <c r="BH48" s="200"/>
      <c r="BI48" s="200"/>
      <c r="BJ48" s="200"/>
      <c r="BK48" s="200"/>
      <c r="BL48" s="200"/>
      <c r="BM48" s="505">
        <f t="shared" si="5"/>
        <v>0</v>
      </c>
      <c r="BN48" s="200">
        <f t="shared" si="6"/>
        <v>0</v>
      </c>
      <c r="BO48" s="200">
        <f t="shared" si="27"/>
        <v>0</v>
      </c>
      <c r="BP48" s="200">
        <f t="shared" si="7"/>
        <v>7800</v>
      </c>
      <c r="BQ48" s="200">
        <f t="shared" si="8"/>
        <v>1950</v>
      </c>
      <c r="BR48" s="200">
        <f t="shared" si="9"/>
        <v>1560</v>
      </c>
      <c r="BS48" s="200">
        <f t="shared" si="10"/>
        <v>390</v>
      </c>
      <c r="BT48" s="200">
        <f t="shared" si="11"/>
        <v>780</v>
      </c>
      <c r="BU48" s="200">
        <f t="shared" si="12"/>
        <v>1560</v>
      </c>
      <c r="BV48" s="200">
        <v>1</v>
      </c>
      <c r="BW48" s="200">
        <v>1</v>
      </c>
      <c r="BX48" s="200">
        <f t="shared" si="13"/>
        <v>0</v>
      </c>
      <c r="CB48" s="381">
        <f>_xlfn.IFNA(VLOOKUP(A48,'Actuals Summer'!$A:$AG,23,FALSE),0)</f>
        <v>7800</v>
      </c>
      <c r="CC48" s="381">
        <f>_xlfn.IFNA(VLOOKUP(A48,'Actuals Summer'!$A:$AG,24,FALSE),0)</f>
        <v>1950</v>
      </c>
      <c r="CD48" s="381">
        <f>_xlfn.IFNA(VLOOKUP(A48,'Actuals Summer'!$A:$AG,25,FALSE),0)</f>
        <v>0</v>
      </c>
      <c r="CE48" s="381">
        <f>_xlfn.IFNA(VLOOKUP(A48,'Actuals Summer'!$A:$AG,26,FALSE),0)</f>
        <v>0</v>
      </c>
      <c r="CF48" s="381">
        <f>_xlfn.IFNA(VLOOKUP(A48,'Actuals Summer'!$A:$AG,27,FALSE),0)</f>
        <v>0</v>
      </c>
      <c r="CG48" s="381">
        <f>_xlfn.IFNA(VLOOKUP(A48,'Actuals Dep Summer'!B:O,6,FALSE)*$BN$3,0)</f>
        <v>1365</v>
      </c>
      <c r="CH48" s="381">
        <f>_xlfn.IFNA(VLOOKUP(A48,'Actuals Dep Summer'!B:O,7,FALSE)*$BN$3,0)</f>
        <v>390</v>
      </c>
      <c r="CI48" s="381">
        <f>_xlfn.IFNA(VLOOKUP(A48,'Actuals Dep Summer'!B:O,8,FALSE)*$BN$3,0)</f>
        <v>585</v>
      </c>
      <c r="CJ48" s="381">
        <f>_xlfn.IFNA(VLOOKUP(A48,'Actuals Summer'!$A:$AG,31,FALSE),0)*$BN$3</f>
        <v>25.985695947185036</v>
      </c>
      <c r="CK48" s="381"/>
      <c r="CL48" s="381">
        <f>_xlfn.IFNA(VLOOKUP(A48,'Actuals Summer'!$A:$AG,32,FALSE),0)*$BN$3</f>
        <v>20280</v>
      </c>
      <c r="CM48" s="381">
        <f>_xlfn.IFNA(VLOOKUP(A48,'Actuals Summer'!$A:$AG,33,FALSE),0)</f>
        <v>0</v>
      </c>
      <c r="CP48" s="458">
        <f t="shared" si="14"/>
        <v>0</v>
      </c>
      <c r="CQ48" s="458">
        <f t="shared" si="15"/>
        <v>0</v>
      </c>
      <c r="CR48" s="458">
        <f t="shared" si="28"/>
        <v>0</v>
      </c>
      <c r="CS48" s="458">
        <f t="shared" si="16"/>
        <v>44148</v>
      </c>
      <c r="CT48" s="458">
        <f t="shared" si="17"/>
        <v>11037</v>
      </c>
      <c r="CU48" s="458">
        <f t="shared" si="18"/>
        <v>951.6</v>
      </c>
      <c r="CV48" s="458">
        <f t="shared" si="19"/>
        <v>113.1</v>
      </c>
      <c r="CW48" s="458">
        <f t="shared" si="20"/>
        <v>62.4</v>
      </c>
      <c r="CX48" s="458">
        <f t="shared" si="21"/>
        <v>1560</v>
      </c>
      <c r="CY48" s="458">
        <f t="shared" si="22"/>
        <v>74.578947368421041</v>
      </c>
      <c r="CZ48" s="458">
        <f t="shared" si="23"/>
        <v>186.44736842105263</v>
      </c>
      <c r="DA48" s="458">
        <f t="shared" si="24"/>
        <v>0</v>
      </c>
      <c r="DB48" s="458">
        <f t="shared" si="25"/>
        <v>58133.126315789472</v>
      </c>
      <c r="DC48" s="452">
        <f>_xlfn.XLOOKUP($A48,'Actuals Summer'!$A:$A,'Actuals Summer'!L:L,0,0)</f>
        <v>0</v>
      </c>
      <c r="DD48" s="452">
        <f>_xlfn.XLOOKUP($A48,'Actuals Summer'!$A:$A,'Actuals Summer'!K:K,0,0)+_xlfn.XLOOKUP($A48,'Actuals Summer'!$A:$A,'Actuals Summer'!Q:Q,0,0)</f>
        <v>0</v>
      </c>
      <c r="DE48" s="452">
        <f>_xlfn.XLOOKUP($A48,'Actuals Summer'!$A:$A,'Actuals Summer'!I:I,0,0)+_xlfn.XLOOKUP($A48,'Actuals Summer'!$A:$A,'Actuals Summer'!R:R,0,0)</f>
        <v>44148</v>
      </c>
      <c r="DF48" s="452">
        <f>_xlfn.XLOOKUP($A48,'Actuals Summer'!$A:$A,'Actuals Summer'!J:J,0,0)</f>
        <v>11037</v>
      </c>
      <c r="DG48" s="452">
        <f>_xlfn.XLOOKUP($A48,'Actuals Dep Summer'!$B:$B,'Actuals Dep Summer'!G:G,0,0)*'Actuals Dep Summer'!$F$2*'Actuals Dep Summer'!$C$2</f>
        <v>832.65</v>
      </c>
      <c r="DH48" s="452">
        <f>_xlfn.XLOOKUP($A48,'Actuals Dep Summer'!$B:$B,'Actuals Dep Summer'!H:H,0,0)*'Actuals Dep Summer'!$F$2*'Actuals Dep Summer'!$C$3</f>
        <v>113.1</v>
      </c>
      <c r="DI48" s="452">
        <f>_xlfn.XLOOKUP($A48,'Actuals Dep Summer'!$B:$B,'Actuals Dep Summer'!I:I,0,0)*'Actuals Dep Summer'!$F$2*'Actuals Dep Summer'!$C$4</f>
        <v>46.800000000000004</v>
      </c>
      <c r="DJ48" s="452">
        <f>_xlfn.XLOOKUP($A48,'Actuals Summer'!$A:$A,'Actuals Summer'!P:P,0,0)</f>
        <v>1560</v>
      </c>
      <c r="DK48" s="452">
        <f>_xlfn.XLOOKUP($A48,'Actuals Summer'!$A:$A,'Actuals Summer'!O:O,0,0)</f>
        <v>149.15789473684211</v>
      </c>
      <c r="DL48" s="452"/>
      <c r="DM48" s="452">
        <f>_xlfn.XLOOKUP($A48,'Actuals Summer'!$A:$A,'Actuals Summer'!M:M,0,0)</f>
        <v>0</v>
      </c>
      <c r="DN48" s="453">
        <f t="shared" si="29"/>
        <v>57886.707894736843</v>
      </c>
      <c r="DO48" s="453">
        <f>_xlfn.XLOOKUP(A48,'Actuals Summer'!A:A,'Actuals Summer'!S:S,0,0)-'Summer data team '!DN48</f>
        <v>0</v>
      </c>
      <c r="DP48" s="463">
        <f t="shared" si="30"/>
        <v>246.41842105262913</v>
      </c>
    </row>
    <row r="49" spans="1:120" ht="13" x14ac:dyDescent="0.3">
      <c r="A49" s="364">
        <v>2055</v>
      </c>
      <c r="B49" s="364">
        <v>3302055</v>
      </c>
      <c r="C49" s="364" t="s">
        <v>69</v>
      </c>
      <c r="D49" s="506">
        <v>0</v>
      </c>
      <c r="E49" s="506">
        <v>0</v>
      </c>
      <c r="F49" s="506">
        <v>0</v>
      </c>
      <c r="G49" s="506">
        <v>12</v>
      </c>
      <c r="H49" s="506">
        <v>19</v>
      </c>
      <c r="I49" s="507">
        <v>0</v>
      </c>
      <c r="J49" s="507">
        <v>31</v>
      </c>
      <c r="K49" s="506">
        <v>7</v>
      </c>
      <c r="L49" s="506">
        <v>11</v>
      </c>
      <c r="M49" s="507">
        <v>18</v>
      </c>
      <c r="N49" s="506">
        <v>0</v>
      </c>
      <c r="O49" s="506">
        <v>0</v>
      </c>
      <c r="P49" s="506">
        <v>180</v>
      </c>
      <c r="Q49" s="506">
        <v>285</v>
      </c>
      <c r="R49" s="507">
        <v>465</v>
      </c>
      <c r="S49" s="506">
        <v>0</v>
      </c>
      <c r="T49" s="506">
        <v>0</v>
      </c>
      <c r="U49" s="506">
        <v>105</v>
      </c>
      <c r="V49" s="506">
        <v>165</v>
      </c>
      <c r="W49" s="507">
        <v>270</v>
      </c>
      <c r="X49" s="506">
        <v>1</v>
      </c>
      <c r="Y49" s="506">
        <v>15</v>
      </c>
      <c r="Z49" s="508">
        <v>0</v>
      </c>
      <c r="AA49" s="506">
        <v>3</v>
      </c>
      <c r="AB49" s="506">
        <v>45</v>
      </c>
      <c r="AC49" s="508">
        <v>15</v>
      </c>
      <c r="AD49" s="506">
        <v>8</v>
      </c>
      <c r="AE49" s="506">
        <v>120</v>
      </c>
      <c r="AF49" s="508">
        <v>75</v>
      </c>
      <c r="AG49" s="509">
        <v>0</v>
      </c>
      <c r="AH49" s="509">
        <v>0</v>
      </c>
      <c r="AI49" s="508">
        <v>0</v>
      </c>
      <c r="AJ49" s="509">
        <v>2</v>
      </c>
      <c r="AK49" s="509">
        <v>30</v>
      </c>
      <c r="AL49" s="508">
        <v>0</v>
      </c>
      <c r="AM49" s="506">
        <v>2</v>
      </c>
      <c r="AN49" s="506">
        <v>30</v>
      </c>
      <c r="AO49" s="508">
        <v>0</v>
      </c>
      <c r="AP49" s="508"/>
      <c r="AQ49" s="508">
        <f t="shared" si="3"/>
        <v>2</v>
      </c>
      <c r="AR49" s="509">
        <v>0</v>
      </c>
      <c r="AS49" s="509">
        <v>0</v>
      </c>
      <c r="AT49" s="508">
        <v>0</v>
      </c>
      <c r="AU49" s="509">
        <v>0</v>
      </c>
      <c r="AV49" s="509">
        <v>0</v>
      </c>
      <c r="AW49" s="508">
        <v>0</v>
      </c>
      <c r="AX49" s="506">
        <v>0</v>
      </c>
      <c r="AY49" s="506">
        <v>0</v>
      </c>
      <c r="AZ49" s="508">
        <v>0</v>
      </c>
      <c r="BA49" s="508"/>
      <c r="BB49" s="508">
        <f t="shared" si="4"/>
        <v>0</v>
      </c>
      <c r="BC49" s="509">
        <v>0</v>
      </c>
      <c r="BD49" s="509">
        <v>0</v>
      </c>
      <c r="BE49" s="506">
        <v>0</v>
      </c>
      <c r="BF49" s="200"/>
      <c r="BG49" s="200"/>
      <c r="BH49" s="200"/>
      <c r="BI49" s="200"/>
      <c r="BJ49" s="200"/>
      <c r="BK49" s="200"/>
      <c r="BL49" s="200"/>
      <c r="BM49" s="505">
        <f t="shared" si="5"/>
        <v>0</v>
      </c>
      <c r="BN49" s="200">
        <f t="shared" si="6"/>
        <v>0</v>
      </c>
      <c r="BO49" s="200">
        <f t="shared" si="27"/>
        <v>0</v>
      </c>
      <c r="BP49" s="200">
        <f t="shared" si="7"/>
        <v>6045</v>
      </c>
      <c r="BQ49" s="200">
        <f t="shared" si="8"/>
        <v>3510</v>
      </c>
      <c r="BR49" s="200">
        <f t="shared" si="9"/>
        <v>195</v>
      </c>
      <c r="BS49" s="200">
        <f t="shared" si="10"/>
        <v>780</v>
      </c>
      <c r="BT49" s="200">
        <f t="shared" si="11"/>
        <v>2535</v>
      </c>
      <c r="BU49" s="200">
        <f t="shared" si="12"/>
        <v>390</v>
      </c>
      <c r="BV49" s="200">
        <v>0</v>
      </c>
      <c r="BW49" s="200">
        <v>0</v>
      </c>
      <c r="BX49" s="200">
        <f t="shared" si="13"/>
        <v>0</v>
      </c>
      <c r="CB49" s="381">
        <f>_xlfn.IFNA(VLOOKUP(A49,'Actuals Summer'!$A:$AG,23,FALSE),0)</f>
        <v>6045.0000000000009</v>
      </c>
      <c r="CC49" s="381">
        <f>_xlfn.IFNA(VLOOKUP(A49,'Actuals Summer'!$A:$AG,24,FALSE),0)</f>
        <v>3510.0000000000005</v>
      </c>
      <c r="CD49" s="381">
        <f>_xlfn.IFNA(VLOOKUP(A49,'Actuals Summer'!$A:$AG,25,FALSE),0)</f>
        <v>0</v>
      </c>
      <c r="CE49" s="381">
        <f>_xlfn.IFNA(VLOOKUP(A49,'Actuals Summer'!$A:$AG,26,FALSE),0)</f>
        <v>0</v>
      </c>
      <c r="CF49" s="381">
        <f>_xlfn.IFNA(VLOOKUP(A49,'Actuals Summer'!$A:$AG,27,FALSE),0)</f>
        <v>0</v>
      </c>
      <c r="CG49" s="381">
        <f>_xlfn.IFNA(VLOOKUP(A49,'Actuals Dep Summer'!B:O,6,FALSE)*$BN$3,0)</f>
        <v>195</v>
      </c>
      <c r="CH49" s="381">
        <f>_xlfn.IFNA(VLOOKUP(A49,'Actuals Dep Summer'!B:O,7,FALSE)*$BN$3,0)</f>
        <v>585</v>
      </c>
      <c r="CI49" s="381">
        <f>_xlfn.IFNA(VLOOKUP(A49,'Actuals Dep Summer'!B:O,8,FALSE)*$BN$3,0)</f>
        <v>1560</v>
      </c>
      <c r="CJ49" s="381">
        <f>_xlfn.IFNA(VLOOKUP(A49,'Actuals Summer'!$A:$AG,31,FALSE),0)*$BN$3</f>
        <v>0</v>
      </c>
      <c r="CK49" s="381"/>
      <c r="CL49" s="381">
        <f>_xlfn.IFNA(VLOOKUP(A49,'Actuals Summer'!$A:$AG,32,FALSE),0)*$BN$3</f>
        <v>5070</v>
      </c>
      <c r="CM49" s="381">
        <f>_xlfn.IFNA(VLOOKUP(A49,'Actuals Summer'!$A:$AG,33,FALSE),0)</f>
        <v>0</v>
      </c>
      <c r="CP49" s="458">
        <f t="shared" si="14"/>
        <v>0</v>
      </c>
      <c r="CQ49" s="458">
        <f t="shared" si="15"/>
        <v>0</v>
      </c>
      <c r="CR49" s="458">
        <f t="shared" si="28"/>
        <v>0</v>
      </c>
      <c r="CS49" s="458">
        <f t="shared" si="16"/>
        <v>34214.700000000004</v>
      </c>
      <c r="CT49" s="458">
        <f t="shared" si="17"/>
        <v>19866.600000000002</v>
      </c>
      <c r="CU49" s="458">
        <f t="shared" si="18"/>
        <v>118.95</v>
      </c>
      <c r="CV49" s="458">
        <f t="shared" si="19"/>
        <v>226.2</v>
      </c>
      <c r="CW49" s="458">
        <f t="shared" si="20"/>
        <v>202.8</v>
      </c>
      <c r="CX49" s="458">
        <f t="shared" si="21"/>
        <v>390</v>
      </c>
      <c r="CY49" s="458">
        <f t="shared" si="22"/>
        <v>0</v>
      </c>
      <c r="CZ49" s="458">
        <f t="shared" si="23"/>
        <v>0</v>
      </c>
      <c r="DA49" s="458">
        <f t="shared" si="24"/>
        <v>0</v>
      </c>
      <c r="DB49" s="458">
        <f t="shared" si="25"/>
        <v>55019.25</v>
      </c>
      <c r="DC49" s="452">
        <f>_xlfn.XLOOKUP($A49,'Actuals Summer'!$A:$A,'Actuals Summer'!L:L,0,0)</f>
        <v>0</v>
      </c>
      <c r="DD49" s="452">
        <f>_xlfn.XLOOKUP($A49,'Actuals Summer'!$A:$A,'Actuals Summer'!K:K,0,0)+_xlfn.XLOOKUP($A49,'Actuals Summer'!$A:$A,'Actuals Summer'!Q:Q,0,0)</f>
        <v>0</v>
      </c>
      <c r="DE49" s="452">
        <f>_xlfn.XLOOKUP($A49,'Actuals Summer'!$A:$A,'Actuals Summer'!I:I,0,0)+_xlfn.XLOOKUP($A49,'Actuals Summer'!$A:$A,'Actuals Summer'!R:R,0,0)</f>
        <v>34214.700000000004</v>
      </c>
      <c r="DF49" s="452">
        <f>_xlfn.XLOOKUP($A49,'Actuals Summer'!$A:$A,'Actuals Summer'!J:J,0,0)</f>
        <v>19866.600000000002</v>
      </c>
      <c r="DG49" s="452">
        <f>_xlfn.XLOOKUP($A49,'Actuals Dep Summer'!$B:$B,'Actuals Dep Summer'!G:G,0,0)*'Actuals Dep Summer'!$F$2*'Actuals Dep Summer'!$C$2</f>
        <v>118.95</v>
      </c>
      <c r="DH49" s="452">
        <f>_xlfn.XLOOKUP($A49,'Actuals Dep Summer'!$B:$B,'Actuals Dep Summer'!H:H,0,0)*'Actuals Dep Summer'!$F$2*'Actuals Dep Summer'!$C$3</f>
        <v>169.64999999999998</v>
      </c>
      <c r="DI49" s="452">
        <f>_xlfn.XLOOKUP($A49,'Actuals Dep Summer'!$B:$B,'Actuals Dep Summer'!I:I,0,0)*'Actuals Dep Summer'!$F$2*'Actuals Dep Summer'!$C$4</f>
        <v>124.8</v>
      </c>
      <c r="DJ49" s="452">
        <f>_xlfn.XLOOKUP($A49,'Actuals Summer'!$A:$A,'Actuals Summer'!P:P,0,0)</f>
        <v>390</v>
      </c>
      <c r="DK49" s="452">
        <f>_xlfn.XLOOKUP($A49,'Actuals Summer'!$A:$A,'Actuals Summer'!O:O,0,0)</f>
        <v>0</v>
      </c>
      <c r="DL49" s="452"/>
      <c r="DM49" s="452">
        <f>_xlfn.XLOOKUP($A49,'Actuals Summer'!$A:$A,'Actuals Summer'!M:M,0,0)</f>
        <v>0</v>
      </c>
      <c r="DN49" s="453">
        <f t="shared" si="29"/>
        <v>54884.700000000004</v>
      </c>
      <c r="DO49" s="453">
        <f>_xlfn.XLOOKUP(A49,'Actuals Summer'!A:A,'Actuals Summer'!S:S,0,0)-'Summer data team '!DN49</f>
        <v>0</v>
      </c>
      <c r="DP49" s="463">
        <f t="shared" si="30"/>
        <v>134.54999999999563</v>
      </c>
    </row>
    <row r="50" spans="1:120" ht="13" x14ac:dyDescent="0.3">
      <c r="A50" s="364">
        <v>2056</v>
      </c>
      <c r="B50" s="364">
        <v>3302056</v>
      </c>
      <c r="C50" s="364" t="s">
        <v>262</v>
      </c>
      <c r="D50" s="506">
        <v>0</v>
      </c>
      <c r="E50" s="506">
        <v>0</v>
      </c>
      <c r="F50" s="506">
        <v>0</v>
      </c>
      <c r="G50" s="506">
        <v>15</v>
      </c>
      <c r="H50" s="506">
        <v>25</v>
      </c>
      <c r="I50" s="507">
        <v>0</v>
      </c>
      <c r="J50" s="507">
        <v>40</v>
      </c>
      <c r="K50" s="506">
        <v>1</v>
      </c>
      <c r="L50" s="506">
        <v>1</v>
      </c>
      <c r="M50" s="507">
        <v>2</v>
      </c>
      <c r="N50" s="506">
        <v>0</v>
      </c>
      <c r="O50" s="506">
        <v>0</v>
      </c>
      <c r="P50" s="506">
        <v>225</v>
      </c>
      <c r="Q50" s="506">
        <v>375</v>
      </c>
      <c r="R50" s="507">
        <v>600</v>
      </c>
      <c r="S50" s="506">
        <v>0</v>
      </c>
      <c r="T50" s="506">
        <v>0</v>
      </c>
      <c r="U50" s="506">
        <v>15</v>
      </c>
      <c r="V50" s="506">
        <v>15</v>
      </c>
      <c r="W50" s="507">
        <v>30</v>
      </c>
      <c r="X50" s="506">
        <v>12</v>
      </c>
      <c r="Y50" s="506">
        <v>180</v>
      </c>
      <c r="Z50" s="508">
        <v>15</v>
      </c>
      <c r="AA50" s="506">
        <v>10</v>
      </c>
      <c r="AB50" s="506">
        <v>150</v>
      </c>
      <c r="AC50" s="508">
        <v>15</v>
      </c>
      <c r="AD50" s="506">
        <v>10</v>
      </c>
      <c r="AE50" s="506">
        <v>150</v>
      </c>
      <c r="AF50" s="508">
        <v>0</v>
      </c>
      <c r="AG50" s="509">
        <v>0</v>
      </c>
      <c r="AH50" s="509">
        <v>0</v>
      </c>
      <c r="AI50" s="508">
        <v>0</v>
      </c>
      <c r="AJ50" s="509">
        <v>15</v>
      </c>
      <c r="AK50" s="509">
        <v>225</v>
      </c>
      <c r="AL50" s="508">
        <v>0</v>
      </c>
      <c r="AM50" s="506">
        <v>15</v>
      </c>
      <c r="AN50" s="506">
        <v>225</v>
      </c>
      <c r="AO50" s="508">
        <v>0</v>
      </c>
      <c r="AP50" s="508"/>
      <c r="AQ50" s="508">
        <f t="shared" si="3"/>
        <v>15</v>
      </c>
      <c r="AR50" s="509">
        <v>0</v>
      </c>
      <c r="AS50" s="509">
        <v>0</v>
      </c>
      <c r="AT50" s="508">
        <v>0</v>
      </c>
      <c r="AU50" s="509">
        <v>13</v>
      </c>
      <c r="AV50" s="509">
        <v>195</v>
      </c>
      <c r="AW50" s="508">
        <v>0</v>
      </c>
      <c r="AX50" s="506">
        <v>13</v>
      </c>
      <c r="AY50" s="506">
        <v>195</v>
      </c>
      <c r="AZ50" s="508">
        <v>0</v>
      </c>
      <c r="BA50" s="508"/>
      <c r="BB50" s="508">
        <f t="shared" si="4"/>
        <v>26</v>
      </c>
      <c r="BC50" s="509">
        <v>0</v>
      </c>
      <c r="BD50" s="509">
        <v>0</v>
      </c>
      <c r="BE50" s="506">
        <v>0</v>
      </c>
      <c r="BF50" s="200"/>
      <c r="BG50" s="200"/>
      <c r="BH50" s="200"/>
      <c r="BI50" s="200"/>
      <c r="BJ50" s="200"/>
      <c r="BK50" s="200"/>
      <c r="BL50" s="200"/>
      <c r="BM50" s="505">
        <f t="shared" si="5"/>
        <v>0</v>
      </c>
      <c r="BN50" s="200">
        <f t="shared" si="6"/>
        <v>0</v>
      </c>
      <c r="BO50" s="200">
        <f t="shared" si="27"/>
        <v>0</v>
      </c>
      <c r="BP50" s="200">
        <f t="shared" si="7"/>
        <v>7800</v>
      </c>
      <c r="BQ50" s="200">
        <f t="shared" si="8"/>
        <v>390</v>
      </c>
      <c r="BR50" s="200">
        <f t="shared" si="9"/>
        <v>2535</v>
      </c>
      <c r="BS50" s="200">
        <f t="shared" si="10"/>
        <v>2145</v>
      </c>
      <c r="BT50" s="200">
        <f t="shared" si="11"/>
        <v>1950</v>
      </c>
      <c r="BU50" s="200">
        <f t="shared" si="12"/>
        <v>2925</v>
      </c>
      <c r="BV50" s="200">
        <v>13</v>
      </c>
      <c r="BW50" s="200">
        <v>0</v>
      </c>
      <c r="BX50" s="200">
        <f t="shared" si="13"/>
        <v>0</v>
      </c>
      <c r="CB50" s="381">
        <f>_xlfn.IFNA(VLOOKUP(A50,'Actuals Summer'!$A:$AG,23,FALSE),0)</f>
        <v>7800</v>
      </c>
      <c r="CC50" s="381">
        <f>_xlfn.IFNA(VLOOKUP(A50,'Actuals Summer'!$A:$AG,24,FALSE),0)</f>
        <v>390</v>
      </c>
      <c r="CD50" s="381">
        <f>_xlfn.IFNA(VLOOKUP(A50,'Actuals Summer'!$A:$AG,25,FALSE),0)</f>
        <v>0</v>
      </c>
      <c r="CE50" s="381">
        <f>_xlfn.IFNA(VLOOKUP(A50,'Actuals Summer'!$A:$AG,26,FALSE),0)</f>
        <v>0</v>
      </c>
      <c r="CF50" s="381">
        <f>_xlfn.IFNA(VLOOKUP(A50,'Actuals Summer'!$A:$AG,27,FALSE),0)</f>
        <v>0</v>
      </c>
      <c r="CG50" s="381">
        <f>_xlfn.IFNA(VLOOKUP(A50,'Actuals Dep Summer'!B:O,6,FALSE)*$BN$3,0)</f>
        <v>2340</v>
      </c>
      <c r="CH50" s="381">
        <f>_xlfn.IFNA(VLOOKUP(A50,'Actuals Dep Summer'!B:O,7,FALSE)*$BN$3,0)</f>
        <v>1950</v>
      </c>
      <c r="CI50" s="381">
        <f>_xlfn.IFNA(VLOOKUP(A50,'Actuals Dep Summer'!B:O,8,FALSE)*$BN$3,0)</f>
        <v>1950</v>
      </c>
      <c r="CJ50" s="381">
        <f>_xlfn.IFNA(VLOOKUP(A50,'Actuals Summer'!$A:$AG,31,FALSE),0)*$BN$3</f>
        <v>168.90702365670273</v>
      </c>
      <c r="CK50" s="381"/>
      <c r="CL50" s="381">
        <f>_xlfn.IFNA(VLOOKUP(A50,'Actuals Summer'!$A:$AG,32,FALSE),0)*$BN$3</f>
        <v>38025</v>
      </c>
      <c r="CM50" s="381">
        <f>_xlfn.IFNA(VLOOKUP(A50,'Actuals Summer'!$A:$AG,33,FALSE),0)</f>
        <v>0</v>
      </c>
      <c r="CP50" s="458">
        <f t="shared" si="14"/>
        <v>0</v>
      </c>
      <c r="CQ50" s="458">
        <f t="shared" si="15"/>
        <v>0</v>
      </c>
      <c r="CR50" s="458">
        <f t="shared" si="28"/>
        <v>0</v>
      </c>
      <c r="CS50" s="458">
        <f t="shared" si="16"/>
        <v>44148</v>
      </c>
      <c r="CT50" s="458">
        <f t="shared" si="17"/>
        <v>2207.4</v>
      </c>
      <c r="CU50" s="458">
        <f t="shared" si="18"/>
        <v>1546.35</v>
      </c>
      <c r="CV50" s="458">
        <f t="shared" si="19"/>
        <v>622.04999999999995</v>
      </c>
      <c r="CW50" s="458">
        <f t="shared" si="20"/>
        <v>156</v>
      </c>
      <c r="CX50" s="458">
        <f t="shared" si="21"/>
        <v>2925</v>
      </c>
      <c r="CY50" s="458">
        <f t="shared" si="22"/>
        <v>969.52631578947353</v>
      </c>
      <c r="CZ50" s="458">
        <f t="shared" si="23"/>
        <v>0</v>
      </c>
      <c r="DA50" s="458">
        <f t="shared" si="24"/>
        <v>0</v>
      </c>
      <c r="DB50" s="458">
        <f t="shared" si="25"/>
        <v>52574.326315789476</v>
      </c>
      <c r="DC50" s="452">
        <f>_xlfn.XLOOKUP($A50,'Actuals Summer'!$A:$A,'Actuals Summer'!L:L,0,0)</f>
        <v>0</v>
      </c>
      <c r="DD50" s="452">
        <f>_xlfn.XLOOKUP($A50,'Actuals Summer'!$A:$A,'Actuals Summer'!K:K,0,0)+_xlfn.XLOOKUP($A50,'Actuals Summer'!$A:$A,'Actuals Summer'!Q:Q,0,0)</f>
        <v>0</v>
      </c>
      <c r="DE50" s="452">
        <f>_xlfn.XLOOKUP($A50,'Actuals Summer'!$A:$A,'Actuals Summer'!I:I,0,0)+_xlfn.XLOOKUP($A50,'Actuals Summer'!$A:$A,'Actuals Summer'!R:R,0,0)</f>
        <v>44148</v>
      </c>
      <c r="DF50" s="452">
        <f>_xlfn.XLOOKUP($A50,'Actuals Summer'!$A:$A,'Actuals Summer'!J:J,0,0)</f>
        <v>2207.4</v>
      </c>
      <c r="DG50" s="452">
        <f>_xlfn.XLOOKUP($A50,'Actuals Dep Summer'!$B:$B,'Actuals Dep Summer'!G:G,0,0)*'Actuals Dep Summer'!$F$2*'Actuals Dep Summer'!$C$2</f>
        <v>1427.3999999999999</v>
      </c>
      <c r="DH50" s="452">
        <f>_xlfn.XLOOKUP($A50,'Actuals Dep Summer'!$B:$B,'Actuals Dep Summer'!H:H,0,0)*'Actuals Dep Summer'!$F$2*'Actuals Dep Summer'!$C$3</f>
        <v>565.5</v>
      </c>
      <c r="DI50" s="452">
        <f>_xlfn.XLOOKUP($A50,'Actuals Dep Summer'!$B:$B,'Actuals Dep Summer'!I:I,0,0)*'Actuals Dep Summer'!$F$2*'Actuals Dep Summer'!$C$4</f>
        <v>156</v>
      </c>
      <c r="DJ50" s="452">
        <f>_xlfn.XLOOKUP($A50,'Actuals Summer'!$A:$A,'Actuals Summer'!P:P,0,0)</f>
        <v>2925</v>
      </c>
      <c r="DK50" s="452">
        <f>_xlfn.XLOOKUP($A50,'Actuals Summer'!$A:$A,'Actuals Summer'!O:O,0,0)</f>
        <v>969.52631578947376</v>
      </c>
      <c r="DL50" s="452"/>
      <c r="DM50" s="452">
        <f>_xlfn.XLOOKUP($A50,'Actuals Summer'!$A:$A,'Actuals Summer'!M:M,0,0)</f>
        <v>0</v>
      </c>
      <c r="DN50" s="453">
        <f t="shared" si="29"/>
        <v>52398.826315789476</v>
      </c>
      <c r="DO50" s="453">
        <f>_xlfn.XLOOKUP(A50,'Actuals Summer'!A:A,'Actuals Summer'!S:S,0,0)-'Summer data team '!DN50</f>
        <v>0</v>
      </c>
      <c r="DP50" s="463">
        <f t="shared" si="30"/>
        <v>175.5</v>
      </c>
    </row>
    <row r="51" spans="1:120" ht="13" x14ac:dyDescent="0.3">
      <c r="A51" s="364">
        <v>2057</v>
      </c>
      <c r="B51" s="364">
        <v>3302057</v>
      </c>
      <c r="C51" s="364" t="s">
        <v>263</v>
      </c>
      <c r="D51" s="506">
        <v>0</v>
      </c>
      <c r="E51" s="506">
        <v>0</v>
      </c>
      <c r="F51" s="506">
        <v>0</v>
      </c>
      <c r="G51" s="506">
        <v>21</v>
      </c>
      <c r="H51" s="506">
        <v>18</v>
      </c>
      <c r="I51" s="507">
        <v>0</v>
      </c>
      <c r="J51" s="507">
        <v>39</v>
      </c>
      <c r="K51" s="506">
        <v>0</v>
      </c>
      <c r="L51" s="506">
        <v>0</v>
      </c>
      <c r="M51" s="507">
        <v>0</v>
      </c>
      <c r="N51" s="506">
        <v>0</v>
      </c>
      <c r="O51" s="506">
        <v>0</v>
      </c>
      <c r="P51" s="506">
        <v>315</v>
      </c>
      <c r="Q51" s="506">
        <v>270</v>
      </c>
      <c r="R51" s="507">
        <v>585</v>
      </c>
      <c r="S51" s="506">
        <v>0</v>
      </c>
      <c r="T51" s="506">
        <v>0</v>
      </c>
      <c r="U51" s="506">
        <v>0</v>
      </c>
      <c r="V51" s="506">
        <v>0</v>
      </c>
      <c r="W51" s="507">
        <v>0</v>
      </c>
      <c r="X51" s="506">
        <v>10</v>
      </c>
      <c r="Y51" s="506">
        <v>150</v>
      </c>
      <c r="Z51" s="508">
        <v>0</v>
      </c>
      <c r="AA51" s="506">
        <v>12</v>
      </c>
      <c r="AB51" s="506">
        <v>180</v>
      </c>
      <c r="AC51" s="508">
        <v>0</v>
      </c>
      <c r="AD51" s="506">
        <v>13</v>
      </c>
      <c r="AE51" s="506">
        <v>195</v>
      </c>
      <c r="AF51" s="508">
        <v>0</v>
      </c>
      <c r="AG51" s="509">
        <v>0</v>
      </c>
      <c r="AH51" s="509">
        <v>0</v>
      </c>
      <c r="AI51" s="508">
        <v>0</v>
      </c>
      <c r="AJ51" s="509">
        <v>21</v>
      </c>
      <c r="AK51" s="509">
        <v>315</v>
      </c>
      <c r="AL51" s="508">
        <v>0</v>
      </c>
      <c r="AM51" s="506">
        <v>21</v>
      </c>
      <c r="AN51" s="506">
        <v>315</v>
      </c>
      <c r="AO51" s="508">
        <v>0</v>
      </c>
      <c r="AP51" s="508"/>
      <c r="AQ51" s="508">
        <f t="shared" si="3"/>
        <v>21</v>
      </c>
      <c r="AR51" s="509">
        <v>0</v>
      </c>
      <c r="AS51" s="509">
        <v>0</v>
      </c>
      <c r="AT51" s="508">
        <v>0</v>
      </c>
      <c r="AU51" s="509">
        <v>21</v>
      </c>
      <c r="AV51" s="509">
        <v>315</v>
      </c>
      <c r="AW51" s="508">
        <v>0</v>
      </c>
      <c r="AX51" s="506">
        <v>21</v>
      </c>
      <c r="AY51" s="506">
        <v>315</v>
      </c>
      <c r="AZ51" s="508">
        <v>0</v>
      </c>
      <c r="BA51" s="508"/>
      <c r="BB51" s="508">
        <f t="shared" si="4"/>
        <v>42</v>
      </c>
      <c r="BC51" s="509">
        <v>0</v>
      </c>
      <c r="BD51" s="509">
        <v>0</v>
      </c>
      <c r="BE51" s="506">
        <v>0</v>
      </c>
      <c r="BF51" s="200"/>
      <c r="BG51" s="200"/>
      <c r="BH51" s="200"/>
      <c r="BI51" s="200"/>
      <c r="BJ51" s="200"/>
      <c r="BK51" s="200"/>
      <c r="BL51" s="200"/>
      <c r="BM51" s="505">
        <f t="shared" si="5"/>
        <v>0</v>
      </c>
      <c r="BN51" s="200">
        <f t="shared" si="6"/>
        <v>0</v>
      </c>
      <c r="BO51" s="200">
        <f t="shared" si="27"/>
        <v>0</v>
      </c>
      <c r="BP51" s="200">
        <f t="shared" si="7"/>
        <v>7605</v>
      </c>
      <c r="BQ51" s="200">
        <f t="shared" si="8"/>
        <v>0</v>
      </c>
      <c r="BR51" s="200">
        <f t="shared" si="9"/>
        <v>1950</v>
      </c>
      <c r="BS51" s="200">
        <f t="shared" si="10"/>
        <v>2340</v>
      </c>
      <c r="BT51" s="200">
        <f t="shared" si="11"/>
        <v>2535</v>
      </c>
      <c r="BU51" s="200">
        <f t="shared" si="12"/>
        <v>4095</v>
      </c>
      <c r="BV51" s="200">
        <v>21</v>
      </c>
      <c r="BW51" s="200">
        <v>0</v>
      </c>
      <c r="BX51" s="200">
        <f t="shared" si="13"/>
        <v>0</v>
      </c>
      <c r="CB51" s="381">
        <f>_xlfn.IFNA(VLOOKUP(A51,'Actuals Summer'!$A:$AG,23,FALSE),0)</f>
        <v>7605</v>
      </c>
      <c r="CC51" s="381">
        <f>_xlfn.IFNA(VLOOKUP(A51,'Actuals Summer'!$A:$AG,24,FALSE),0)</f>
        <v>0</v>
      </c>
      <c r="CD51" s="381">
        <f>_xlfn.IFNA(VLOOKUP(A51,'Actuals Summer'!$A:$AG,25,FALSE),0)</f>
        <v>0</v>
      </c>
      <c r="CE51" s="381">
        <f>_xlfn.IFNA(VLOOKUP(A51,'Actuals Summer'!$A:$AG,26,FALSE),0)</f>
        <v>0</v>
      </c>
      <c r="CF51" s="381">
        <f>_xlfn.IFNA(VLOOKUP(A51,'Actuals Summer'!$A:$AG,27,FALSE),0)</f>
        <v>0</v>
      </c>
      <c r="CG51" s="381">
        <f>_xlfn.IFNA(VLOOKUP(A51,'Actuals Dep Summer'!B:O,6,FALSE)*$BN$3,0)</f>
        <v>1950</v>
      </c>
      <c r="CH51" s="381">
        <f>_xlfn.IFNA(VLOOKUP(A51,'Actuals Dep Summer'!B:O,7,FALSE)*$BN$3,0)</f>
        <v>2340</v>
      </c>
      <c r="CI51" s="381">
        <f>_xlfn.IFNA(VLOOKUP(A51,'Actuals Dep Summer'!B:O,8,FALSE)*$BN$3,0)</f>
        <v>2535</v>
      </c>
      <c r="CJ51" s="381">
        <f>_xlfn.IFNA(VLOOKUP(A51,'Actuals Summer'!$A:$AG,31,FALSE),0)*$BN$3</f>
        <v>272.84980744544282</v>
      </c>
      <c r="CK51" s="381"/>
      <c r="CL51" s="381">
        <f>_xlfn.IFNA(VLOOKUP(A51,'Actuals Summer'!$A:$AG,32,FALSE),0)*$BN$3</f>
        <v>53235</v>
      </c>
      <c r="CM51" s="381">
        <f>_xlfn.IFNA(VLOOKUP(A51,'Actuals Summer'!$A:$AG,33,FALSE),0)</f>
        <v>0</v>
      </c>
      <c r="CP51" s="458">
        <f t="shared" si="14"/>
        <v>0</v>
      </c>
      <c r="CQ51" s="458">
        <f t="shared" si="15"/>
        <v>0</v>
      </c>
      <c r="CR51" s="458">
        <f t="shared" si="28"/>
        <v>0</v>
      </c>
      <c r="CS51" s="458">
        <f t="shared" si="16"/>
        <v>43044.3</v>
      </c>
      <c r="CT51" s="458">
        <f t="shared" si="17"/>
        <v>0</v>
      </c>
      <c r="CU51" s="458">
        <f t="shared" si="18"/>
        <v>1189.5</v>
      </c>
      <c r="CV51" s="458">
        <f t="shared" si="19"/>
        <v>678.59999999999991</v>
      </c>
      <c r="CW51" s="458">
        <f t="shared" si="20"/>
        <v>202.8</v>
      </c>
      <c r="CX51" s="458">
        <f t="shared" si="21"/>
        <v>4095</v>
      </c>
      <c r="CY51" s="458">
        <f t="shared" si="22"/>
        <v>1566.1578947368419</v>
      </c>
      <c r="CZ51" s="458">
        <f t="shared" si="23"/>
        <v>0</v>
      </c>
      <c r="DA51" s="458">
        <f t="shared" si="24"/>
        <v>0</v>
      </c>
      <c r="DB51" s="458">
        <f t="shared" si="25"/>
        <v>50776.357894736844</v>
      </c>
      <c r="DC51" s="452">
        <f>_xlfn.XLOOKUP($A51,'Actuals Summer'!$A:$A,'Actuals Summer'!L:L,0,0)</f>
        <v>0</v>
      </c>
      <c r="DD51" s="452">
        <f>_xlfn.XLOOKUP($A51,'Actuals Summer'!$A:$A,'Actuals Summer'!K:K,0,0)+_xlfn.XLOOKUP($A51,'Actuals Summer'!$A:$A,'Actuals Summer'!Q:Q,0,0)</f>
        <v>0</v>
      </c>
      <c r="DE51" s="452">
        <f>_xlfn.XLOOKUP($A51,'Actuals Summer'!$A:$A,'Actuals Summer'!I:I,0,0)+_xlfn.XLOOKUP($A51,'Actuals Summer'!$A:$A,'Actuals Summer'!R:R,0,0)</f>
        <v>43044.3</v>
      </c>
      <c r="DF51" s="452">
        <f>_xlfn.XLOOKUP($A51,'Actuals Summer'!$A:$A,'Actuals Summer'!J:J,0,0)</f>
        <v>0</v>
      </c>
      <c r="DG51" s="452">
        <f>_xlfn.XLOOKUP($A51,'Actuals Dep Summer'!$B:$B,'Actuals Dep Summer'!G:G,0,0)*'Actuals Dep Summer'!$F$2*'Actuals Dep Summer'!$C$2</f>
        <v>1189.5</v>
      </c>
      <c r="DH51" s="452">
        <f>_xlfn.XLOOKUP($A51,'Actuals Dep Summer'!$B:$B,'Actuals Dep Summer'!H:H,0,0)*'Actuals Dep Summer'!$F$2*'Actuals Dep Summer'!$C$3</f>
        <v>678.59999999999991</v>
      </c>
      <c r="DI51" s="452">
        <f>_xlfn.XLOOKUP($A51,'Actuals Dep Summer'!$B:$B,'Actuals Dep Summer'!I:I,0,0)*'Actuals Dep Summer'!$F$2*'Actuals Dep Summer'!$C$4</f>
        <v>202.8</v>
      </c>
      <c r="DJ51" s="452">
        <f>_xlfn.XLOOKUP($A51,'Actuals Summer'!$A:$A,'Actuals Summer'!P:P,0,0)</f>
        <v>4095</v>
      </c>
      <c r="DK51" s="452">
        <f>_xlfn.XLOOKUP($A51,'Actuals Summer'!$A:$A,'Actuals Summer'!O:O,0,0)</f>
        <v>1566.1578947368421</v>
      </c>
      <c r="DL51" s="452"/>
      <c r="DM51" s="452">
        <f>_xlfn.XLOOKUP($A51,'Actuals Summer'!$A:$A,'Actuals Summer'!M:M,0,0)</f>
        <v>0</v>
      </c>
      <c r="DN51" s="453">
        <f t="shared" si="29"/>
        <v>50776.357894736844</v>
      </c>
      <c r="DO51" s="453">
        <f>_xlfn.XLOOKUP(A51,'Actuals Summer'!A:A,'Actuals Summer'!S:S,0,0)-'Summer data team '!DN51</f>
        <v>0</v>
      </c>
      <c r="DP51" s="463">
        <f t="shared" si="30"/>
        <v>0</v>
      </c>
    </row>
    <row r="52" spans="1:120" ht="13" x14ac:dyDescent="0.3">
      <c r="A52" s="364">
        <v>2058</v>
      </c>
      <c r="B52" s="364">
        <v>3302058</v>
      </c>
      <c r="C52" s="364" t="s">
        <v>264</v>
      </c>
      <c r="D52" s="506">
        <v>0</v>
      </c>
      <c r="E52" s="506">
        <v>0</v>
      </c>
      <c r="F52" s="506">
        <v>0</v>
      </c>
      <c r="G52" s="506">
        <v>17</v>
      </c>
      <c r="H52" s="506">
        <v>15</v>
      </c>
      <c r="I52" s="507">
        <v>0</v>
      </c>
      <c r="J52" s="507">
        <v>32</v>
      </c>
      <c r="K52" s="506">
        <v>7</v>
      </c>
      <c r="L52" s="506">
        <v>2</v>
      </c>
      <c r="M52" s="507">
        <v>9</v>
      </c>
      <c r="N52" s="506">
        <v>0</v>
      </c>
      <c r="O52" s="506">
        <v>0</v>
      </c>
      <c r="P52" s="506">
        <v>255</v>
      </c>
      <c r="Q52" s="506">
        <v>225</v>
      </c>
      <c r="R52" s="507">
        <v>480</v>
      </c>
      <c r="S52" s="506">
        <v>0</v>
      </c>
      <c r="T52" s="506">
        <v>0</v>
      </c>
      <c r="U52" s="506">
        <v>105</v>
      </c>
      <c r="V52" s="506">
        <v>30</v>
      </c>
      <c r="W52" s="507">
        <v>135</v>
      </c>
      <c r="X52" s="506">
        <v>5</v>
      </c>
      <c r="Y52" s="506">
        <v>75</v>
      </c>
      <c r="Z52" s="508">
        <v>15</v>
      </c>
      <c r="AA52" s="506">
        <v>18</v>
      </c>
      <c r="AB52" s="506">
        <v>270</v>
      </c>
      <c r="AC52" s="508">
        <v>75</v>
      </c>
      <c r="AD52" s="506">
        <v>8</v>
      </c>
      <c r="AE52" s="506">
        <v>120</v>
      </c>
      <c r="AF52" s="508">
        <v>30</v>
      </c>
      <c r="AG52" s="509">
        <v>0</v>
      </c>
      <c r="AH52" s="509">
        <v>0</v>
      </c>
      <c r="AI52" s="508">
        <v>0</v>
      </c>
      <c r="AJ52" s="509">
        <v>16</v>
      </c>
      <c r="AK52" s="509">
        <v>240</v>
      </c>
      <c r="AL52" s="508">
        <v>15</v>
      </c>
      <c r="AM52" s="506">
        <v>16</v>
      </c>
      <c r="AN52" s="506">
        <v>240</v>
      </c>
      <c r="AO52" s="508">
        <v>15</v>
      </c>
      <c r="AP52" s="508"/>
      <c r="AQ52" s="508">
        <f t="shared" si="3"/>
        <v>16</v>
      </c>
      <c r="AR52" s="509">
        <v>0</v>
      </c>
      <c r="AS52" s="509">
        <v>0</v>
      </c>
      <c r="AT52" s="508">
        <v>0</v>
      </c>
      <c r="AU52" s="509">
        <v>16</v>
      </c>
      <c r="AV52" s="509">
        <v>240</v>
      </c>
      <c r="AW52" s="508">
        <v>15</v>
      </c>
      <c r="AX52" s="506">
        <v>16</v>
      </c>
      <c r="AY52" s="506">
        <v>240</v>
      </c>
      <c r="AZ52" s="508">
        <v>15</v>
      </c>
      <c r="BA52" s="508"/>
      <c r="BB52" s="508">
        <f t="shared" si="4"/>
        <v>32</v>
      </c>
      <c r="BC52" s="509">
        <v>0</v>
      </c>
      <c r="BD52" s="509">
        <v>0</v>
      </c>
      <c r="BE52" s="506">
        <v>0</v>
      </c>
      <c r="BF52" s="200"/>
      <c r="BG52" s="200"/>
      <c r="BH52" s="200"/>
      <c r="BI52" s="200"/>
      <c r="BJ52" s="200"/>
      <c r="BK52" s="200"/>
      <c r="BL52" s="200"/>
      <c r="BM52" s="505">
        <f t="shared" si="5"/>
        <v>0</v>
      </c>
      <c r="BN52" s="200">
        <f t="shared" si="6"/>
        <v>0</v>
      </c>
      <c r="BO52" s="200">
        <f t="shared" si="27"/>
        <v>0</v>
      </c>
      <c r="BP52" s="200">
        <f t="shared" si="7"/>
        <v>6240</v>
      </c>
      <c r="BQ52" s="200">
        <f t="shared" si="8"/>
        <v>1755</v>
      </c>
      <c r="BR52" s="200">
        <f t="shared" si="9"/>
        <v>1170</v>
      </c>
      <c r="BS52" s="200">
        <f t="shared" si="10"/>
        <v>4485</v>
      </c>
      <c r="BT52" s="200">
        <f t="shared" si="11"/>
        <v>1950</v>
      </c>
      <c r="BU52" s="200">
        <f t="shared" si="12"/>
        <v>3120</v>
      </c>
      <c r="BV52" s="200">
        <v>15</v>
      </c>
      <c r="BW52" s="200">
        <v>1</v>
      </c>
      <c r="BX52" s="200">
        <f t="shared" si="13"/>
        <v>0</v>
      </c>
      <c r="CB52" s="381">
        <f>_xlfn.IFNA(VLOOKUP(A52,'Actuals Summer'!$A:$AG,23,FALSE),0)</f>
        <v>6240</v>
      </c>
      <c r="CC52" s="381">
        <f>_xlfn.IFNA(VLOOKUP(A52,'Actuals Summer'!$A:$AG,24,FALSE),0)</f>
        <v>1755.0000000000002</v>
      </c>
      <c r="CD52" s="381">
        <f>_xlfn.IFNA(VLOOKUP(A52,'Actuals Summer'!$A:$AG,25,FALSE),0)</f>
        <v>0</v>
      </c>
      <c r="CE52" s="381">
        <f>_xlfn.IFNA(VLOOKUP(A52,'Actuals Summer'!$A:$AG,26,FALSE),0)</f>
        <v>0</v>
      </c>
      <c r="CF52" s="381">
        <f>_xlfn.IFNA(VLOOKUP(A52,'Actuals Summer'!$A:$AG,27,FALSE),0)</f>
        <v>0</v>
      </c>
      <c r="CG52" s="381">
        <f>_xlfn.IFNA(VLOOKUP(A52,'Actuals Dep Summer'!B:O,6,FALSE)*$BN$3,0)</f>
        <v>975</v>
      </c>
      <c r="CH52" s="381">
        <f>_xlfn.IFNA(VLOOKUP(A52,'Actuals Dep Summer'!B:O,7,FALSE)*$BN$3,0)</f>
        <v>3510</v>
      </c>
      <c r="CI52" s="381">
        <f>_xlfn.IFNA(VLOOKUP(A52,'Actuals Dep Summer'!B:O,8,FALSE)*$BN$3,0)</f>
        <v>1560</v>
      </c>
      <c r="CJ52" s="381">
        <f>_xlfn.IFNA(VLOOKUP(A52,'Actuals Summer'!$A:$AG,31,FALSE),0)*$BN$3</f>
        <v>207.88556757748029</v>
      </c>
      <c r="CK52" s="381"/>
      <c r="CL52" s="381">
        <f>_xlfn.IFNA(VLOOKUP(A52,'Actuals Summer'!$A:$AG,32,FALSE),0)*$BN$3</f>
        <v>40560</v>
      </c>
      <c r="CM52" s="381">
        <f>_xlfn.IFNA(VLOOKUP(A52,'Actuals Summer'!$A:$AG,33,FALSE),0)</f>
        <v>0</v>
      </c>
      <c r="CP52" s="458">
        <f t="shared" si="14"/>
        <v>0</v>
      </c>
      <c r="CQ52" s="458">
        <f t="shared" si="15"/>
        <v>0</v>
      </c>
      <c r="CR52" s="458">
        <f t="shared" si="28"/>
        <v>0</v>
      </c>
      <c r="CS52" s="458">
        <f t="shared" si="16"/>
        <v>35318.400000000001</v>
      </c>
      <c r="CT52" s="458">
        <f t="shared" si="17"/>
        <v>9933.3000000000011</v>
      </c>
      <c r="CU52" s="458">
        <f t="shared" si="18"/>
        <v>713.69999999999993</v>
      </c>
      <c r="CV52" s="458">
        <f t="shared" si="19"/>
        <v>1300.6499999999999</v>
      </c>
      <c r="CW52" s="458">
        <f t="shared" si="20"/>
        <v>156</v>
      </c>
      <c r="CX52" s="458">
        <f t="shared" si="21"/>
        <v>3120</v>
      </c>
      <c r="CY52" s="458">
        <f t="shared" si="22"/>
        <v>1118.6842105263158</v>
      </c>
      <c r="CZ52" s="458">
        <f t="shared" si="23"/>
        <v>186.44736842105263</v>
      </c>
      <c r="DA52" s="458">
        <f t="shared" si="24"/>
        <v>0</v>
      </c>
      <c r="DB52" s="458">
        <f t="shared" si="25"/>
        <v>51847.181578947369</v>
      </c>
      <c r="DC52" s="452">
        <f>_xlfn.XLOOKUP($A52,'Actuals Summer'!$A:$A,'Actuals Summer'!L:L,0,0)</f>
        <v>0</v>
      </c>
      <c r="DD52" s="452">
        <f>_xlfn.XLOOKUP($A52,'Actuals Summer'!$A:$A,'Actuals Summer'!K:K,0,0)+_xlfn.XLOOKUP($A52,'Actuals Summer'!$A:$A,'Actuals Summer'!Q:Q,0,0)</f>
        <v>0</v>
      </c>
      <c r="DE52" s="452">
        <f>_xlfn.XLOOKUP($A52,'Actuals Summer'!$A:$A,'Actuals Summer'!I:I,0,0)+_xlfn.XLOOKUP($A52,'Actuals Summer'!$A:$A,'Actuals Summer'!R:R,0,0)</f>
        <v>35318.400000000001</v>
      </c>
      <c r="DF52" s="452">
        <f>_xlfn.XLOOKUP($A52,'Actuals Summer'!$A:$A,'Actuals Summer'!J:J,0,0)</f>
        <v>9933.3000000000011</v>
      </c>
      <c r="DG52" s="452">
        <f>_xlfn.XLOOKUP($A52,'Actuals Dep Summer'!$B:$B,'Actuals Dep Summer'!G:G,0,0)*'Actuals Dep Summer'!$F$2*'Actuals Dep Summer'!$C$2</f>
        <v>594.75</v>
      </c>
      <c r="DH52" s="452">
        <f>_xlfn.XLOOKUP($A52,'Actuals Dep Summer'!$B:$B,'Actuals Dep Summer'!H:H,0,0)*'Actuals Dep Summer'!$F$2*'Actuals Dep Summer'!$C$3</f>
        <v>1017.9</v>
      </c>
      <c r="DI52" s="452">
        <f>_xlfn.XLOOKUP($A52,'Actuals Dep Summer'!$B:$B,'Actuals Dep Summer'!I:I,0,0)*'Actuals Dep Summer'!$F$2*'Actuals Dep Summer'!$C$4</f>
        <v>124.8</v>
      </c>
      <c r="DJ52" s="452">
        <f>_xlfn.XLOOKUP($A52,'Actuals Summer'!$A:$A,'Actuals Summer'!P:P,0,0)</f>
        <v>3120</v>
      </c>
      <c r="DK52" s="452">
        <f>_xlfn.XLOOKUP($A52,'Actuals Summer'!$A:$A,'Actuals Summer'!O:O,0,0)</f>
        <v>1193.2631578947369</v>
      </c>
      <c r="DL52" s="452"/>
      <c r="DM52" s="452">
        <f>_xlfn.XLOOKUP($A52,'Actuals Summer'!$A:$A,'Actuals Summer'!M:M,0,0)</f>
        <v>0</v>
      </c>
      <c r="DN52" s="453">
        <f t="shared" si="29"/>
        <v>51302.413157894749</v>
      </c>
      <c r="DO52" s="453">
        <f>_xlfn.XLOOKUP(A52,'Actuals Summer'!A:A,'Actuals Summer'!S:S,0,0)-'Summer data team '!DN52</f>
        <v>0</v>
      </c>
      <c r="DP52" s="463">
        <f t="shared" si="30"/>
        <v>544.7684210526204</v>
      </c>
    </row>
    <row r="53" spans="1:120" ht="13" x14ac:dyDescent="0.3">
      <c r="A53" s="364">
        <v>2059</v>
      </c>
      <c r="B53" s="364">
        <v>3302059</v>
      </c>
      <c r="C53" s="364" t="s">
        <v>265</v>
      </c>
      <c r="D53" s="506">
        <v>0</v>
      </c>
      <c r="E53" s="506">
        <v>0</v>
      </c>
      <c r="F53" s="506">
        <v>0</v>
      </c>
      <c r="G53" s="506">
        <v>6</v>
      </c>
      <c r="H53" s="506">
        <v>4</v>
      </c>
      <c r="I53" s="507">
        <v>0</v>
      </c>
      <c r="J53" s="507">
        <v>10</v>
      </c>
      <c r="K53" s="506">
        <v>1</v>
      </c>
      <c r="L53" s="506">
        <v>2</v>
      </c>
      <c r="M53" s="507">
        <v>3</v>
      </c>
      <c r="N53" s="506">
        <v>0</v>
      </c>
      <c r="O53" s="506">
        <v>0</v>
      </c>
      <c r="P53" s="506">
        <v>90</v>
      </c>
      <c r="Q53" s="506">
        <v>60</v>
      </c>
      <c r="R53" s="507">
        <v>150</v>
      </c>
      <c r="S53" s="506">
        <v>0</v>
      </c>
      <c r="T53" s="506">
        <v>0</v>
      </c>
      <c r="U53" s="506">
        <v>15</v>
      </c>
      <c r="V53" s="506">
        <v>30</v>
      </c>
      <c r="W53" s="507">
        <v>45</v>
      </c>
      <c r="X53" s="506">
        <v>1</v>
      </c>
      <c r="Y53" s="506">
        <v>15</v>
      </c>
      <c r="Z53" s="508">
        <v>0</v>
      </c>
      <c r="AA53" s="506">
        <v>9</v>
      </c>
      <c r="AB53" s="506">
        <v>135</v>
      </c>
      <c r="AC53" s="508">
        <v>45</v>
      </c>
      <c r="AD53" s="506">
        <v>0</v>
      </c>
      <c r="AE53" s="506">
        <v>0</v>
      </c>
      <c r="AF53" s="508">
        <v>0</v>
      </c>
      <c r="AG53" s="509">
        <v>0</v>
      </c>
      <c r="AH53" s="509">
        <v>0</v>
      </c>
      <c r="AI53" s="508">
        <v>0</v>
      </c>
      <c r="AJ53" s="509">
        <v>3</v>
      </c>
      <c r="AK53" s="509">
        <v>45</v>
      </c>
      <c r="AL53" s="508">
        <v>0</v>
      </c>
      <c r="AM53" s="506">
        <v>3</v>
      </c>
      <c r="AN53" s="506">
        <v>45</v>
      </c>
      <c r="AO53" s="508">
        <v>0</v>
      </c>
      <c r="AP53" s="508"/>
      <c r="AQ53" s="508">
        <f t="shared" si="3"/>
        <v>3</v>
      </c>
      <c r="AR53" s="509">
        <v>0</v>
      </c>
      <c r="AS53" s="509">
        <v>0</v>
      </c>
      <c r="AT53" s="508">
        <v>0</v>
      </c>
      <c r="AU53" s="509">
        <v>3</v>
      </c>
      <c r="AV53" s="509">
        <v>45</v>
      </c>
      <c r="AW53" s="508">
        <v>0</v>
      </c>
      <c r="AX53" s="506">
        <v>3</v>
      </c>
      <c r="AY53" s="506">
        <v>45</v>
      </c>
      <c r="AZ53" s="508">
        <v>0</v>
      </c>
      <c r="BA53" s="508"/>
      <c r="BB53" s="508">
        <f t="shared" si="4"/>
        <v>6</v>
      </c>
      <c r="BC53" s="509">
        <v>0</v>
      </c>
      <c r="BD53" s="509">
        <v>0</v>
      </c>
      <c r="BE53" s="506">
        <v>0</v>
      </c>
      <c r="BF53" s="200"/>
      <c r="BG53" s="200"/>
      <c r="BH53" s="200"/>
      <c r="BI53" s="200"/>
      <c r="BJ53" s="200"/>
      <c r="BK53" s="200"/>
      <c r="BL53" s="200"/>
      <c r="BM53" s="505">
        <f t="shared" si="5"/>
        <v>0</v>
      </c>
      <c r="BN53" s="200">
        <f t="shared" si="6"/>
        <v>0</v>
      </c>
      <c r="BO53" s="200">
        <f t="shared" si="27"/>
        <v>0</v>
      </c>
      <c r="BP53" s="200">
        <f t="shared" si="7"/>
        <v>1950</v>
      </c>
      <c r="BQ53" s="200">
        <f t="shared" si="8"/>
        <v>585</v>
      </c>
      <c r="BR53" s="200">
        <f t="shared" si="9"/>
        <v>195</v>
      </c>
      <c r="BS53" s="200">
        <f t="shared" si="10"/>
        <v>2340</v>
      </c>
      <c r="BT53" s="200">
        <f t="shared" si="11"/>
        <v>0</v>
      </c>
      <c r="BU53" s="200">
        <f t="shared" si="12"/>
        <v>585</v>
      </c>
      <c r="BV53" s="200">
        <v>3</v>
      </c>
      <c r="BW53" s="200">
        <v>0</v>
      </c>
      <c r="BX53" s="200">
        <f t="shared" si="13"/>
        <v>0</v>
      </c>
      <c r="CB53" s="381">
        <f>_xlfn.IFNA(VLOOKUP(A53,'Actuals Summer'!$A:$AG,23,FALSE),0)</f>
        <v>1950</v>
      </c>
      <c r="CC53" s="381">
        <f>_xlfn.IFNA(VLOOKUP(A53,'Actuals Summer'!$A:$AG,24,FALSE),0)</f>
        <v>585</v>
      </c>
      <c r="CD53" s="381">
        <f>_xlfn.IFNA(VLOOKUP(A53,'Actuals Summer'!$A:$AG,25,FALSE),0)</f>
        <v>0</v>
      </c>
      <c r="CE53" s="381">
        <f>_xlfn.IFNA(VLOOKUP(A53,'Actuals Summer'!$A:$AG,26,FALSE),0)</f>
        <v>0</v>
      </c>
      <c r="CF53" s="381">
        <f>_xlfn.IFNA(VLOOKUP(A53,'Actuals Summer'!$A:$AG,27,FALSE),0)</f>
        <v>0</v>
      </c>
      <c r="CG53" s="381">
        <f>_xlfn.IFNA(VLOOKUP(A53,'Actuals Dep Summer'!B:O,6,FALSE)*$BN$3,0)</f>
        <v>195</v>
      </c>
      <c r="CH53" s="381">
        <f>_xlfn.IFNA(VLOOKUP(A53,'Actuals Dep Summer'!B:O,7,FALSE)*$BN$3,0)</f>
        <v>1755</v>
      </c>
      <c r="CI53" s="381">
        <f>_xlfn.IFNA(VLOOKUP(A53,'Actuals Dep Summer'!B:O,8,FALSE)*$BN$3,0)</f>
        <v>0</v>
      </c>
      <c r="CJ53" s="381">
        <f>_xlfn.IFNA(VLOOKUP(A53,'Actuals Summer'!$A:$AG,31,FALSE),0)*$BN$3</f>
        <v>38.978543920777561</v>
      </c>
      <c r="CK53" s="381"/>
      <c r="CL53" s="381">
        <f>_xlfn.IFNA(VLOOKUP(A53,'Actuals Summer'!$A:$AG,32,FALSE),0)*$BN$3</f>
        <v>7605</v>
      </c>
      <c r="CM53" s="381">
        <f>_xlfn.IFNA(VLOOKUP(A53,'Actuals Summer'!$A:$AG,33,FALSE),0)</f>
        <v>0</v>
      </c>
      <c r="CP53" s="458">
        <f t="shared" si="14"/>
        <v>0</v>
      </c>
      <c r="CQ53" s="458">
        <f t="shared" si="15"/>
        <v>0</v>
      </c>
      <c r="CR53" s="458">
        <f t="shared" si="28"/>
        <v>0</v>
      </c>
      <c r="CS53" s="458">
        <f t="shared" si="16"/>
        <v>11037</v>
      </c>
      <c r="CT53" s="458">
        <f t="shared" si="17"/>
        <v>3311.1</v>
      </c>
      <c r="CU53" s="458">
        <f t="shared" si="18"/>
        <v>118.95</v>
      </c>
      <c r="CV53" s="458">
        <f t="shared" si="19"/>
        <v>678.59999999999991</v>
      </c>
      <c r="CW53" s="458">
        <f t="shared" si="20"/>
        <v>0</v>
      </c>
      <c r="CX53" s="458">
        <f t="shared" si="21"/>
        <v>585</v>
      </c>
      <c r="CY53" s="458">
        <f t="shared" si="22"/>
        <v>223.73684210526315</v>
      </c>
      <c r="CZ53" s="458">
        <f t="shared" si="23"/>
        <v>0</v>
      </c>
      <c r="DA53" s="458">
        <f t="shared" si="24"/>
        <v>0</v>
      </c>
      <c r="DB53" s="458">
        <f t="shared" si="25"/>
        <v>15954.386842105265</v>
      </c>
      <c r="DC53" s="452">
        <f>_xlfn.XLOOKUP($A53,'Actuals Summer'!$A:$A,'Actuals Summer'!L:L,0,0)</f>
        <v>0</v>
      </c>
      <c r="DD53" s="452">
        <f>_xlfn.XLOOKUP($A53,'Actuals Summer'!$A:$A,'Actuals Summer'!K:K,0,0)+_xlfn.XLOOKUP($A53,'Actuals Summer'!$A:$A,'Actuals Summer'!Q:Q,0,0)</f>
        <v>0</v>
      </c>
      <c r="DE53" s="452">
        <f>_xlfn.XLOOKUP($A53,'Actuals Summer'!$A:$A,'Actuals Summer'!I:I,0,0)+_xlfn.XLOOKUP($A53,'Actuals Summer'!$A:$A,'Actuals Summer'!R:R,0,0)</f>
        <v>11037</v>
      </c>
      <c r="DF53" s="452">
        <f>_xlfn.XLOOKUP($A53,'Actuals Summer'!$A:$A,'Actuals Summer'!J:J,0,0)</f>
        <v>3311.1</v>
      </c>
      <c r="DG53" s="452">
        <f>_xlfn.XLOOKUP($A53,'Actuals Dep Summer'!$B:$B,'Actuals Dep Summer'!G:G,0,0)*'Actuals Dep Summer'!$F$2*'Actuals Dep Summer'!$C$2</f>
        <v>118.95</v>
      </c>
      <c r="DH53" s="452">
        <f>_xlfn.XLOOKUP($A53,'Actuals Dep Summer'!$B:$B,'Actuals Dep Summer'!H:H,0,0)*'Actuals Dep Summer'!$F$2*'Actuals Dep Summer'!$C$3</f>
        <v>508.95</v>
      </c>
      <c r="DI53" s="452">
        <f>_xlfn.XLOOKUP($A53,'Actuals Dep Summer'!$B:$B,'Actuals Dep Summer'!I:I,0,0)*'Actuals Dep Summer'!$F$2*'Actuals Dep Summer'!$C$4</f>
        <v>0</v>
      </c>
      <c r="DJ53" s="452">
        <f>_xlfn.XLOOKUP($A53,'Actuals Summer'!$A:$A,'Actuals Summer'!P:P,0,0)</f>
        <v>585</v>
      </c>
      <c r="DK53" s="452">
        <f>_xlfn.XLOOKUP($A53,'Actuals Summer'!$A:$A,'Actuals Summer'!O:O,0,0)</f>
        <v>223.73684210526318</v>
      </c>
      <c r="DL53" s="452"/>
      <c r="DM53" s="452">
        <f>_xlfn.XLOOKUP($A53,'Actuals Summer'!$A:$A,'Actuals Summer'!M:M,0,0)</f>
        <v>0</v>
      </c>
      <c r="DN53" s="453">
        <f t="shared" si="29"/>
        <v>15784.736842105265</v>
      </c>
      <c r="DO53" s="453">
        <f>_xlfn.XLOOKUP(A53,'Actuals Summer'!A:A,'Actuals Summer'!S:S,0,0)-'Summer data team '!DN53</f>
        <v>0</v>
      </c>
      <c r="DP53" s="463">
        <f t="shared" si="30"/>
        <v>169.64999999999964</v>
      </c>
    </row>
    <row r="54" spans="1:120" ht="13" x14ac:dyDescent="0.3">
      <c r="A54" s="364">
        <v>2060</v>
      </c>
      <c r="B54" s="364">
        <v>3302060</v>
      </c>
      <c r="C54" s="364" t="s">
        <v>266</v>
      </c>
      <c r="D54" s="506">
        <v>0</v>
      </c>
      <c r="E54" s="506">
        <v>0</v>
      </c>
      <c r="F54" s="506">
        <v>0</v>
      </c>
      <c r="G54" s="506">
        <v>6</v>
      </c>
      <c r="H54" s="506">
        <v>12</v>
      </c>
      <c r="I54" s="507">
        <v>0</v>
      </c>
      <c r="J54" s="507">
        <v>18</v>
      </c>
      <c r="K54" s="506">
        <v>0</v>
      </c>
      <c r="L54" s="506">
        <v>0</v>
      </c>
      <c r="M54" s="507">
        <v>0</v>
      </c>
      <c r="N54" s="506">
        <v>0</v>
      </c>
      <c r="O54" s="506">
        <v>0</v>
      </c>
      <c r="P54" s="506">
        <v>90</v>
      </c>
      <c r="Q54" s="506">
        <v>180</v>
      </c>
      <c r="R54" s="507">
        <v>270</v>
      </c>
      <c r="S54" s="506">
        <v>0</v>
      </c>
      <c r="T54" s="506">
        <v>0</v>
      </c>
      <c r="U54" s="506">
        <v>0</v>
      </c>
      <c r="V54" s="506">
        <v>0</v>
      </c>
      <c r="W54" s="507">
        <v>0</v>
      </c>
      <c r="X54" s="506">
        <v>16</v>
      </c>
      <c r="Y54" s="506">
        <v>240</v>
      </c>
      <c r="Z54" s="508">
        <v>0</v>
      </c>
      <c r="AA54" s="506">
        <v>1</v>
      </c>
      <c r="AB54" s="506">
        <v>15</v>
      </c>
      <c r="AC54" s="508">
        <v>0</v>
      </c>
      <c r="AD54" s="506">
        <v>0</v>
      </c>
      <c r="AE54" s="506">
        <v>0</v>
      </c>
      <c r="AF54" s="508">
        <v>0</v>
      </c>
      <c r="AG54" s="509">
        <v>0</v>
      </c>
      <c r="AH54" s="509">
        <v>0</v>
      </c>
      <c r="AI54" s="508">
        <v>0</v>
      </c>
      <c r="AJ54" s="509">
        <v>12</v>
      </c>
      <c r="AK54" s="509">
        <v>180</v>
      </c>
      <c r="AL54" s="508">
        <v>0</v>
      </c>
      <c r="AM54" s="506">
        <v>12</v>
      </c>
      <c r="AN54" s="506">
        <v>180</v>
      </c>
      <c r="AO54" s="508">
        <v>0</v>
      </c>
      <c r="AP54" s="508"/>
      <c r="AQ54" s="508">
        <f t="shared" si="3"/>
        <v>12</v>
      </c>
      <c r="AR54" s="509">
        <v>0</v>
      </c>
      <c r="AS54" s="509">
        <v>0</v>
      </c>
      <c r="AT54" s="508">
        <v>0</v>
      </c>
      <c r="AU54" s="509">
        <v>12</v>
      </c>
      <c r="AV54" s="509">
        <v>180</v>
      </c>
      <c r="AW54" s="508">
        <v>0</v>
      </c>
      <c r="AX54" s="506">
        <v>12</v>
      </c>
      <c r="AY54" s="506">
        <v>180</v>
      </c>
      <c r="AZ54" s="508">
        <v>0</v>
      </c>
      <c r="BA54" s="508"/>
      <c r="BB54" s="508">
        <f t="shared" si="4"/>
        <v>24</v>
      </c>
      <c r="BC54" s="509">
        <v>0</v>
      </c>
      <c r="BD54" s="509">
        <v>0</v>
      </c>
      <c r="BE54" s="506">
        <v>0</v>
      </c>
      <c r="BF54" s="200"/>
      <c r="BG54" s="200"/>
      <c r="BH54" s="200"/>
      <c r="BI54" s="200"/>
      <c r="BJ54" s="200"/>
      <c r="BK54" s="200"/>
      <c r="BL54" s="200"/>
      <c r="BM54" s="505">
        <f t="shared" si="5"/>
        <v>0</v>
      </c>
      <c r="BN54" s="200">
        <f t="shared" si="6"/>
        <v>0</v>
      </c>
      <c r="BO54" s="200">
        <f t="shared" si="27"/>
        <v>0</v>
      </c>
      <c r="BP54" s="200">
        <f t="shared" si="7"/>
        <v>3510</v>
      </c>
      <c r="BQ54" s="200">
        <f t="shared" si="8"/>
        <v>0</v>
      </c>
      <c r="BR54" s="200">
        <f t="shared" si="9"/>
        <v>3120</v>
      </c>
      <c r="BS54" s="200">
        <f t="shared" si="10"/>
        <v>195</v>
      </c>
      <c r="BT54" s="200">
        <f t="shared" si="11"/>
        <v>0</v>
      </c>
      <c r="BU54" s="200">
        <f t="shared" si="12"/>
        <v>2340</v>
      </c>
      <c r="BV54" s="200">
        <v>12</v>
      </c>
      <c r="BW54" s="200">
        <v>0</v>
      </c>
      <c r="BX54" s="200">
        <f t="shared" si="13"/>
        <v>0</v>
      </c>
      <c r="CB54" s="381">
        <f>_xlfn.IFNA(VLOOKUP(A54,'Actuals Summer'!$A:$AG,23,FALSE),0)</f>
        <v>3510.0000000000005</v>
      </c>
      <c r="CC54" s="381">
        <f>_xlfn.IFNA(VLOOKUP(A54,'Actuals Summer'!$A:$AG,24,FALSE),0)</f>
        <v>0</v>
      </c>
      <c r="CD54" s="381">
        <f>_xlfn.IFNA(VLOOKUP(A54,'Actuals Summer'!$A:$AG,25,FALSE),0)</f>
        <v>0</v>
      </c>
      <c r="CE54" s="381">
        <f>_xlfn.IFNA(VLOOKUP(A54,'Actuals Summer'!$A:$AG,26,FALSE),0)</f>
        <v>0</v>
      </c>
      <c r="CF54" s="381">
        <f>_xlfn.IFNA(VLOOKUP(A54,'Actuals Summer'!$A:$AG,27,FALSE),0)</f>
        <v>0</v>
      </c>
      <c r="CG54" s="381">
        <f>_xlfn.IFNA(VLOOKUP(A54,'Actuals Dep Summer'!B:O,6,FALSE)*$BN$3,0)</f>
        <v>3120</v>
      </c>
      <c r="CH54" s="381">
        <f>_xlfn.IFNA(VLOOKUP(A54,'Actuals Dep Summer'!B:O,7,FALSE)*$BN$3,0)</f>
        <v>195</v>
      </c>
      <c r="CI54" s="381">
        <f>_xlfn.IFNA(VLOOKUP(A54,'Actuals Dep Summer'!B:O,8,FALSE)*$BN$3,0)</f>
        <v>0</v>
      </c>
      <c r="CJ54" s="381">
        <f>_xlfn.IFNA(VLOOKUP(A54,'Actuals Summer'!$A:$AG,31,FALSE),0)*$BN$3</f>
        <v>155.91417568311024</v>
      </c>
      <c r="CK54" s="381"/>
      <c r="CL54" s="381">
        <f>_xlfn.IFNA(VLOOKUP(A54,'Actuals Summer'!$A:$AG,32,FALSE),0)*$BN$3</f>
        <v>30420</v>
      </c>
      <c r="CM54" s="381">
        <f>_xlfn.IFNA(VLOOKUP(A54,'Actuals Summer'!$A:$AG,33,FALSE),0)</f>
        <v>0</v>
      </c>
      <c r="CP54" s="458">
        <f t="shared" si="14"/>
        <v>0</v>
      </c>
      <c r="CQ54" s="458">
        <f t="shared" si="15"/>
        <v>0</v>
      </c>
      <c r="CR54" s="458">
        <f t="shared" si="28"/>
        <v>0</v>
      </c>
      <c r="CS54" s="458">
        <f t="shared" si="16"/>
        <v>19866.600000000002</v>
      </c>
      <c r="CT54" s="458">
        <f t="shared" si="17"/>
        <v>0</v>
      </c>
      <c r="CU54" s="458">
        <f t="shared" si="18"/>
        <v>1903.2</v>
      </c>
      <c r="CV54" s="458">
        <f t="shared" si="19"/>
        <v>56.55</v>
      </c>
      <c r="CW54" s="458">
        <f t="shared" si="20"/>
        <v>0</v>
      </c>
      <c r="CX54" s="458">
        <f t="shared" si="21"/>
        <v>2340</v>
      </c>
      <c r="CY54" s="458">
        <f t="shared" si="22"/>
        <v>894.9473684210526</v>
      </c>
      <c r="CZ54" s="458">
        <f t="shared" si="23"/>
        <v>0</v>
      </c>
      <c r="DA54" s="458">
        <f t="shared" si="24"/>
        <v>0</v>
      </c>
      <c r="DB54" s="458">
        <f t="shared" si="25"/>
        <v>25061.297368421056</v>
      </c>
      <c r="DC54" s="452">
        <f>_xlfn.XLOOKUP($A54,'Actuals Summer'!$A:$A,'Actuals Summer'!L:L,0,0)</f>
        <v>0</v>
      </c>
      <c r="DD54" s="452">
        <f>_xlfn.XLOOKUP($A54,'Actuals Summer'!$A:$A,'Actuals Summer'!K:K,0,0)+_xlfn.XLOOKUP($A54,'Actuals Summer'!$A:$A,'Actuals Summer'!Q:Q,0,0)</f>
        <v>0</v>
      </c>
      <c r="DE54" s="452">
        <f>_xlfn.XLOOKUP($A54,'Actuals Summer'!$A:$A,'Actuals Summer'!I:I,0,0)+_xlfn.XLOOKUP($A54,'Actuals Summer'!$A:$A,'Actuals Summer'!R:R,0,0)</f>
        <v>19866.600000000002</v>
      </c>
      <c r="DF54" s="452">
        <f>_xlfn.XLOOKUP($A54,'Actuals Summer'!$A:$A,'Actuals Summer'!J:J,0,0)</f>
        <v>0</v>
      </c>
      <c r="DG54" s="452">
        <f>_xlfn.XLOOKUP($A54,'Actuals Dep Summer'!$B:$B,'Actuals Dep Summer'!G:G,0,0)*'Actuals Dep Summer'!$F$2*'Actuals Dep Summer'!$C$2</f>
        <v>1903.2</v>
      </c>
      <c r="DH54" s="452">
        <f>_xlfn.XLOOKUP($A54,'Actuals Dep Summer'!$B:$B,'Actuals Dep Summer'!H:H,0,0)*'Actuals Dep Summer'!$F$2*'Actuals Dep Summer'!$C$3</f>
        <v>56.55</v>
      </c>
      <c r="DI54" s="452">
        <f>_xlfn.XLOOKUP($A54,'Actuals Dep Summer'!$B:$B,'Actuals Dep Summer'!I:I,0,0)*'Actuals Dep Summer'!$F$2*'Actuals Dep Summer'!$C$4</f>
        <v>0</v>
      </c>
      <c r="DJ54" s="452">
        <f>_xlfn.XLOOKUP($A54,'Actuals Summer'!$A:$A,'Actuals Summer'!P:P,0,0)</f>
        <v>2340</v>
      </c>
      <c r="DK54" s="452">
        <f>_xlfn.XLOOKUP($A54,'Actuals Summer'!$A:$A,'Actuals Summer'!O:O,0,0)</f>
        <v>894.94736842105272</v>
      </c>
      <c r="DL54" s="452"/>
      <c r="DM54" s="452">
        <f>_xlfn.XLOOKUP($A54,'Actuals Summer'!$A:$A,'Actuals Summer'!M:M,0,0)</f>
        <v>0</v>
      </c>
      <c r="DN54" s="453">
        <f t="shared" si="29"/>
        <v>25061.297368421056</v>
      </c>
      <c r="DO54" s="453">
        <f>_xlfn.XLOOKUP(A54,'Actuals Summer'!A:A,'Actuals Summer'!S:S,0,0)-'Summer data team '!DN54</f>
        <v>0</v>
      </c>
      <c r="DP54" s="463">
        <f t="shared" si="30"/>
        <v>0</v>
      </c>
    </row>
    <row r="55" spans="1:120" ht="13" x14ac:dyDescent="0.3">
      <c r="A55" s="364">
        <v>2062</v>
      </c>
      <c r="B55" s="364">
        <v>3302062</v>
      </c>
      <c r="C55" s="364" t="s">
        <v>31</v>
      </c>
      <c r="D55" s="506">
        <v>0</v>
      </c>
      <c r="E55" s="506">
        <v>0</v>
      </c>
      <c r="F55" s="506">
        <v>0</v>
      </c>
      <c r="G55" s="506">
        <v>17</v>
      </c>
      <c r="H55" s="506">
        <v>21</v>
      </c>
      <c r="I55" s="507">
        <v>0</v>
      </c>
      <c r="J55" s="507">
        <v>38</v>
      </c>
      <c r="K55" s="506">
        <v>0</v>
      </c>
      <c r="L55" s="506">
        <v>0</v>
      </c>
      <c r="M55" s="507">
        <v>0</v>
      </c>
      <c r="N55" s="506">
        <v>0</v>
      </c>
      <c r="O55" s="506">
        <v>0</v>
      </c>
      <c r="P55" s="506">
        <v>255</v>
      </c>
      <c r="Q55" s="506">
        <v>315</v>
      </c>
      <c r="R55" s="507">
        <v>570</v>
      </c>
      <c r="S55" s="506">
        <v>0</v>
      </c>
      <c r="T55" s="506">
        <v>0</v>
      </c>
      <c r="U55" s="506">
        <v>0</v>
      </c>
      <c r="V55" s="506">
        <v>0</v>
      </c>
      <c r="W55" s="507">
        <v>0</v>
      </c>
      <c r="X55" s="506">
        <v>9</v>
      </c>
      <c r="Y55" s="506">
        <v>135</v>
      </c>
      <c r="Z55" s="508">
        <v>0</v>
      </c>
      <c r="AA55" s="506">
        <v>9</v>
      </c>
      <c r="AB55" s="506">
        <v>135</v>
      </c>
      <c r="AC55" s="508">
        <v>0</v>
      </c>
      <c r="AD55" s="506">
        <v>7</v>
      </c>
      <c r="AE55" s="506">
        <v>105</v>
      </c>
      <c r="AF55" s="508">
        <v>0</v>
      </c>
      <c r="AG55" s="509">
        <v>0</v>
      </c>
      <c r="AH55" s="509">
        <v>0</v>
      </c>
      <c r="AI55" s="508">
        <v>0</v>
      </c>
      <c r="AJ55" s="509">
        <v>15</v>
      </c>
      <c r="AK55" s="509">
        <v>225</v>
      </c>
      <c r="AL55" s="508">
        <v>0</v>
      </c>
      <c r="AM55" s="506">
        <v>15</v>
      </c>
      <c r="AN55" s="506">
        <v>225</v>
      </c>
      <c r="AO55" s="508">
        <v>0</v>
      </c>
      <c r="AP55" s="508"/>
      <c r="AQ55" s="508">
        <f t="shared" si="3"/>
        <v>15</v>
      </c>
      <c r="AR55" s="509">
        <v>0</v>
      </c>
      <c r="AS55" s="509">
        <v>0</v>
      </c>
      <c r="AT55" s="508">
        <v>0</v>
      </c>
      <c r="AU55" s="509">
        <v>0</v>
      </c>
      <c r="AV55" s="509">
        <v>0</v>
      </c>
      <c r="AW55" s="508">
        <v>0</v>
      </c>
      <c r="AX55" s="506">
        <v>0</v>
      </c>
      <c r="AY55" s="506">
        <v>0</v>
      </c>
      <c r="AZ55" s="508">
        <v>0</v>
      </c>
      <c r="BA55" s="508"/>
      <c r="BB55" s="508">
        <f t="shared" si="4"/>
        <v>0</v>
      </c>
      <c r="BC55" s="509">
        <v>0</v>
      </c>
      <c r="BD55" s="509">
        <v>0</v>
      </c>
      <c r="BE55" s="506">
        <v>0</v>
      </c>
      <c r="BF55" s="200"/>
      <c r="BG55" s="200"/>
      <c r="BH55" s="200"/>
      <c r="BI55" s="200"/>
      <c r="BJ55" s="200"/>
      <c r="BK55" s="200"/>
      <c r="BL55" s="200"/>
      <c r="BM55" s="505">
        <f t="shared" si="5"/>
        <v>0</v>
      </c>
      <c r="BN55" s="200">
        <f t="shared" si="6"/>
        <v>0</v>
      </c>
      <c r="BO55" s="200">
        <f t="shared" si="27"/>
        <v>0</v>
      </c>
      <c r="BP55" s="200">
        <f t="shared" si="7"/>
        <v>7410</v>
      </c>
      <c r="BQ55" s="200">
        <f t="shared" si="8"/>
        <v>0</v>
      </c>
      <c r="BR55" s="200">
        <f t="shared" si="9"/>
        <v>1755</v>
      </c>
      <c r="BS55" s="200">
        <f t="shared" si="10"/>
        <v>1755</v>
      </c>
      <c r="BT55" s="200">
        <f t="shared" si="11"/>
        <v>1365</v>
      </c>
      <c r="BU55" s="200">
        <f t="shared" si="12"/>
        <v>2925</v>
      </c>
      <c r="BV55" s="200">
        <v>0</v>
      </c>
      <c r="BW55" s="200">
        <v>0</v>
      </c>
      <c r="BX55" s="200">
        <f t="shared" si="13"/>
        <v>0</v>
      </c>
      <c r="CB55" s="381">
        <f>_xlfn.IFNA(VLOOKUP(A55,'Actuals Summer'!$A:$AG,23,FALSE),0)</f>
        <v>7410</v>
      </c>
      <c r="CC55" s="381">
        <f>_xlfn.IFNA(VLOOKUP(A55,'Actuals Summer'!$A:$AG,24,FALSE),0)</f>
        <v>0</v>
      </c>
      <c r="CD55" s="381">
        <f>_xlfn.IFNA(VLOOKUP(A55,'Actuals Summer'!$A:$AG,25,FALSE),0)</f>
        <v>0</v>
      </c>
      <c r="CE55" s="381">
        <f>_xlfn.IFNA(VLOOKUP(A55,'Actuals Summer'!$A:$AG,26,FALSE),0)</f>
        <v>0</v>
      </c>
      <c r="CF55" s="381">
        <f>_xlfn.IFNA(VLOOKUP(A55,'Actuals Summer'!$A:$AG,27,FALSE),0)</f>
        <v>0</v>
      </c>
      <c r="CG55" s="381">
        <f>_xlfn.IFNA(VLOOKUP(A55,'Actuals Dep Summer'!B:O,6,FALSE)*$BN$3,0)</f>
        <v>1755</v>
      </c>
      <c r="CH55" s="381">
        <f>_xlfn.IFNA(VLOOKUP(A55,'Actuals Dep Summer'!B:O,7,FALSE)*$BN$3,0)</f>
        <v>1755</v>
      </c>
      <c r="CI55" s="381">
        <f>_xlfn.IFNA(VLOOKUP(A55,'Actuals Dep Summer'!B:O,8,FALSE)*$BN$3,0)</f>
        <v>1365</v>
      </c>
      <c r="CJ55" s="381">
        <f>_xlfn.IFNA(VLOOKUP(A55,'Actuals Summer'!$A:$AG,31,FALSE),0)*$BN$3</f>
        <v>0</v>
      </c>
      <c r="CK55" s="381"/>
      <c r="CL55" s="381">
        <f>_xlfn.IFNA(VLOOKUP(A55,'Actuals Summer'!$A:$AG,32,FALSE),0)*$BN$3</f>
        <v>38025</v>
      </c>
      <c r="CM55" s="381">
        <f>_xlfn.IFNA(VLOOKUP(A55,'Actuals Summer'!$A:$AG,33,FALSE),0)</f>
        <v>0</v>
      </c>
      <c r="CP55" s="458">
        <f t="shared" si="14"/>
        <v>0</v>
      </c>
      <c r="CQ55" s="458">
        <f t="shared" si="15"/>
        <v>0</v>
      </c>
      <c r="CR55" s="458">
        <f t="shared" si="28"/>
        <v>0</v>
      </c>
      <c r="CS55" s="458">
        <f t="shared" si="16"/>
        <v>41940.6</v>
      </c>
      <c r="CT55" s="458">
        <f t="shared" si="17"/>
        <v>0</v>
      </c>
      <c r="CU55" s="458">
        <f t="shared" si="18"/>
        <v>1070.55</v>
      </c>
      <c r="CV55" s="458">
        <f t="shared" si="19"/>
        <v>508.95</v>
      </c>
      <c r="CW55" s="458">
        <f t="shared" si="20"/>
        <v>109.2</v>
      </c>
      <c r="CX55" s="458">
        <f t="shared" si="21"/>
        <v>2925</v>
      </c>
      <c r="CY55" s="458">
        <f t="shared" si="22"/>
        <v>0</v>
      </c>
      <c r="CZ55" s="458">
        <f t="shared" si="23"/>
        <v>0</v>
      </c>
      <c r="DA55" s="458">
        <f t="shared" si="24"/>
        <v>0</v>
      </c>
      <c r="DB55" s="458">
        <f t="shared" si="25"/>
        <v>46554.299999999996</v>
      </c>
      <c r="DC55" s="452">
        <f>_xlfn.XLOOKUP($A55,'Actuals Summer'!$A:$A,'Actuals Summer'!L:L,0,0)</f>
        <v>0</v>
      </c>
      <c r="DD55" s="452">
        <f>_xlfn.XLOOKUP($A55,'Actuals Summer'!$A:$A,'Actuals Summer'!K:K,0,0)+_xlfn.XLOOKUP($A55,'Actuals Summer'!$A:$A,'Actuals Summer'!Q:Q,0,0)</f>
        <v>0</v>
      </c>
      <c r="DE55" s="452">
        <f>_xlfn.XLOOKUP($A55,'Actuals Summer'!$A:$A,'Actuals Summer'!I:I,0,0)+_xlfn.XLOOKUP($A55,'Actuals Summer'!$A:$A,'Actuals Summer'!R:R,0,0)</f>
        <v>41940.6</v>
      </c>
      <c r="DF55" s="452">
        <f>_xlfn.XLOOKUP($A55,'Actuals Summer'!$A:$A,'Actuals Summer'!J:J,0,0)</f>
        <v>0</v>
      </c>
      <c r="DG55" s="452">
        <f>_xlfn.XLOOKUP($A55,'Actuals Dep Summer'!$B:$B,'Actuals Dep Summer'!G:G,0,0)*'Actuals Dep Summer'!$F$2*'Actuals Dep Summer'!$C$2</f>
        <v>1070.55</v>
      </c>
      <c r="DH55" s="452">
        <f>_xlfn.XLOOKUP($A55,'Actuals Dep Summer'!$B:$B,'Actuals Dep Summer'!H:H,0,0)*'Actuals Dep Summer'!$F$2*'Actuals Dep Summer'!$C$3</f>
        <v>508.95</v>
      </c>
      <c r="DI55" s="452">
        <f>_xlfn.XLOOKUP($A55,'Actuals Dep Summer'!$B:$B,'Actuals Dep Summer'!I:I,0,0)*'Actuals Dep Summer'!$F$2*'Actuals Dep Summer'!$C$4</f>
        <v>109.2</v>
      </c>
      <c r="DJ55" s="452">
        <f>_xlfn.XLOOKUP($A55,'Actuals Summer'!$A:$A,'Actuals Summer'!P:P,0,0)</f>
        <v>2925</v>
      </c>
      <c r="DK55" s="452">
        <f>_xlfn.XLOOKUP($A55,'Actuals Summer'!$A:$A,'Actuals Summer'!O:O,0,0)</f>
        <v>0</v>
      </c>
      <c r="DL55" s="452"/>
      <c r="DM55" s="452">
        <f>_xlfn.XLOOKUP($A55,'Actuals Summer'!$A:$A,'Actuals Summer'!M:M,0,0)</f>
        <v>0</v>
      </c>
      <c r="DN55" s="453">
        <f t="shared" si="29"/>
        <v>46554.299999999996</v>
      </c>
      <c r="DO55" s="453">
        <f>_xlfn.XLOOKUP(A55,'Actuals Summer'!A:A,'Actuals Summer'!S:S,0,0)-'Summer data team '!DN55</f>
        <v>0</v>
      </c>
      <c r="DP55" s="463">
        <f t="shared" si="30"/>
        <v>0</v>
      </c>
    </row>
    <row r="56" spans="1:120" ht="13" x14ac:dyDescent="0.3">
      <c r="A56" s="364">
        <v>2063</v>
      </c>
      <c r="B56" s="364">
        <v>3302063</v>
      </c>
      <c r="C56" s="364" t="s">
        <v>127</v>
      </c>
      <c r="D56" s="506">
        <v>0</v>
      </c>
      <c r="E56" s="506">
        <v>0</v>
      </c>
      <c r="F56" s="506">
        <v>0</v>
      </c>
      <c r="G56" s="506">
        <v>7</v>
      </c>
      <c r="H56" s="506">
        <v>20</v>
      </c>
      <c r="I56" s="507">
        <v>0</v>
      </c>
      <c r="J56" s="507">
        <v>27</v>
      </c>
      <c r="K56" s="506">
        <v>0</v>
      </c>
      <c r="L56" s="506">
        <v>0</v>
      </c>
      <c r="M56" s="507">
        <v>0</v>
      </c>
      <c r="N56" s="506">
        <v>0</v>
      </c>
      <c r="O56" s="506">
        <v>0</v>
      </c>
      <c r="P56" s="506">
        <v>105</v>
      </c>
      <c r="Q56" s="506">
        <v>300</v>
      </c>
      <c r="R56" s="507">
        <v>405</v>
      </c>
      <c r="S56" s="506">
        <v>0</v>
      </c>
      <c r="T56" s="506">
        <v>0</v>
      </c>
      <c r="U56" s="506">
        <v>0</v>
      </c>
      <c r="V56" s="506">
        <v>0</v>
      </c>
      <c r="W56" s="507">
        <v>0</v>
      </c>
      <c r="X56" s="506">
        <v>13</v>
      </c>
      <c r="Y56" s="506">
        <v>195</v>
      </c>
      <c r="Z56" s="508">
        <v>0</v>
      </c>
      <c r="AA56" s="506">
        <v>0</v>
      </c>
      <c r="AB56" s="506">
        <v>0</v>
      </c>
      <c r="AC56" s="508">
        <v>0</v>
      </c>
      <c r="AD56" s="506">
        <v>14</v>
      </c>
      <c r="AE56" s="506">
        <v>210</v>
      </c>
      <c r="AF56" s="508">
        <v>0</v>
      </c>
      <c r="AG56" s="509">
        <v>0</v>
      </c>
      <c r="AH56" s="509">
        <v>0</v>
      </c>
      <c r="AI56" s="508">
        <v>0</v>
      </c>
      <c r="AJ56" s="509">
        <v>20</v>
      </c>
      <c r="AK56" s="509">
        <v>300</v>
      </c>
      <c r="AL56" s="508">
        <v>0</v>
      </c>
      <c r="AM56" s="506">
        <v>20</v>
      </c>
      <c r="AN56" s="506">
        <v>300</v>
      </c>
      <c r="AO56" s="508">
        <v>0</v>
      </c>
      <c r="AP56" s="508"/>
      <c r="AQ56" s="508">
        <f t="shared" si="3"/>
        <v>20</v>
      </c>
      <c r="AR56" s="509">
        <v>0</v>
      </c>
      <c r="AS56" s="509">
        <v>0</v>
      </c>
      <c r="AT56" s="508">
        <v>0</v>
      </c>
      <c r="AU56" s="509">
        <v>0</v>
      </c>
      <c r="AV56" s="509">
        <v>0</v>
      </c>
      <c r="AW56" s="508">
        <v>0</v>
      </c>
      <c r="AX56" s="506">
        <v>0</v>
      </c>
      <c r="AY56" s="506">
        <v>0</v>
      </c>
      <c r="AZ56" s="508">
        <v>0</v>
      </c>
      <c r="BA56" s="508"/>
      <c r="BB56" s="508">
        <f t="shared" si="4"/>
        <v>0</v>
      </c>
      <c r="BC56" s="509">
        <v>0</v>
      </c>
      <c r="BD56" s="509">
        <v>0</v>
      </c>
      <c r="BE56" s="506">
        <v>0</v>
      </c>
      <c r="BF56" s="200"/>
      <c r="BG56" s="200"/>
      <c r="BH56" s="200"/>
      <c r="BI56" s="200"/>
      <c r="BJ56" s="200"/>
      <c r="BK56" s="200"/>
      <c r="BL56" s="200"/>
      <c r="BM56" s="505">
        <f t="shared" si="5"/>
        <v>0</v>
      </c>
      <c r="BN56" s="200">
        <f t="shared" si="6"/>
        <v>0</v>
      </c>
      <c r="BO56" s="200">
        <f t="shared" si="27"/>
        <v>0</v>
      </c>
      <c r="BP56" s="200">
        <f t="shared" si="7"/>
        <v>5265</v>
      </c>
      <c r="BQ56" s="200">
        <f t="shared" si="8"/>
        <v>0</v>
      </c>
      <c r="BR56" s="200">
        <f t="shared" si="9"/>
        <v>2535</v>
      </c>
      <c r="BS56" s="200">
        <f t="shared" si="10"/>
        <v>0</v>
      </c>
      <c r="BT56" s="200">
        <f t="shared" si="11"/>
        <v>2730</v>
      </c>
      <c r="BU56" s="200">
        <f t="shared" si="12"/>
        <v>3900</v>
      </c>
      <c r="BV56" s="200">
        <v>0</v>
      </c>
      <c r="BW56" s="200">
        <v>0</v>
      </c>
      <c r="BX56" s="200">
        <f t="shared" si="13"/>
        <v>0</v>
      </c>
      <c r="CB56" s="381">
        <f>_xlfn.IFNA(VLOOKUP(A56,'Actuals Summer'!$A:$AG,23,FALSE),0)</f>
        <v>5265</v>
      </c>
      <c r="CC56" s="381">
        <f>_xlfn.IFNA(VLOOKUP(A56,'Actuals Summer'!$A:$AG,24,FALSE),0)</f>
        <v>0</v>
      </c>
      <c r="CD56" s="381">
        <f>_xlfn.IFNA(VLOOKUP(A56,'Actuals Summer'!$A:$AG,25,FALSE),0)</f>
        <v>0</v>
      </c>
      <c r="CE56" s="381">
        <f>_xlfn.IFNA(VLOOKUP(A56,'Actuals Summer'!$A:$AG,26,FALSE),0)</f>
        <v>0</v>
      </c>
      <c r="CF56" s="381">
        <f>_xlfn.IFNA(VLOOKUP(A56,'Actuals Summer'!$A:$AG,27,FALSE),0)</f>
        <v>0</v>
      </c>
      <c r="CG56" s="381">
        <f>_xlfn.IFNA(VLOOKUP(A56,'Actuals Dep Summer'!B:O,6,FALSE)*$BN$3,0)</f>
        <v>2535</v>
      </c>
      <c r="CH56" s="381">
        <f>_xlfn.IFNA(VLOOKUP(A56,'Actuals Dep Summer'!B:O,7,FALSE)*$BN$3,0)</f>
        <v>0</v>
      </c>
      <c r="CI56" s="381">
        <f>_xlfn.IFNA(VLOOKUP(A56,'Actuals Dep Summer'!B:O,8,FALSE)*$BN$3,0)</f>
        <v>2730</v>
      </c>
      <c r="CJ56" s="381">
        <f>_xlfn.IFNA(VLOOKUP(A56,'Actuals Summer'!$A:$AG,31,FALSE),0)*$BN$3</f>
        <v>0</v>
      </c>
      <c r="CK56" s="381"/>
      <c r="CL56" s="381">
        <f>_xlfn.IFNA(VLOOKUP(A56,'Actuals Summer'!$A:$AG,32,FALSE),0)*$BN$3</f>
        <v>50700</v>
      </c>
      <c r="CM56" s="381">
        <f>_xlfn.IFNA(VLOOKUP(A56,'Actuals Summer'!$A:$AG,33,FALSE),0)</f>
        <v>0</v>
      </c>
      <c r="CP56" s="458">
        <f t="shared" si="14"/>
        <v>0</v>
      </c>
      <c r="CQ56" s="458">
        <f t="shared" si="15"/>
        <v>0</v>
      </c>
      <c r="CR56" s="458">
        <f t="shared" si="28"/>
        <v>0</v>
      </c>
      <c r="CS56" s="458">
        <f t="shared" si="16"/>
        <v>29799.9</v>
      </c>
      <c r="CT56" s="458">
        <f t="shared" si="17"/>
        <v>0</v>
      </c>
      <c r="CU56" s="458">
        <f t="shared" si="18"/>
        <v>1546.35</v>
      </c>
      <c r="CV56" s="458">
        <f t="shared" si="19"/>
        <v>0</v>
      </c>
      <c r="CW56" s="458">
        <f t="shared" si="20"/>
        <v>218.4</v>
      </c>
      <c r="CX56" s="458">
        <f t="shared" si="21"/>
        <v>3900</v>
      </c>
      <c r="CY56" s="458">
        <f t="shared" si="22"/>
        <v>0</v>
      </c>
      <c r="CZ56" s="458">
        <f t="shared" si="23"/>
        <v>0</v>
      </c>
      <c r="DA56" s="458">
        <f t="shared" si="24"/>
        <v>0</v>
      </c>
      <c r="DB56" s="458">
        <f t="shared" si="25"/>
        <v>35464.65</v>
      </c>
      <c r="DC56" s="452">
        <f>_xlfn.XLOOKUP($A56,'Actuals Summer'!$A:$A,'Actuals Summer'!L:L,0,0)</f>
        <v>0</v>
      </c>
      <c r="DD56" s="452">
        <f>_xlfn.XLOOKUP($A56,'Actuals Summer'!$A:$A,'Actuals Summer'!K:K,0,0)+_xlfn.XLOOKUP($A56,'Actuals Summer'!$A:$A,'Actuals Summer'!Q:Q,0,0)</f>
        <v>0</v>
      </c>
      <c r="DE56" s="452">
        <f>_xlfn.XLOOKUP($A56,'Actuals Summer'!$A:$A,'Actuals Summer'!I:I,0,0)+_xlfn.XLOOKUP($A56,'Actuals Summer'!$A:$A,'Actuals Summer'!R:R,0,0)</f>
        <v>29799.9</v>
      </c>
      <c r="DF56" s="452">
        <f>_xlfn.XLOOKUP($A56,'Actuals Summer'!$A:$A,'Actuals Summer'!J:J,0,0)</f>
        <v>0</v>
      </c>
      <c r="DG56" s="452">
        <f>_xlfn.XLOOKUP($A56,'Actuals Dep Summer'!$B:$B,'Actuals Dep Summer'!G:G,0,0)*'Actuals Dep Summer'!$F$2*'Actuals Dep Summer'!$C$2</f>
        <v>1546.35</v>
      </c>
      <c r="DH56" s="452">
        <f>_xlfn.XLOOKUP($A56,'Actuals Dep Summer'!$B:$B,'Actuals Dep Summer'!H:H,0,0)*'Actuals Dep Summer'!$F$2*'Actuals Dep Summer'!$C$3</f>
        <v>0</v>
      </c>
      <c r="DI56" s="452">
        <f>_xlfn.XLOOKUP($A56,'Actuals Dep Summer'!$B:$B,'Actuals Dep Summer'!I:I,0,0)*'Actuals Dep Summer'!$F$2*'Actuals Dep Summer'!$C$4</f>
        <v>218.4</v>
      </c>
      <c r="DJ56" s="452">
        <f>_xlfn.XLOOKUP($A56,'Actuals Summer'!$A:$A,'Actuals Summer'!P:P,0,0)</f>
        <v>3900</v>
      </c>
      <c r="DK56" s="452">
        <f>_xlfn.XLOOKUP($A56,'Actuals Summer'!$A:$A,'Actuals Summer'!O:O,0,0)</f>
        <v>0</v>
      </c>
      <c r="DL56" s="452"/>
      <c r="DM56" s="452">
        <f>_xlfn.XLOOKUP($A56,'Actuals Summer'!$A:$A,'Actuals Summer'!M:M,0,0)</f>
        <v>0</v>
      </c>
      <c r="DN56" s="453">
        <f t="shared" si="29"/>
        <v>35464.65</v>
      </c>
      <c r="DO56" s="453">
        <f>_xlfn.XLOOKUP(A56,'Actuals Summer'!A:A,'Actuals Summer'!S:S,0,0)-'Summer data team '!DN56</f>
        <v>0</v>
      </c>
      <c r="DP56" s="463">
        <f t="shared" si="30"/>
        <v>0</v>
      </c>
    </row>
    <row r="57" spans="1:120" ht="13" x14ac:dyDescent="0.3">
      <c r="A57" s="364">
        <v>2064</v>
      </c>
      <c r="B57" s="364">
        <v>3302064</v>
      </c>
      <c r="C57" s="364" t="s">
        <v>848</v>
      </c>
      <c r="D57" s="506">
        <v>0</v>
      </c>
      <c r="E57" s="506">
        <v>0</v>
      </c>
      <c r="F57" s="506">
        <v>0</v>
      </c>
      <c r="G57" s="506">
        <v>5</v>
      </c>
      <c r="H57" s="506">
        <v>19</v>
      </c>
      <c r="I57" s="507">
        <v>0</v>
      </c>
      <c r="J57" s="507">
        <v>24</v>
      </c>
      <c r="K57" s="506">
        <v>0</v>
      </c>
      <c r="L57" s="506">
        <v>0</v>
      </c>
      <c r="M57" s="507">
        <v>0</v>
      </c>
      <c r="N57" s="506">
        <v>0</v>
      </c>
      <c r="O57" s="506">
        <v>0</v>
      </c>
      <c r="P57" s="506">
        <v>75</v>
      </c>
      <c r="Q57" s="506">
        <v>285</v>
      </c>
      <c r="R57" s="507">
        <v>360</v>
      </c>
      <c r="S57" s="506">
        <v>0</v>
      </c>
      <c r="T57" s="506">
        <v>0</v>
      </c>
      <c r="U57" s="506">
        <v>0</v>
      </c>
      <c r="V57" s="506">
        <v>0</v>
      </c>
      <c r="W57" s="507">
        <v>0</v>
      </c>
      <c r="X57" s="506">
        <v>1</v>
      </c>
      <c r="Y57" s="506">
        <v>15</v>
      </c>
      <c r="Z57" s="508">
        <v>0</v>
      </c>
      <c r="AA57" s="506">
        <v>17</v>
      </c>
      <c r="AB57" s="506">
        <v>255</v>
      </c>
      <c r="AC57" s="508">
        <v>0</v>
      </c>
      <c r="AD57" s="506">
        <v>1</v>
      </c>
      <c r="AE57" s="506">
        <v>15</v>
      </c>
      <c r="AF57" s="508">
        <v>0</v>
      </c>
      <c r="AG57" s="509">
        <v>0</v>
      </c>
      <c r="AH57" s="509">
        <v>0</v>
      </c>
      <c r="AI57" s="508">
        <v>0</v>
      </c>
      <c r="AJ57" s="509">
        <v>11</v>
      </c>
      <c r="AK57" s="509">
        <v>165</v>
      </c>
      <c r="AL57" s="508">
        <v>0</v>
      </c>
      <c r="AM57" s="506">
        <v>11</v>
      </c>
      <c r="AN57" s="506">
        <v>165</v>
      </c>
      <c r="AO57" s="508">
        <v>0</v>
      </c>
      <c r="AP57" s="508"/>
      <c r="AQ57" s="508">
        <f t="shared" si="3"/>
        <v>11</v>
      </c>
      <c r="AR57" s="509">
        <v>0</v>
      </c>
      <c r="AS57" s="509">
        <v>0</v>
      </c>
      <c r="AT57" s="508">
        <v>0</v>
      </c>
      <c r="AU57" s="509">
        <v>11</v>
      </c>
      <c r="AV57" s="509">
        <v>165</v>
      </c>
      <c r="AW57" s="508">
        <v>0</v>
      </c>
      <c r="AX57" s="506">
        <v>11</v>
      </c>
      <c r="AY57" s="506">
        <v>165</v>
      </c>
      <c r="AZ57" s="508">
        <v>0</v>
      </c>
      <c r="BA57" s="508"/>
      <c r="BB57" s="508">
        <f t="shared" si="4"/>
        <v>22</v>
      </c>
      <c r="BC57" s="509">
        <v>0</v>
      </c>
      <c r="BD57" s="509">
        <v>0</v>
      </c>
      <c r="BE57" s="506">
        <v>0</v>
      </c>
      <c r="BF57" s="200"/>
      <c r="BG57" s="200"/>
      <c r="BH57" s="200"/>
      <c r="BI57" s="200"/>
      <c r="BJ57" s="200"/>
      <c r="BK57" s="200"/>
      <c r="BL57" s="200"/>
      <c r="BM57" s="505">
        <f t="shared" si="5"/>
        <v>0</v>
      </c>
      <c r="BN57" s="200">
        <f t="shared" si="6"/>
        <v>0</v>
      </c>
      <c r="BO57" s="200">
        <f t="shared" si="27"/>
        <v>0</v>
      </c>
      <c r="BP57" s="200">
        <f t="shared" si="7"/>
        <v>4680</v>
      </c>
      <c r="BQ57" s="200">
        <f t="shared" si="8"/>
        <v>0</v>
      </c>
      <c r="BR57" s="200">
        <f t="shared" si="9"/>
        <v>195</v>
      </c>
      <c r="BS57" s="200">
        <f t="shared" si="10"/>
        <v>3315</v>
      </c>
      <c r="BT57" s="200">
        <f t="shared" si="11"/>
        <v>195</v>
      </c>
      <c r="BU57" s="200">
        <f t="shared" si="12"/>
        <v>2145</v>
      </c>
      <c r="BV57" s="200">
        <v>11</v>
      </c>
      <c r="BW57" s="200">
        <v>0</v>
      </c>
      <c r="BX57" s="200">
        <f t="shared" si="13"/>
        <v>0</v>
      </c>
      <c r="CB57" s="381">
        <f>_xlfn.IFNA(VLOOKUP(A57,'Actuals Summer'!$A:$AG,23,FALSE),0)</f>
        <v>4680</v>
      </c>
      <c r="CC57" s="381">
        <f>_xlfn.IFNA(VLOOKUP(A57,'Actuals Summer'!$A:$AG,24,FALSE),0)</f>
        <v>0</v>
      </c>
      <c r="CD57" s="381">
        <f>_xlfn.IFNA(VLOOKUP(A57,'Actuals Summer'!$A:$AG,25,FALSE),0)</f>
        <v>0</v>
      </c>
      <c r="CE57" s="381">
        <f>_xlfn.IFNA(VLOOKUP(A57,'Actuals Summer'!$A:$AG,26,FALSE),0)</f>
        <v>0</v>
      </c>
      <c r="CF57" s="381">
        <f>_xlfn.IFNA(VLOOKUP(A57,'Actuals Summer'!$A:$AG,27,FALSE),0)</f>
        <v>0</v>
      </c>
      <c r="CG57" s="381">
        <f>_xlfn.IFNA(VLOOKUP(A57,'Actuals Dep Summer'!B:O,6,FALSE)*$BN$3,0)</f>
        <v>195</v>
      </c>
      <c r="CH57" s="381">
        <f>_xlfn.IFNA(VLOOKUP(A57,'Actuals Dep Summer'!B:O,7,FALSE)*$BN$3,0)</f>
        <v>3315</v>
      </c>
      <c r="CI57" s="381">
        <f>_xlfn.IFNA(VLOOKUP(A57,'Actuals Dep Summer'!B:O,8,FALSE)*$BN$3,0)</f>
        <v>195</v>
      </c>
      <c r="CJ57" s="381">
        <f>_xlfn.IFNA(VLOOKUP(A57,'Actuals Summer'!$A:$AG,31,FALSE),0)*$BN$3</f>
        <v>142.9213277095177</v>
      </c>
      <c r="CK57" s="381"/>
      <c r="CL57" s="381">
        <f>_xlfn.IFNA(VLOOKUP(A57,'Actuals Summer'!$A:$AG,32,FALSE),0)*$BN$3</f>
        <v>27885</v>
      </c>
      <c r="CM57" s="381">
        <f>_xlfn.IFNA(VLOOKUP(A57,'Actuals Summer'!$A:$AG,33,FALSE),0)</f>
        <v>0</v>
      </c>
      <c r="CP57" s="458">
        <f t="shared" si="14"/>
        <v>0</v>
      </c>
      <c r="CQ57" s="458">
        <f t="shared" si="15"/>
        <v>0</v>
      </c>
      <c r="CR57" s="458">
        <f t="shared" si="28"/>
        <v>0</v>
      </c>
      <c r="CS57" s="458">
        <f t="shared" si="16"/>
        <v>26488.799999999999</v>
      </c>
      <c r="CT57" s="458">
        <f t="shared" si="17"/>
        <v>0</v>
      </c>
      <c r="CU57" s="458">
        <f t="shared" si="18"/>
        <v>118.95</v>
      </c>
      <c r="CV57" s="458">
        <f t="shared" si="19"/>
        <v>961.34999999999991</v>
      </c>
      <c r="CW57" s="458">
        <f t="shared" si="20"/>
        <v>15.6</v>
      </c>
      <c r="CX57" s="458">
        <f t="shared" si="21"/>
        <v>2145</v>
      </c>
      <c r="CY57" s="458">
        <f t="shared" si="22"/>
        <v>820.36842105263156</v>
      </c>
      <c r="CZ57" s="458">
        <f t="shared" si="23"/>
        <v>0</v>
      </c>
      <c r="DA57" s="458">
        <f t="shared" si="24"/>
        <v>0</v>
      </c>
      <c r="DB57" s="458">
        <f t="shared" si="25"/>
        <v>30550.068421052627</v>
      </c>
      <c r="DC57" s="452">
        <f>_xlfn.XLOOKUP($A57,'Actuals Summer'!$A:$A,'Actuals Summer'!L:L,0,0)</f>
        <v>0</v>
      </c>
      <c r="DD57" s="452">
        <f>_xlfn.XLOOKUP($A57,'Actuals Summer'!$A:$A,'Actuals Summer'!K:K,0,0)+_xlfn.XLOOKUP($A57,'Actuals Summer'!$A:$A,'Actuals Summer'!Q:Q,0,0)</f>
        <v>0</v>
      </c>
      <c r="DE57" s="452">
        <f>_xlfn.XLOOKUP($A57,'Actuals Summer'!$A:$A,'Actuals Summer'!I:I,0,0)+_xlfn.XLOOKUP($A57,'Actuals Summer'!$A:$A,'Actuals Summer'!R:R,0,0)</f>
        <v>26488.799999999999</v>
      </c>
      <c r="DF57" s="452">
        <f>_xlfn.XLOOKUP($A57,'Actuals Summer'!$A:$A,'Actuals Summer'!J:J,0,0)</f>
        <v>0</v>
      </c>
      <c r="DG57" s="452">
        <f>_xlfn.XLOOKUP($A57,'Actuals Dep Summer'!$B:$B,'Actuals Dep Summer'!G:G,0,0)*'Actuals Dep Summer'!$F$2*'Actuals Dep Summer'!$C$2</f>
        <v>118.95</v>
      </c>
      <c r="DH57" s="452">
        <f>_xlfn.XLOOKUP($A57,'Actuals Dep Summer'!$B:$B,'Actuals Dep Summer'!H:H,0,0)*'Actuals Dep Summer'!$F$2*'Actuals Dep Summer'!$C$3</f>
        <v>961.34999999999991</v>
      </c>
      <c r="DI57" s="452">
        <f>_xlfn.XLOOKUP($A57,'Actuals Dep Summer'!$B:$B,'Actuals Dep Summer'!I:I,0,0)*'Actuals Dep Summer'!$F$2*'Actuals Dep Summer'!$C$4</f>
        <v>15.6</v>
      </c>
      <c r="DJ57" s="452">
        <f>_xlfn.XLOOKUP($A57,'Actuals Summer'!$A:$A,'Actuals Summer'!P:P,0,0)</f>
        <v>2145</v>
      </c>
      <c r="DK57" s="452">
        <f>_xlfn.XLOOKUP($A57,'Actuals Summer'!$A:$A,'Actuals Summer'!O:O,0,0)</f>
        <v>820.36842105263156</v>
      </c>
      <c r="DL57" s="452"/>
      <c r="DM57" s="452">
        <f>_xlfn.XLOOKUP($A57,'Actuals Summer'!$A:$A,'Actuals Summer'!M:M,0,0)</f>
        <v>0</v>
      </c>
      <c r="DN57" s="453">
        <f t="shared" si="29"/>
        <v>30550.068421052627</v>
      </c>
      <c r="DO57" s="453">
        <f>_xlfn.XLOOKUP(A57,'Actuals Summer'!A:A,'Actuals Summer'!S:S,0,0)-'Summer data team '!DN57</f>
        <v>0</v>
      </c>
      <c r="DP57" s="463">
        <f t="shared" si="30"/>
        <v>0</v>
      </c>
    </row>
    <row r="58" spans="1:120" ht="13" x14ac:dyDescent="0.3">
      <c r="A58" s="364">
        <v>2065</v>
      </c>
      <c r="B58" s="364">
        <v>3302065</v>
      </c>
      <c r="C58" s="364" t="s">
        <v>268</v>
      </c>
      <c r="D58" s="506">
        <v>0</v>
      </c>
      <c r="E58" s="506">
        <v>0</v>
      </c>
      <c r="F58" s="506">
        <v>0</v>
      </c>
      <c r="G58" s="506">
        <v>14</v>
      </c>
      <c r="H58" s="506">
        <v>22</v>
      </c>
      <c r="I58" s="507">
        <v>0</v>
      </c>
      <c r="J58" s="507">
        <v>36</v>
      </c>
      <c r="K58" s="506">
        <v>0</v>
      </c>
      <c r="L58" s="506">
        <v>0</v>
      </c>
      <c r="M58" s="507">
        <v>0</v>
      </c>
      <c r="N58" s="506">
        <v>0</v>
      </c>
      <c r="O58" s="506">
        <v>0</v>
      </c>
      <c r="P58" s="506">
        <v>210</v>
      </c>
      <c r="Q58" s="506">
        <v>330</v>
      </c>
      <c r="R58" s="507">
        <v>540</v>
      </c>
      <c r="S58" s="506">
        <v>0</v>
      </c>
      <c r="T58" s="506">
        <v>0</v>
      </c>
      <c r="U58" s="506">
        <v>0</v>
      </c>
      <c r="V58" s="506">
        <v>0</v>
      </c>
      <c r="W58" s="507">
        <v>0</v>
      </c>
      <c r="X58" s="506">
        <v>0</v>
      </c>
      <c r="Y58" s="506">
        <v>0</v>
      </c>
      <c r="Z58" s="508">
        <v>0</v>
      </c>
      <c r="AA58" s="506">
        <v>1</v>
      </c>
      <c r="AB58" s="506">
        <v>15</v>
      </c>
      <c r="AC58" s="508">
        <v>0</v>
      </c>
      <c r="AD58" s="506">
        <v>3</v>
      </c>
      <c r="AE58" s="506">
        <v>45</v>
      </c>
      <c r="AF58" s="508">
        <v>0</v>
      </c>
      <c r="AG58" s="509">
        <v>0</v>
      </c>
      <c r="AH58" s="509">
        <v>0</v>
      </c>
      <c r="AI58" s="508">
        <v>0</v>
      </c>
      <c r="AJ58" s="509">
        <v>7</v>
      </c>
      <c r="AK58" s="509">
        <v>105</v>
      </c>
      <c r="AL58" s="508">
        <v>0</v>
      </c>
      <c r="AM58" s="506">
        <v>7</v>
      </c>
      <c r="AN58" s="506">
        <v>105</v>
      </c>
      <c r="AO58" s="508">
        <v>0</v>
      </c>
      <c r="AP58" s="508"/>
      <c r="AQ58" s="508">
        <f t="shared" si="3"/>
        <v>7</v>
      </c>
      <c r="AR58" s="509">
        <v>0</v>
      </c>
      <c r="AS58" s="509">
        <v>0</v>
      </c>
      <c r="AT58" s="508">
        <v>0</v>
      </c>
      <c r="AU58" s="509">
        <v>7</v>
      </c>
      <c r="AV58" s="509">
        <v>105</v>
      </c>
      <c r="AW58" s="508">
        <v>0</v>
      </c>
      <c r="AX58" s="506">
        <v>7</v>
      </c>
      <c r="AY58" s="506">
        <v>105</v>
      </c>
      <c r="AZ58" s="508">
        <v>0</v>
      </c>
      <c r="BA58" s="508"/>
      <c r="BB58" s="508">
        <f t="shared" si="4"/>
        <v>14</v>
      </c>
      <c r="BC58" s="509">
        <v>0</v>
      </c>
      <c r="BD58" s="509">
        <v>0</v>
      </c>
      <c r="BE58" s="506">
        <v>0</v>
      </c>
      <c r="BF58" s="200"/>
      <c r="BG58" s="200"/>
      <c r="BH58" s="200"/>
      <c r="BI58" s="200"/>
      <c r="BJ58" s="200"/>
      <c r="BK58" s="200"/>
      <c r="BL58" s="200"/>
      <c r="BM58" s="505">
        <f t="shared" si="5"/>
        <v>0</v>
      </c>
      <c r="BN58" s="200">
        <f t="shared" si="6"/>
        <v>0</v>
      </c>
      <c r="BO58" s="200">
        <f t="shared" si="27"/>
        <v>0</v>
      </c>
      <c r="BP58" s="200">
        <f t="shared" si="7"/>
        <v>7020</v>
      </c>
      <c r="BQ58" s="200">
        <f t="shared" si="8"/>
        <v>0</v>
      </c>
      <c r="BR58" s="200">
        <f t="shared" si="9"/>
        <v>0</v>
      </c>
      <c r="BS58" s="200">
        <f t="shared" si="10"/>
        <v>195</v>
      </c>
      <c r="BT58" s="200">
        <f t="shared" si="11"/>
        <v>585</v>
      </c>
      <c r="BU58" s="200">
        <f t="shared" si="12"/>
        <v>1365</v>
      </c>
      <c r="BV58" s="200">
        <v>7</v>
      </c>
      <c r="BW58" s="200">
        <v>0</v>
      </c>
      <c r="BX58" s="200">
        <f t="shared" si="13"/>
        <v>0</v>
      </c>
      <c r="CB58" s="381">
        <f>_xlfn.IFNA(VLOOKUP(A58,'Actuals Summer'!$A:$AG,23,FALSE),0)</f>
        <v>7020.0000000000009</v>
      </c>
      <c r="CC58" s="381">
        <f>_xlfn.IFNA(VLOOKUP(A58,'Actuals Summer'!$A:$AG,24,FALSE),0)</f>
        <v>0</v>
      </c>
      <c r="CD58" s="381">
        <f>_xlfn.IFNA(VLOOKUP(A58,'Actuals Summer'!$A:$AG,25,FALSE),0)</f>
        <v>0</v>
      </c>
      <c r="CE58" s="381">
        <f>_xlfn.IFNA(VLOOKUP(A58,'Actuals Summer'!$A:$AG,26,FALSE),0)</f>
        <v>0</v>
      </c>
      <c r="CF58" s="381">
        <f>_xlfn.IFNA(VLOOKUP(A58,'Actuals Summer'!$A:$AG,27,FALSE),0)</f>
        <v>0</v>
      </c>
      <c r="CG58" s="381">
        <f>_xlfn.IFNA(VLOOKUP(A58,'Actuals Dep Summer'!B:O,6,FALSE)*$BN$3,0)</f>
        <v>0</v>
      </c>
      <c r="CH58" s="381">
        <f>_xlfn.IFNA(VLOOKUP(A58,'Actuals Dep Summer'!B:O,7,FALSE)*$BN$3,0)</f>
        <v>195</v>
      </c>
      <c r="CI58" s="381">
        <f>_xlfn.IFNA(VLOOKUP(A58,'Actuals Dep Summer'!B:O,8,FALSE)*$BN$3,0)</f>
        <v>585</v>
      </c>
      <c r="CJ58" s="381">
        <f>_xlfn.IFNA(VLOOKUP(A58,'Actuals Summer'!$A:$AG,31,FALSE),0)*$BN$3</f>
        <v>90.949935815147626</v>
      </c>
      <c r="CK58" s="381"/>
      <c r="CL58" s="381">
        <f>_xlfn.IFNA(VLOOKUP(A58,'Actuals Summer'!$A:$AG,32,FALSE),0)*$BN$3</f>
        <v>17745</v>
      </c>
      <c r="CM58" s="381">
        <f>_xlfn.IFNA(VLOOKUP(A58,'Actuals Summer'!$A:$AG,33,FALSE),0)</f>
        <v>0</v>
      </c>
      <c r="CP58" s="458">
        <f t="shared" si="14"/>
        <v>0</v>
      </c>
      <c r="CQ58" s="458">
        <f t="shared" si="15"/>
        <v>0</v>
      </c>
      <c r="CR58" s="458">
        <f t="shared" si="28"/>
        <v>0</v>
      </c>
      <c r="CS58" s="458">
        <f t="shared" si="16"/>
        <v>39733.200000000004</v>
      </c>
      <c r="CT58" s="458">
        <f t="shared" si="17"/>
        <v>0</v>
      </c>
      <c r="CU58" s="458">
        <f t="shared" si="18"/>
        <v>0</v>
      </c>
      <c r="CV58" s="458">
        <f t="shared" si="19"/>
        <v>56.55</v>
      </c>
      <c r="CW58" s="458">
        <f t="shared" si="20"/>
        <v>46.800000000000004</v>
      </c>
      <c r="CX58" s="458">
        <f t="shared" si="21"/>
        <v>1365</v>
      </c>
      <c r="CY58" s="458">
        <f t="shared" si="22"/>
        <v>522.05263157894728</v>
      </c>
      <c r="CZ58" s="458">
        <f t="shared" si="23"/>
        <v>0</v>
      </c>
      <c r="DA58" s="458">
        <f t="shared" si="24"/>
        <v>0</v>
      </c>
      <c r="DB58" s="458">
        <f t="shared" si="25"/>
        <v>41723.602631578957</v>
      </c>
      <c r="DC58" s="452">
        <f>_xlfn.XLOOKUP($A58,'Actuals Summer'!$A:$A,'Actuals Summer'!L:L,0,0)</f>
        <v>0</v>
      </c>
      <c r="DD58" s="452">
        <f>_xlfn.XLOOKUP($A58,'Actuals Summer'!$A:$A,'Actuals Summer'!K:K,0,0)+_xlfn.XLOOKUP($A58,'Actuals Summer'!$A:$A,'Actuals Summer'!Q:Q,0,0)</f>
        <v>0</v>
      </c>
      <c r="DE58" s="452">
        <f>_xlfn.XLOOKUP($A58,'Actuals Summer'!$A:$A,'Actuals Summer'!I:I,0,0)+_xlfn.XLOOKUP($A58,'Actuals Summer'!$A:$A,'Actuals Summer'!R:R,0,0)</f>
        <v>39733.200000000004</v>
      </c>
      <c r="DF58" s="452">
        <f>_xlfn.XLOOKUP($A58,'Actuals Summer'!$A:$A,'Actuals Summer'!J:J,0,0)</f>
        <v>0</v>
      </c>
      <c r="DG58" s="452">
        <f>_xlfn.XLOOKUP($A58,'Actuals Dep Summer'!$B:$B,'Actuals Dep Summer'!G:G,0,0)*'Actuals Dep Summer'!$F$2*'Actuals Dep Summer'!$C$2</f>
        <v>0</v>
      </c>
      <c r="DH58" s="452">
        <f>_xlfn.XLOOKUP($A58,'Actuals Dep Summer'!$B:$B,'Actuals Dep Summer'!H:H,0,0)*'Actuals Dep Summer'!$F$2*'Actuals Dep Summer'!$C$3</f>
        <v>56.55</v>
      </c>
      <c r="DI58" s="452">
        <f>_xlfn.XLOOKUP($A58,'Actuals Dep Summer'!$B:$B,'Actuals Dep Summer'!I:I,0,0)*'Actuals Dep Summer'!$F$2*'Actuals Dep Summer'!$C$4</f>
        <v>46.800000000000004</v>
      </c>
      <c r="DJ58" s="452">
        <f>_xlfn.XLOOKUP($A58,'Actuals Summer'!$A:$A,'Actuals Summer'!P:P,0,0)</f>
        <v>1365</v>
      </c>
      <c r="DK58" s="452">
        <f>_xlfn.XLOOKUP($A58,'Actuals Summer'!$A:$A,'Actuals Summer'!O:O,0,0)</f>
        <v>522.0526315789474</v>
      </c>
      <c r="DL58" s="452"/>
      <c r="DM58" s="452">
        <f>_xlfn.XLOOKUP($A58,'Actuals Summer'!$A:$A,'Actuals Summer'!M:M,0,0)</f>
        <v>0</v>
      </c>
      <c r="DN58" s="453">
        <f t="shared" si="29"/>
        <v>41723.602631578957</v>
      </c>
      <c r="DO58" s="453">
        <f>_xlfn.XLOOKUP(A58,'Actuals Summer'!A:A,'Actuals Summer'!S:S,0,0)-'Summer data team '!DN58</f>
        <v>0</v>
      </c>
      <c r="DP58" s="463">
        <f t="shared" si="30"/>
        <v>0</v>
      </c>
    </row>
    <row r="59" spans="1:120" ht="13" x14ac:dyDescent="0.3">
      <c r="A59" s="364">
        <v>2068</v>
      </c>
      <c r="B59" s="364">
        <v>3302068</v>
      </c>
      <c r="C59" s="364" t="s">
        <v>849</v>
      </c>
      <c r="D59" s="506">
        <v>0</v>
      </c>
      <c r="E59" s="506">
        <v>0</v>
      </c>
      <c r="F59" s="506">
        <v>0</v>
      </c>
      <c r="G59" s="506">
        <v>9</v>
      </c>
      <c r="H59" s="506">
        <v>19</v>
      </c>
      <c r="I59" s="507">
        <v>0</v>
      </c>
      <c r="J59" s="507">
        <v>28</v>
      </c>
      <c r="K59" s="506">
        <v>2</v>
      </c>
      <c r="L59" s="506">
        <v>5</v>
      </c>
      <c r="M59" s="507">
        <v>7</v>
      </c>
      <c r="N59" s="506">
        <v>0</v>
      </c>
      <c r="O59" s="506">
        <v>0</v>
      </c>
      <c r="P59" s="506">
        <v>135</v>
      </c>
      <c r="Q59" s="506">
        <v>285</v>
      </c>
      <c r="R59" s="507">
        <v>420</v>
      </c>
      <c r="S59" s="506">
        <v>0</v>
      </c>
      <c r="T59" s="506">
        <v>0</v>
      </c>
      <c r="U59" s="506">
        <v>30</v>
      </c>
      <c r="V59" s="506">
        <v>75</v>
      </c>
      <c r="W59" s="507">
        <v>105</v>
      </c>
      <c r="X59" s="506">
        <v>7</v>
      </c>
      <c r="Y59" s="506">
        <v>105</v>
      </c>
      <c r="Z59" s="508">
        <v>0</v>
      </c>
      <c r="AA59" s="506">
        <v>16</v>
      </c>
      <c r="AB59" s="506">
        <v>240</v>
      </c>
      <c r="AC59" s="508">
        <v>75</v>
      </c>
      <c r="AD59" s="506">
        <v>2</v>
      </c>
      <c r="AE59" s="506">
        <v>30</v>
      </c>
      <c r="AF59" s="508">
        <v>0</v>
      </c>
      <c r="AG59" s="509">
        <v>0</v>
      </c>
      <c r="AH59" s="509">
        <v>0</v>
      </c>
      <c r="AI59" s="508">
        <v>0</v>
      </c>
      <c r="AJ59" s="509">
        <v>10</v>
      </c>
      <c r="AK59" s="509">
        <v>150</v>
      </c>
      <c r="AL59" s="508">
        <v>15</v>
      </c>
      <c r="AM59" s="506">
        <v>10</v>
      </c>
      <c r="AN59" s="506">
        <v>150</v>
      </c>
      <c r="AO59" s="508">
        <v>15</v>
      </c>
      <c r="AP59" s="508"/>
      <c r="AQ59" s="508">
        <f t="shared" si="3"/>
        <v>10</v>
      </c>
      <c r="AR59" s="509">
        <v>0</v>
      </c>
      <c r="AS59" s="509">
        <v>0</v>
      </c>
      <c r="AT59" s="508">
        <v>0</v>
      </c>
      <c r="AU59" s="509">
        <v>10</v>
      </c>
      <c r="AV59" s="509">
        <v>150</v>
      </c>
      <c r="AW59" s="508">
        <v>15</v>
      </c>
      <c r="AX59" s="506">
        <v>10</v>
      </c>
      <c r="AY59" s="506">
        <v>150</v>
      </c>
      <c r="AZ59" s="508">
        <v>15</v>
      </c>
      <c r="BA59" s="508"/>
      <c r="BB59" s="508">
        <f t="shared" si="4"/>
        <v>20</v>
      </c>
      <c r="BC59" s="509">
        <v>0</v>
      </c>
      <c r="BD59" s="509">
        <v>1</v>
      </c>
      <c r="BE59" s="506">
        <v>1</v>
      </c>
      <c r="BF59" s="200"/>
      <c r="BG59" s="200"/>
      <c r="BH59" s="200"/>
      <c r="BI59" s="200"/>
      <c r="BJ59" s="200"/>
      <c r="BK59" s="200"/>
      <c r="BL59" s="200"/>
      <c r="BM59" s="505">
        <f t="shared" si="5"/>
        <v>0</v>
      </c>
      <c r="BN59" s="200">
        <f t="shared" si="6"/>
        <v>0</v>
      </c>
      <c r="BO59" s="200">
        <f t="shared" si="27"/>
        <v>0</v>
      </c>
      <c r="BP59" s="200">
        <f t="shared" si="7"/>
        <v>5460</v>
      </c>
      <c r="BQ59" s="200">
        <f t="shared" si="8"/>
        <v>1365</v>
      </c>
      <c r="BR59" s="200">
        <f t="shared" si="9"/>
        <v>1365</v>
      </c>
      <c r="BS59" s="200">
        <f t="shared" si="10"/>
        <v>4095</v>
      </c>
      <c r="BT59" s="200">
        <f t="shared" si="11"/>
        <v>390</v>
      </c>
      <c r="BU59" s="200">
        <f t="shared" si="12"/>
        <v>1950</v>
      </c>
      <c r="BV59" s="200">
        <v>9</v>
      </c>
      <c r="BW59" s="200">
        <v>1</v>
      </c>
      <c r="BX59" s="200">
        <f t="shared" si="13"/>
        <v>1</v>
      </c>
      <c r="CB59" s="381">
        <f>_xlfn.IFNA(VLOOKUP(A59,'Actuals Summer'!$A:$AG,23,FALSE),0)</f>
        <v>5460</v>
      </c>
      <c r="CC59" s="381">
        <f>_xlfn.IFNA(VLOOKUP(A59,'Actuals Summer'!$A:$AG,24,FALSE),0)</f>
        <v>1365</v>
      </c>
      <c r="CD59" s="381">
        <f>_xlfn.IFNA(VLOOKUP(A59,'Actuals Summer'!$A:$AG,25,FALSE),0)</f>
        <v>0</v>
      </c>
      <c r="CE59" s="381">
        <f>_xlfn.IFNA(VLOOKUP(A59,'Actuals Summer'!$A:$AG,26,FALSE),0)</f>
        <v>0</v>
      </c>
      <c r="CF59" s="381">
        <f>_xlfn.IFNA(VLOOKUP(A59,'Actuals Summer'!$A:$AG,27,FALSE),0)</f>
        <v>0</v>
      </c>
      <c r="CG59" s="381">
        <f>_xlfn.IFNA(VLOOKUP(A59,'Actuals Dep Summer'!B:O,6,FALSE)*$BN$3,0)</f>
        <v>1365</v>
      </c>
      <c r="CH59" s="381">
        <f>_xlfn.IFNA(VLOOKUP(A59,'Actuals Dep Summer'!B:O,7,FALSE)*$BN$3,0)</f>
        <v>3120</v>
      </c>
      <c r="CI59" s="381">
        <f>_xlfn.IFNA(VLOOKUP(A59,'Actuals Dep Summer'!B:O,8,FALSE)*$BN$3,0)</f>
        <v>390</v>
      </c>
      <c r="CJ59" s="381">
        <f>_xlfn.IFNA(VLOOKUP(A59,'Actuals Summer'!$A:$AG,31,FALSE),0)*$BN$3</f>
        <v>129.92847973592515</v>
      </c>
      <c r="CK59" s="381"/>
      <c r="CL59" s="381">
        <f>_xlfn.IFNA(VLOOKUP(A59,'Actuals Summer'!$A:$AG,32,FALSE),0)*$BN$3</f>
        <v>25350</v>
      </c>
      <c r="CM59" s="381">
        <f>_xlfn.IFNA(VLOOKUP(A59,'Actuals Summer'!$A:$AG,33,FALSE),0)</f>
        <v>0.99998523864195499</v>
      </c>
      <c r="CP59" s="458">
        <f t="shared" si="14"/>
        <v>0</v>
      </c>
      <c r="CQ59" s="458">
        <f t="shared" si="15"/>
        <v>0</v>
      </c>
      <c r="CR59" s="458">
        <f t="shared" si="28"/>
        <v>0</v>
      </c>
      <c r="CS59" s="458">
        <f t="shared" si="16"/>
        <v>30903.600000000002</v>
      </c>
      <c r="CT59" s="458">
        <f t="shared" si="17"/>
        <v>7725.9000000000005</v>
      </c>
      <c r="CU59" s="458">
        <f t="shared" si="18"/>
        <v>832.65</v>
      </c>
      <c r="CV59" s="458">
        <f t="shared" si="19"/>
        <v>1187.55</v>
      </c>
      <c r="CW59" s="458">
        <f t="shared" si="20"/>
        <v>31.2</v>
      </c>
      <c r="CX59" s="458">
        <f t="shared" si="21"/>
        <v>1950</v>
      </c>
      <c r="CY59" s="458">
        <f t="shared" si="22"/>
        <v>671.21052631578948</v>
      </c>
      <c r="CZ59" s="458">
        <f t="shared" si="23"/>
        <v>186.44736842105263</v>
      </c>
      <c r="DA59" s="458">
        <f t="shared" si="24"/>
        <v>938</v>
      </c>
      <c r="DB59" s="458">
        <f t="shared" si="25"/>
        <v>44426.557894736841</v>
      </c>
      <c r="DC59" s="452">
        <f>_xlfn.XLOOKUP($A59,'Actuals Summer'!$A:$A,'Actuals Summer'!L:L,0,0)</f>
        <v>0</v>
      </c>
      <c r="DD59" s="452">
        <f>_xlfn.XLOOKUP($A59,'Actuals Summer'!$A:$A,'Actuals Summer'!K:K,0,0)+_xlfn.XLOOKUP($A59,'Actuals Summer'!$A:$A,'Actuals Summer'!Q:Q,0,0)</f>
        <v>0</v>
      </c>
      <c r="DE59" s="452">
        <f>_xlfn.XLOOKUP($A59,'Actuals Summer'!$A:$A,'Actuals Summer'!I:I,0,0)+_xlfn.XLOOKUP($A59,'Actuals Summer'!$A:$A,'Actuals Summer'!R:R,0,0)</f>
        <v>30903.600000000002</v>
      </c>
      <c r="DF59" s="452">
        <f>_xlfn.XLOOKUP($A59,'Actuals Summer'!$A:$A,'Actuals Summer'!J:J,0,0)</f>
        <v>7725.9000000000005</v>
      </c>
      <c r="DG59" s="452">
        <f>_xlfn.XLOOKUP($A59,'Actuals Dep Summer'!$B:$B,'Actuals Dep Summer'!G:G,0,0)*'Actuals Dep Summer'!$F$2*'Actuals Dep Summer'!$C$2</f>
        <v>832.65</v>
      </c>
      <c r="DH59" s="452">
        <f>_xlfn.XLOOKUP($A59,'Actuals Dep Summer'!$B:$B,'Actuals Dep Summer'!H:H,0,0)*'Actuals Dep Summer'!$F$2*'Actuals Dep Summer'!$C$3</f>
        <v>904.8</v>
      </c>
      <c r="DI59" s="452">
        <f>_xlfn.XLOOKUP($A59,'Actuals Dep Summer'!$B:$B,'Actuals Dep Summer'!I:I,0,0)*'Actuals Dep Summer'!$F$2*'Actuals Dep Summer'!$C$4</f>
        <v>31.2</v>
      </c>
      <c r="DJ59" s="452">
        <f>_xlfn.XLOOKUP($A59,'Actuals Summer'!$A:$A,'Actuals Summer'!P:P,0,0)</f>
        <v>1950</v>
      </c>
      <c r="DK59" s="452">
        <f>_xlfn.XLOOKUP($A59,'Actuals Summer'!$A:$A,'Actuals Summer'!O:O,0,0)</f>
        <v>745.78947368421052</v>
      </c>
      <c r="DL59" s="452"/>
      <c r="DM59" s="452">
        <f>_xlfn.XLOOKUP($A59,'Actuals Summer'!$A:$A,'Actuals Summer'!M:M,0,0)</f>
        <v>320.89</v>
      </c>
      <c r="DN59" s="453">
        <f t="shared" si="29"/>
        <v>43414.829473684214</v>
      </c>
      <c r="DO59" s="453">
        <f>_xlfn.XLOOKUP(A59,'Actuals Summer'!A:A,'Actuals Summer'!S:S,0,0)-'Summer data team '!DN59</f>
        <v>0</v>
      </c>
      <c r="DP59" s="463">
        <f t="shared" si="30"/>
        <v>1011.7284210526268</v>
      </c>
    </row>
    <row r="60" spans="1:120" ht="13" x14ac:dyDescent="0.3">
      <c r="A60" s="364">
        <v>2070</v>
      </c>
      <c r="B60" s="364">
        <v>3302070</v>
      </c>
      <c r="C60" s="364" t="s">
        <v>271</v>
      </c>
      <c r="D60" s="506">
        <v>0</v>
      </c>
      <c r="E60" s="506">
        <v>0</v>
      </c>
      <c r="F60" s="506">
        <v>0</v>
      </c>
      <c r="G60" s="506">
        <v>15</v>
      </c>
      <c r="H60" s="506">
        <v>7</v>
      </c>
      <c r="I60" s="507">
        <v>0</v>
      </c>
      <c r="J60" s="507">
        <v>22</v>
      </c>
      <c r="K60" s="506">
        <v>0</v>
      </c>
      <c r="L60" s="506">
        <v>0</v>
      </c>
      <c r="M60" s="507">
        <v>0</v>
      </c>
      <c r="N60" s="506">
        <v>0</v>
      </c>
      <c r="O60" s="506">
        <v>0</v>
      </c>
      <c r="P60" s="506">
        <v>225</v>
      </c>
      <c r="Q60" s="506">
        <v>105</v>
      </c>
      <c r="R60" s="507">
        <v>330</v>
      </c>
      <c r="S60" s="506">
        <v>0</v>
      </c>
      <c r="T60" s="506">
        <v>0</v>
      </c>
      <c r="U60" s="506">
        <v>0</v>
      </c>
      <c r="V60" s="506">
        <v>0</v>
      </c>
      <c r="W60" s="507">
        <v>0</v>
      </c>
      <c r="X60" s="506">
        <v>8</v>
      </c>
      <c r="Y60" s="506">
        <v>120</v>
      </c>
      <c r="Z60" s="508">
        <v>0</v>
      </c>
      <c r="AA60" s="506">
        <v>7</v>
      </c>
      <c r="AB60" s="506">
        <v>105</v>
      </c>
      <c r="AC60" s="508">
        <v>0</v>
      </c>
      <c r="AD60" s="506">
        <v>7</v>
      </c>
      <c r="AE60" s="506">
        <v>105</v>
      </c>
      <c r="AF60" s="508">
        <v>0</v>
      </c>
      <c r="AG60" s="509">
        <v>0</v>
      </c>
      <c r="AH60" s="509">
        <v>0</v>
      </c>
      <c r="AI60" s="508">
        <v>0</v>
      </c>
      <c r="AJ60" s="509">
        <v>9</v>
      </c>
      <c r="AK60" s="509">
        <v>135</v>
      </c>
      <c r="AL60" s="508">
        <v>0</v>
      </c>
      <c r="AM60" s="506">
        <v>9</v>
      </c>
      <c r="AN60" s="506">
        <v>135</v>
      </c>
      <c r="AO60" s="508">
        <v>0</v>
      </c>
      <c r="AP60" s="508"/>
      <c r="AQ60" s="508">
        <f t="shared" si="3"/>
        <v>9</v>
      </c>
      <c r="AR60" s="509">
        <v>0</v>
      </c>
      <c r="AS60" s="509">
        <v>0</v>
      </c>
      <c r="AT60" s="508">
        <v>0</v>
      </c>
      <c r="AU60" s="509">
        <v>9</v>
      </c>
      <c r="AV60" s="509">
        <v>135</v>
      </c>
      <c r="AW60" s="508">
        <v>0</v>
      </c>
      <c r="AX60" s="506">
        <v>9</v>
      </c>
      <c r="AY60" s="506">
        <v>135</v>
      </c>
      <c r="AZ60" s="508">
        <v>0</v>
      </c>
      <c r="BA60" s="508"/>
      <c r="BB60" s="508">
        <f t="shared" si="4"/>
        <v>18</v>
      </c>
      <c r="BC60" s="509">
        <v>0</v>
      </c>
      <c r="BD60" s="509">
        <v>0</v>
      </c>
      <c r="BE60" s="506">
        <v>0</v>
      </c>
      <c r="BF60" s="200"/>
      <c r="BG60" s="200"/>
      <c r="BH60" s="200"/>
      <c r="BI60" s="200"/>
      <c r="BJ60" s="200"/>
      <c r="BK60" s="200"/>
      <c r="BL60" s="200"/>
      <c r="BM60" s="505">
        <f t="shared" si="5"/>
        <v>0</v>
      </c>
      <c r="BN60" s="200">
        <f t="shared" si="6"/>
        <v>0</v>
      </c>
      <c r="BO60" s="200">
        <f t="shared" si="27"/>
        <v>0</v>
      </c>
      <c r="BP60" s="200">
        <f t="shared" si="7"/>
        <v>4290</v>
      </c>
      <c r="BQ60" s="200">
        <f t="shared" si="8"/>
        <v>0</v>
      </c>
      <c r="BR60" s="200">
        <f t="shared" si="9"/>
        <v>1560</v>
      </c>
      <c r="BS60" s="200">
        <f t="shared" si="10"/>
        <v>1365</v>
      </c>
      <c r="BT60" s="200">
        <f t="shared" si="11"/>
        <v>1365</v>
      </c>
      <c r="BU60" s="200">
        <f t="shared" si="12"/>
        <v>1755</v>
      </c>
      <c r="BV60" s="200">
        <v>9</v>
      </c>
      <c r="BW60" s="200">
        <v>0</v>
      </c>
      <c r="BX60" s="200">
        <f t="shared" si="13"/>
        <v>0</v>
      </c>
      <c r="CB60" s="381">
        <f>_xlfn.IFNA(VLOOKUP(A60,'Actuals Summer'!$A:$AG,23,FALSE),0)</f>
        <v>4290</v>
      </c>
      <c r="CC60" s="381">
        <f>_xlfn.IFNA(VLOOKUP(A60,'Actuals Summer'!$A:$AG,24,FALSE),0)</f>
        <v>0</v>
      </c>
      <c r="CD60" s="381">
        <f>_xlfn.IFNA(VLOOKUP(A60,'Actuals Summer'!$A:$AG,25,FALSE),0)</f>
        <v>0</v>
      </c>
      <c r="CE60" s="381">
        <f>_xlfn.IFNA(VLOOKUP(A60,'Actuals Summer'!$A:$AG,26,FALSE),0)</f>
        <v>0</v>
      </c>
      <c r="CF60" s="381">
        <f>_xlfn.IFNA(VLOOKUP(A60,'Actuals Summer'!$A:$AG,27,FALSE),0)</f>
        <v>0</v>
      </c>
      <c r="CG60" s="381">
        <f>_xlfn.IFNA(VLOOKUP(A60,'Actuals Dep Summer'!B:O,6,FALSE)*$BN$3,0)</f>
        <v>1560</v>
      </c>
      <c r="CH60" s="381">
        <f>_xlfn.IFNA(VLOOKUP(A60,'Actuals Dep Summer'!B:O,7,FALSE)*$BN$3,0)</f>
        <v>1365</v>
      </c>
      <c r="CI60" s="381">
        <f>_xlfn.IFNA(VLOOKUP(A60,'Actuals Dep Summer'!B:O,8,FALSE)*$BN$3,0)</f>
        <v>1365</v>
      </c>
      <c r="CJ60" s="381">
        <f>_xlfn.IFNA(VLOOKUP(A60,'Actuals Summer'!$A:$AG,31,FALSE),0)*$BN$3</f>
        <v>116.93563176233266</v>
      </c>
      <c r="CK60" s="381"/>
      <c r="CL60" s="381">
        <f>_xlfn.IFNA(VLOOKUP(A60,'Actuals Summer'!$A:$AG,32,FALSE),0)*$BN$3</f>
        <v>22815</v>
      </c>
      <c r="CM60" s="381">
        <f>_xlfn.IFNA(VLOOKUP(A60,'Actuals Summer'!$A:$AG,33,FALSE),0)</f>
        <v>0</v>
      </c>
      <c r="CP60" s="458">
        <f t="shared" si="14"/>
        <v>0</v>
      </c>
      <c r="CQ60" s="458">
        <f t="shared" si="15"/>
        <v>0</v>
      </c>
      <c r="CR60" s="458">
        <f t="shared" si="28"/>
        <v>0</v>
      </c>
      <c r="CS60" s="458">
        <f t="shared" si="16"/>
        <v>24281.4</v>
      </c>
      <c r="CT60" s="458">
        <f t="shared" si="17"/>
        <v>0</v>
      </c>
      <c r="CU60" s="458">
        <f t="shared" si="18"/>
        <v>951.6</v>
      </c>
      <c r="CV60" s="458">
        <f t="shared" si="19"/>
        <v>395.84999999999997</v>
      </c>
      <c r="CW60" s="458">
        <f t="shared" si="20"/>
        <v>109.2</v>
      </c>
      <c r="CX60" s="458">
        <f t="shared" si="21"/>
        <v>1755</v>
      </c>
      <c r="CY60" s="458">
        <f t="shared" si="22"/>
        <v>671.21052631578948</v>
      </c>
      <c r="CZ60" s="458">
        <f t="shared" si="23"/>
        <v>0</v>
      </c>
      <c r="DA60" s="458">
        <f t="shared" si="24"/>
        <v>0</v>
      </c>
      <c r="DB60" s="458">
        <f t="shared" si="25"/>
        <v>28164.260526315789</v>
      </c>
      <c r="DC60" s="452">
        <f>_xlfn.XLOOKUP($A60,'Actuals Summer'!$A:$A,'Actuals Summer'!L:L,0,0)</f>
        <v>0</v>
      </c>
      <c r="DD60" s="452">
        <f>_xlfn.XLOOKUP($A60,'Actuals Summer'!$A:$A,'Actuals Summer'!K:K,0,0)+_xlfn.XLOOKUP($A60,'Actuals Summer'!$A:$A,'Actuals Summer'!Q:Q,0,0)</f>
        <v>0</v>
      </c>
      <c r="DE60" s="452">
        <f>_xlfn.XLOOKUP($A60,'Actuals Summer'!$A:$A,'Actuals Summer'!I:I,0,0)+_xlfn.XLOOKUP($A60,'Actuals Summer'!$A:$A,'Actuals Summer'!R:R,0,0)</f>
        <v>24281.4</v>
      </c>
      <c r="DF60" s="452">
        <f>_xlfn.XLOOKUP($A60,'Actuals Summer'!$A:$A,'Actuals Summer'!J:J,0,0)</f>
        <v>0</v>
      </c>
      <c r="DG60" s="452">
        <f>_xlfn.XLOOKUP($A60,'Actuals Dep Summer'!$B:$B,'Actuals Dep Summer'!G:G,0,0)*'Actuals Dep Summer'!$F$2*'Actuals Dep Summer'!$C$2</f>
        <v>951.6</v>
      </c>
      <c r="DH60" s="452">
        <f>_xlfn.XLOOKUP($A60,'Actuals Dep Summer'!$B:$B,'Actuals Dep Summer'!H:H,0,0)*'Actuals Dep Summer'!$F$2*'Actuals Dep Summer'!$C$3</f>
        <v>395.84999999999997</v>
      </c>
      <c r="DI60" s="452">
        <f>_xlfn.XLOOKUP($A60,'Actuals Dep Summer'!$B:$B,'Actuals Dep Summer'!I:I,0,0)*'Actuals Dep Summer'!$F$2*'Actuals Dep Summer'!$C$4</f>
        <v>109.2</v>
      </c>
      <c r="DJ60" s="452">
        <f>_xlfn.XLOOKUP($A60,'Actuals Summer'!$A:$A,'Actuals Summer'!P:P,0,0)</f>
        <v>1755</v>
      </c>
      <c r="DK60" s="452">
        <f>_xlfn.XLOOKUP($A60,'Actuals Summer'!$A:$A,'Actuals Summer'!O:O,0,0)</f>
        <v>671.21052631578948</v>
      </c>
      <c r="DL60" s="452"/>
      <c r="DM60" s="452">
        <f>_xlfn.XLOOKUP($A60,'Actuals Summer'!$A:$A,'Actuals Summer'!M:M,0,0)</f>
        <v>0</v>
      </c>
      <c r="DN60" s="453">
        <f t="shared" si="29"/>
        <v>28164.260526315789</v>
      </c>
      <c r="DO60" s="453">
        <f>_xlfn.XLOOKUP(A60,'Actuals Summer'!A:A,'Actuals Summer'!S:S,0,0)-'Summer data team '!DN60</f>
        <v>0</v>
      </c>
      <c r="DP60" s="463">
        <f t="shared" si="30"/>
        <v>0</v>
      </c>
    </row>
    <row r="61" spans="1:120" ht="13" x14ac:dyDescent="0.3">
      <c r="A61" s="364">
        <v>2072</v>
      </c>
      <c r="B61" s="364">
        <v>3302072</v>
      </c>
      <c r="C61" s="364" t="s">
        <v>272</v>
      </c>
      <c r="D61" s="506">
        <v>0</v>
      </c>
      <c r="E61" s="506">
        <v>0</v>
      </c>
      <c r="F61" s="506">
        <v>0</v>
      </c>
      <c r="G61" s="506">
        <v>22</v>
      </c>
      <c r="H61" s="506">
        <v>31</v>
      </c>
      <c r="I61" s="507">
        <v>0</v>
      </c>
      <c r="J61" s="507">
        <v>53</v>
      </c>
      <c r="K61" s="506">
        <v>5</v>
      </c>
      <c r="L61" s="506">
        <v>7</v>
      </c>
      <c r="M61" s="507">
        <v>12</v>
      </c>
      <c r="N61" s="506">
        <v>0</v>
      </c>
      <c r="O61" s="506">
        <v>0</v>
      </c>
      <c r="P61" s="506">
        <v>330</v>
      </c>
      <c r="Q61" s="506">
        <v>465</v>
      </c>
      <c r="R61" s="507">
        <v>795</v>
      </c>
      <c r="S61" s="506">
        <v>0</v>
      </c>
      <c r="T61" s="506">
        <v>0</v>
      </c>
      <c r="U61" s="506">
        <v>75</v>
      </c>
      <c r="V61" s="506">
        <v>105</v>
      </c>
      <c r="W61" s="507">
        <v>180</v>
      </c>
      <c r="X61" s="506">
        <v>12</v>
      </c>
      <c r="Y61" s="506">
        <v>180</v>
      </c>
      <c r="Z61" s="508">
        <v>15</v>
      </c>
      <c r="AA61" s="506">
        <v>11</v>
      </c>
      <c r="AB61" s="506">
        <v>165</v>
      </c>
      <c r="AC61" s="508">
        <v>45</v>
      </c>
      <c r="AD61" s="506">
        <v>14</v>
      </c>
      <c r="AE61" s="506">
        <v>210</v>
      </c>
      <c r="AF61" s="508">
        <v>45</v>
      </c>
      <c r="AG61" s="509">
        <v>0</v>
      </c>
      <c r="AH61" s="509">
        <v>0</v>
      </c>
      <c r="AI61" s="508">
        <v>0</v>
      </c>
      <c r="AJ61" s="509">
        <v>21</v>
      </c>
      <c r="AK61" s="509">
        <v>315</v>
      </c>
      <c r="AL61" s="508">
        <v>45</v>
      </c>
      <c r="AM61" s="506">
        <v>21</v>
      </c>
      <c r="AN61" s="506">
        <v>315</v>
      </c>
      <c r="AO61" s="508">
        <v>45</v>
      </c>
      <c r="AP61" s="508"/>
      <c r="AQ61" s="508">
        <f t="shared" si="3"/>
        <v>21</v>
      </c>
      <c r="AR61" s="509">
        <v>0</v>
      </c>
      <c r="AS61" s="509">
        <v>0</v>
      </c>
      <c r="AT61" s="508">
        <v>0</v>
      </c>
      <c r="AU61" s="509">
        <v>20</v>
      </c>
      <c r="AV61" s="509">
        <v>300</v>
      </c>
      <c r="AW61" s="508">
        <v>45</v>
      </c>
      <c r="AX61" s="506">
        <v>20</v>
      </c>
      <c r="AY61" s="506">
        <v>300</v>
      </c>
      <c r="AZ61" s="508">
        <v>45</v>
      </c>
      <c r="BA61" s="508"/>
      <c r="BB61" s="508">
        <f t="shared" si="4"/>
        <v>40</v>
      </c>
      <c r="BC61" s="509">
        <v>0</v>
      </c>
      <c r="BD61" s="509">
        <v>0</v>
      </c>
      <c r="BE61" s="506">
        <v>0</v>
      </c>
      <c r="BF61" s="200"/>
      <c r="BG61" s="200"/>
      <c r="BH61" s="200"/>
      <c r="BI61" s="200"/>
      <c r="BJ61" s="200"/>
      <c r="BK61" s="200"/>
      <c r="BL61" s="200"/>
      <c r="BM61" s="505">
        <f t="shared" si="5"/>
        <v>0</v>
      </c>
      <c r="BN61" s="200">
        <f t="shared" si="6"/>
        <v>0</v>
      </c>
      <c r="BO61" s="200">
        <f t="shared" si="27"/>
        <v>0</v>
      </c>
      <c r="BP61" s="200">
        <f t="shared" si="7"/>
        <v>10335</v>
      </c>
      <c r="BQ61" s="200">
        <f t="shared" si="8"/>
        <v>2340</v>
      </c>
      <c r="BR61" s="200">
        <f t="shared" si="9"/>
        <v>2535</v>
      </c>
      <c r="BS61" s="200">
        <f t="shared" si="10"/>
        <v>2730</v>
      </c>
      <c r="BT61" s="200">
        <f t="shared" si="11"/>
        <v>3315</v>
      </c>
      <c r="BU61" s="200">
        <f t="shared" si="12"/>
        <v>4095</v>
      </c>
      <c r="BV61" s="200">
        <v>17</v>
      </c>
      <c r="BW61" s="200">
        <v>3</v>
      </c>
      <c r="BX61" s="200">
        <f t="shared" si="13"/>
        <v>0</v>
      </c>
      <c r="CB61" s="381">
        <f>_xlfn.IFNA(VLOOKUP(A61,'Actuals Summer'!$A:$AG,23,FALSE),0)</f>
        <v>10335</v>
      </c>
      <c r="CC61" s="381">
        <f>_xlfn.IFNA(VLOOKUP(A61,'Actuals Summer'!$A:$AG,24,FALSE),0)</f>
        <v>2340</v>
      </c>
      <c r="CD61" s="381">
        <f>_xlfn.IFNA(VLOOKUP(A61,'Actuals Summer'!$A:$AG,25,FALSE),0)</f>
        <v>0</v>
      </c>
      <c r="CE61" s="381">
        <f>_xlfn.IFNA(VLOOKUP(A61,'Actuals Summer'!$A:$AG,26,FALSE),0)</f>
        <v>0</v>
      </c>
      <c r="CF61" s="381">
        <f>_xlfn.IFNA(VLOOKUP(A61,'Actuals Summer'!$A:$AG,27,FALSE),0)</f>
        <v>0</v>
      </c>
      <c r="CG61" s="381">
        <f>_xlfn.IFNA(VLOOKUP(A61,'Actuals Dep Summer'!B:O,6,FALSE)*$BN$3,0)</f>
        <v>2340</v>
      </c>
      <c r="CH61" s="381">
        <f>_xlfn.IFNA(VLOOKUP(A61,'Actuals Dep Summer'!B:O,7,FALSE)*$BN$3,0)</f>
        <v>2145</v>
      </c>
      <c r="CI61" s="381">
        <f>_xlfn.IFNA(VLOOKUP(A61,'Actuals Dep Summer'!B:O,8,FALSE)*$BN$3,0)</f>
        <v>2730</v>
      </c>
      <c r="CJ61" s="381">
        <f>_xlfn.IFNA(VLOOKUP(A61,'Actuals Summer'!$A:$AG,31,FALSE),0)*$BN$3</f>
        <v>259.8569594718503</v>
      </c>
      <c r="CK61" s="381"/>
      <c r="CL61" s="381">
        <f>_xlfn.IFNA(VLOOKUP(A61,'Actuals Summer'!$A:$AG,32,FALSE),0)*$BN$3</f>
        <v>53235</v>
      </c>
      <c r="CM61" s="381">
        <f>_xlfn.IFNA(VLOOKUP(A61,'Actuals Summer'!$A:$AG,33,FALSE),0)</f>
        <v>0</v>
      </c>
      <c r="CP61" s="458">
        <f t="shared" si="14"/>
        <v>0</v>
      </c>
      <c r="CQ61" s="458">
        <f t="shared" si="15"/>
        <v>0</v>
      </c>
      <c r="CR61" s="458">
        <f t="shared" si="28"/>
        <v>0</v>
      </c>
      <c r="CS61" s="458">
        <f t="shared" si="16"/>
        <v>58496.1</v>
      </c>
      <c r="CT61" s="458">
        <f t="shared" si="17"/>
        <v>13244.4</v>
      </c>
      <c r="CU61" s="458">
        <f t="shared" si="18"/>
        <v>1546.35</v>
      </c>
      <c r="CV61" s="458">
        <f t="shared" si="19"/>
        <v>791.69999999999993</v>
      </c>
      <c r="CW61" s="458">
        <f t="shared" si="20"/>
        <v>265.2</v>
      </c>
      <c r="CX61" s="458">
        <f t="shared" si="21"/>
        <v>4095</v>
      </c>
      <c r="CY61" s="458">
        <f t="shared" si="22"/>
        <v>1267.8421052631577</v>
      </c>
      <c r="CZ61" s="458">
        <f t="shared" si="23"/>
        <v>559.34210526315792</v>
      </c>
      <c r="DA61" s="458">
        <f t="shared" si="24"/>
        <v>0</v>
      </c>
      <c r="DB61" s="458">
        <f t="shared" si="25"/>
        <v>80265.93421052632</v>
      </c>
      <c r="DC61" s="452">
        <f>_xlfn.XLOOKUP($A61,'Actuals Summer'!$A:$A,'Actuals Summer'!L:L,0,0)</f>
        <v>0</v>
      </c>
      <c r="DD61" s="452">
        <f>_xlfn.XLOOKUP($A61,'Actuals Summer'!$A:$A,'Actuals Summer'!K:K,0,0)+_xlfn.XLOOKUP($A61,'Actuals Summer'!$A:$A,'Actuals Summer'!Q:Q,0,0)</f>
        <v>0</v>
      </c>
      <c r="DE61" s="452">
        <f>_xlfn.XLOOKUP($A61,'Actuals Summer'!$A:$A,'Actuals Summer'!I:I,0,0)+_xlfn.XLOOKUP($A61,'Actuals Summer'!$A:$A,'Actuals Summer'!R:R,0,0)</f>
        <v>58496.1</v>
      </c>
      <c r="DF61" s="452">
        <f>_xlfn.XLOOKUP($A61,'Actuals Summer'!$A:$A,'Actuals Summer'!J:J,0,0)</f>
        <v>13244.4</v>
      </c>
      <c r="DG61" s="452">
        <f>_xlfn.XLOOKUP($A61,'Actuals Dep Summer'!$B:$B,'Actuals Dep Summer'!G:G,0,0)*'Actuals Dep Summer'!$F$2*'Actuals Dep Summer'!$C$2</f>
        <v>1427.3999999999999</v>
      </c>
      <c r="DH61" s="452">
        <f>_xlfn.XLOOKUP($A61,'Actuals Dep Summer'!$B:$B,'Actuals Dep Summer'!H:H,0,0)*'Actuals Dep Summer'!$F$2*'Actuals Dep Summer'!$C$3</f>
        <v>622.04999999999995</v>
      </c>
      <c r="DI61" s="452">
        <f>_xlfn.XLOOKUP($A61,'Actuals Dep Summer'!$B:$B,'Actuals Dep Summer'!I:I,0,0)*'Actuals Dep Summer'!$F$2*'Actuals Dep Summer'!$C$4</f>
        <v>218.4</v>
      </c>
      <c r="DJ61" s="452">
        <f>_xlfn.XLOOKUP($A61,'Actuals Summer'!$A:$A,'Actuals Summer'!P:P,0,0)</f>
        <v>4095</v>
      </c>
      <c r="DK61" s="452">
        <f>_xlfn.XLOOKUP($A61,'Actuals Summer'!$A:$A,'Actuals Summer'!O:O,0,0)</f>
        <v>1491.578947368421</v>
      </c>
      <c r="DL61" s="452"/>
      <c r="DM61" s="452">
        <f>_xlfn.XLOOKUP($A61,'Actuals Summer'!$A:$A,'Actuals Summer'!M:M,0,0)</f>
        <v>0</v>
      </c>
      <c r="DN61" s="453">
        <f t="shared" si="29"/>
        <v>79594.928947368418</v>
      </c>
      <c r="DO61" s="453">
        <f>_xlfn.XLOOKUP(A61,'Actuals Summer'!A:A,'Actuals Summer'!S:S,0,0)-'Summer data team '!DN61</f>
        <v>0</v>
      </c>
      <c r="DP61" s="463">
        <f t="shared" si="30"/>
        <v>671.00526315790194</v>
      </c>
    </row>
    <row r="62" spans="1:120" ht="13" x14ac:dyDescent="0.3">
      <c r="A62" s="364">
        <v>2073</v>
      </c>
      <c r="B62" s="364">
        <v>3302073</v>
      </c>
      <c r="C62" s="364" t="s">
        <v>273</v>
      </c>
      <c r="D62" s="506">
        <v>0</v>
      </c>
      <c r="E62" s="506">
        <v>0</v>
      </c>
      <c r="F62" s="506">
        <v>0</v>
      </c>
      <c r="G62" s="506">
        <v>21</v>
      </c>
      <c r="H62" s="506">
        <v>26</v>
      </c>
      <c r="I62" s="507">
        <v>0</v>
      </c>
      <c r="J62" s="507">
        <v>47</v>
      </c>
      <c r="K62" s="506">
        <v>5</v>
      </c>
      <c r="L62" s="506">
        <v>7</v>
      </c>
      <c r="M62" s="507">
        <v>12</v>
      </c>
      <c r="N62" s="506">
        <v>0</v>
      </c>
      <c r="O62" s="506">
        <v>0</v>
      </c>
      <c r="P62" s="506">
        <v>315</v>
      </c>
      <c r="Q62" s="506">
        <v>390</v>
      </c>
      <c r="R62" s="507">
        <v>705</v>
      </c>
      <c r="S62" s="506">
        <v>0</v>
      </c>
      <c r="T62" s="506">
        <v>0</v>
      </c>
      <c r="U62" s="506">
        <v>75</v>
      </c>
      <c r="V62" s="506">
        <v>105</v>
      </c>
      <c r="W62" s="507">
        <v>180</v>
      </c>
      <c r="X62" s="506">
        <v>27</v>
      </c>
      <c r="Y62" s="506">
        <v>405</v>
      </c>
      <c r="Z62" s="508">
        <v>90</v>
      </c>
      <c r="AA62" s="506">
        <v>11</v>
      </c>
      <c r="AB62" s="506">
        <v>165</v>
      </c>
      <c r="AC62" s="508">
        <v>45</v>
      </c>
      <c r="AD62" s="506">
        <v>1</v>
      </c>
      <c r="AE62" s="506">
        <v>15</v>
      </c>
      <c r="AF62" s="508">
        <v>0</v>
      </c>
      <c r="AG62" s="509">
        <v>0</v>
      </c>
      <c r="AH62" s="509">
        <v>0</v>
      </c>
      <c r="AI62" s="508">
        <v>0</v>
      </c>
      <c r="AJ62" s="509">
        <v>25</v>
      </c>
      <c r="AK62" s="509">
        <v>375</v>
      </c>
      <c r="AL62" s="508">
        <v>75</v>
      </c>
      <c r="AM62" s="506">
        <v>25</v>
      </c>
      <c r="AN62" s="506">
        <v>375</v>
      </c>
      <c r="AO62" s="508">
        <v>75</v>
      </c>
      <c r="AP62" s="508"/>
      <c r="AQ62" s="508">
        <f t="shared" si="3"/>
        <v>25</v>
      </c>
      <c r="AR62" s="509">
        <v>0</v>
      </c>
      <c r="AS62" s="509">
        <v>0</v>
      </c>
      <c r="AT62" s="508">
        <v>0</v>
      </c>
      <c r="AU62" s="509">
        <v>24</v>
      </c>
      <c r="AV62" s="509">
        <v>360</v>
      </c>
      <c r="AW62" s="508">
        <v>60</v>
      </c>
      <c r="AX62" s="506">
        <v>24</v>
      </c>
      <c r="AY62" s="506">
        <v>360</v>
      </c>
      <c r="AZ62" s="508">
        <v>60</v>
      </c>
      <c r="BA62" s="508"/>
      <c r="BB62" s="508">
        <f t="shared" si="4"/>
        <v>48</v>
      </c>
      <c r="BC62" s="509">
        <v>0</v>
      </c>
      <c r="BD62" s="509">
        <v>0</v>
      </c>
      <c r="BE62" s="506">
        <v>0</v>
      </c>
      <c r="BF62" s="200"/>
      <c r="BG62" s="200"/>
      <c r="BH62" s="200"/>
      <c r="BI62" s="200"/>
      <c r="BJ62" s="200"/>
      <c r="BK62" s="200"/>
      <c r="BL62" s="200"/>
      <c r="BM62" s="505">
        <f t="shared" si="5"/>
        <v>0</v>
      </c>
      <c r="BN62" s="200">
        <f t="shared" si="6"/>
        <v>0</v>
      </c>
      <c r="BO62" s="200">
        <f t="shared" si="27"/>
        <v>0</v>
      </c>
      <c r="BP62" s="200">
        <f t="shared" si="7"/>
        <v>9165</v>
      </c>
      <c r="BQ62" s="200">
        <f t="shared" si="8"/>
        <v>2340</v>
      </c>
      <c r="BR62" s="200">
        <f t="shared" si="9"/>
        <v>6435</v>
      </c>
      <c r="BS62" s="200">
        <f t="shared" si="10"/>
        <v>2730</v>
      </c>
      <c r="BT62" s="200">
        <f t="shared" si="11"/>
        <v>195</v>
      </c>
      <c r="BU62" s="200">
        <f t="shared" si="12"/>
        <v>4875</v>
      </c>
      <c r="BV62" s="200">
        <v>20</v>
      </c>
      <c r="BW62" s="200">
        <v>4</v>
      </c>
      <c r="BX62" s="200">
        <f t="shared" si="13"/>
        <v>0</v>
      </c>
      <c r="CB62" s="381">
        <f>_xlfn.IFNA(VLOOKUP(A62,'Actuals Summer'!$A:$AG,23,FALSE),0)</f>
        <v>9165</v>
      </c>
      <c r="CC62" s="381">
        <f>_xlfn.IFNA(VLOOKUP(A62,'Actuals Summer'!$A:$AG,24,FALSE),0)</f>
        <v>2340</v>
      </c>
      <c r="CD62" s="381">
        <f>_xlfn.IFNA(VLOOKUP(A62,'Actuals Summer'!$A:$AG,25,FALSE),0)</f>
        <v>0</v>
      </c>
      <c r="CE62" s="381">
        <f>_xlfn.IFNA(VLOOKUP(A62,'Actuals Summer'!$A:$AG,26,FALSE),0)</f>
        <v>0</v>
      </c>
      <c r="CF62" s="381">
        <f>_xlfn.IFNA(VLOOKUP(A62,'Actuals Summer'!$A:$AG,27,FALSE),0)</f>
        <v>0</v>
      </c>
      <c r="CG62" s="381">
        <f>_xlfn.IFNA(VLOOKUP(A62,'Actuals Dep Summer'!B:O,6,FALSE)*$BN$3,0)</f>
        <v>5265</v>
      </c>
      <c r="CH62" s="381">
        <f>_xlfn.IFNA(VLOOKUP(A62,'Actuals Dep Summer'!B:O,7,FALSE)*$BN$3,0)</f>
        <v>2145</v>
      </c>
      <c r="CI62" s="381">
        <f>_xlfn.IFNA(VLOOKUP(A62,'Actuals Dep Summer'!B:O,8,FALSE)*$BN$3,0)</f>
        <v>195</v>
      </c>
      <c r="CJ62" s="381">
        <f>_xlfn.IFNA(VLOOKUP(A62,'Actuals Summer'!$A:$AG,31,FALSE),0)*$BN$3</f>
        <v>311.82835136622049</v>
      </c>
      <c r="CK62" s="381"/>
      <c r="CL62" s="381">
        <f>_xlfn.IFNA(VLOOKUP(A62,'Actuals Summer'!$A:$AG,32,FALSE),0)*$BN$3</f>
        <v>63375</v>
      </c>
      <c r="CM62" s="381">
        <f>_xlfn.IFNA(VLOOKUP(A62,'Actuals Summer'!$A:$AG,33,FALSE),0)</f>
        <v>0</v>
      </c>
      <c r="CP62" s="458">
        <f t="shared" si="14"/>
        <v>0</v>
      </c>
      <c r="CQ62" s="458">
        <f t="shared" si="15"/>
        <v>0</v>
      </c>
      <c r="CR62" s="458">
        <f t="shared" si="28"/>
        <v>0</v>
      </c>
      <c r="CS62" s="458">
        <f t="shared" si="16"/>
        <v>51873.9</v>
      </c>
      <c r="CT62" s="458">
        <f t="shared" si="17"/>
        <v>13244.4</v>
      </c>
      <c r="CU62" s="458">
        <f t="shared" si="18"/>
        <v>3925.35</v>
      </c>
      <c r="CV62" s="458">
        <f t="shared" si="19"/>
        <v>791.69999999999993</v>
      </c>
      <c r="CW62" s="458">
        <f t="shared" si="20"/>
        <v>15.6</v>
      </c>
      <c r="CX62" s="458">
        <f t="shared" si="21"/>
        <v>4875</v>
      </c>
      <c r="CY62" s="458">
        <f t="shared" si="22"/>
        <v>1491.578947368421</v>
      </c>
      <c r="CZ62" s="458">
        <f t="shared" si="23"/>
        <v>745.78947368421052</v>
      </c>
      <c r="DA62" s="458">
        <f t="shared" si="24"/>
        <v>0</v>
      </c>
      <c r="DB62" s="458">
        <f t="shared" si="25"/>
        <v>76963.318421052652</v>
      </c>
      <c r="DC62" s="452">
        <f>_xlfn.XLOOKUP($A62,'Actuals Summer'!$A:$A,'Actuals Summer'!L:L,0,0)</f>
        <v>0</v>
      </c>
      <c r="DD62" s="452">
        <f>_xlfn.XLOOKUP($A62,'Actuals Summer'!$A:$A,'Actuals Summer'!K:K,0,0)+_xlfn.XLOOKUP($A62,'Actuals Summer'!$A:$A,'Actuals Summer'!Q:Q,0,0)</f>
        <v>0</v>
      </c>
      <c r="DE62" s="452">
        <f>_xlfn.XLOOKUP($A62,'Actuals Summer'!$A:$A,'Actuals Summer'!I:I,0,0)+_xlfn.XLOOKUP($A62,'Actuals Summer'!$A:$A,'Actuals Summer'!R:R,0,0)</f>
        <v>51873.9</v>
      </c>
      <c r="DF62" s="452">
        <f>_xlfn.XLOOKUP($A62,'Actuals Summer'!$A:$A,'Actuals Summer'!J:J,0,0)</f>
        <v>13244.4</v>
      </c>
      <c r="DG62" s="452">
        <f>_xlfn.XLOOKUP($A62,'Actuals Dep Summer'!$B:$B,'Actuals Dep Summer'!G:G,0,0)*'Actuals Dep Summer'!$F$2*'Actuals Dep Summer'!$C$2</f>
        <v>3211.65</v>
      </c>
      <c r="DH62" s="452">
        <f>_xlfn.XLOOKUP($A62,'Actuals Dep Summer'!$B:$B,'Actuals Dep Summer'!H:H,0,0)*'Actuals Dep Summer'!$F$2*'Actuals Dep Summer'!$C$3</f>
        <v>622.04999999999995</v>
      </c>
      <c r="DI62" s="452">
        <f>_xlfn.XLOOKUP($A62,'Actuals Dep Summer'!$B:$B,'Actuals Dep Summer'!I:I,0,0)*'Actuals Dep Summer'!$F$2*'Actuals Dep Summer'!$C$4</f>
        <v>15.6</v>
      </c>
      <c r="DJ62" s="452">
        <f>_xlfn.XLOOKUP($A62,'Actuals Summer'!$A:$A,'Actuals Summer'!P:P,0,0)</f>
        <v>4875</v>
      </c>
      <c r="DK62" s="452">
        <f>_xlfn.XLOOKUP($A62,'Actuals Summer'!$A:$A,'Actuals Summer'!O:O,0,0)</f>
        <v>1789.8947368421054</v>
      </c>
      <c r="DL62" s="452"/>
      <c r="DM62" s="452">
        <f>_xlfn.XLOOKUP($A62,'Actuals Summer'!$A:$A,'Actuals Summer'!M:M,0,0)</f>
        <v>0</v>
      </c>
      <c r="DN62" s="453">
        <f t="shared" si="29"/>
        <v>75632.494736842113</v>
      </c>
      <c r="DO62" s="453">
        <f>_xlfn.XLOOKUP(A62,'Actuals Summer'!A:A,'Actuals Summer'!S:S,0,0)-'Summer data team '!DN62</f>
        <v>0</v>
      </c>
      <c r="DP62" s="463">
        <f t="shared" si="30"/>
        <v>1330.8236842105398</v>
      </c>
    </row>
    <row r="63" spans="1:120" ht="13" x14ac:dyDescent="0.3">
      <c r="A63" s="364">
        <v>2075</v>
      </c>
      <c r="B63" s="364">
        <v>3302075</v>
      </c>
      <c r="C63" s="364" t="s">
        <v>274</v>
      </c>
      <c r="D63" s="506">
        <v>0</v>
      </c>
      <c r="E63" s="506">
        <v>0</v>
      </c>
      <c r="F63" s="506">
        <v>0</v>
      </c>
      <c r="G63" s="506">
        <v>7</v>
      </c>
      <c r="H63" s="506">
        <v>8</v>
      </c>
      <c r="I63" s="507">
        <v>0</v>
      </c>
      <c r="J63" s="507">
        <v>15</v>
      </c>
      <c r="K63" s="506">
        <v>0</v>
      </c>
      <c r="L63" s="506">
        <v>0</v>
      </c>
      <c r="M63" s="507">
        <v>0</v>
      </c>
      <c r="N63" s="506">
        <v>0</v>
      </c>
      <c r="O63" s="506">
        <v>0</v>
      </c>
      <c r="P63" s="506">
        <v>105</v>
      </c>
      <c r="Q63" s="506">
        <v>120</v>
      </c>
      <c r="R63" s="507">
        <v>225</v>
      </c>
      <c r="S63" s="506">
        <v>0</v>
      </c>
      <c r="T63" s="506">
        <v>0</v>
      </c>
      <c r="U63" s="506">
        <v>0</v>
      </c>
      <c r="V63" s="506">
        <v>0</v>
      </c>
      <c r="W63" s="507">
        <v>0</v>
      </c>
      <c r="X63" s="506">
        <v>0</v>
      </c>
      <c r="Y63" s="506">
        <v>0</v>
      </c>
      <c r="Z63" s="508">
        <v>0</v>
      </c>
      <c r="AA63" s="506">
        <v>10</v>
      </c>
      <c r="AB63" s="506">
        <v>150</v>
      </c>
      <c r="AC63" s="508">
        <v>0</v>
      </c>
      <c r="AD63" s="506">
        <v>5</v>
      </c>
      <c r="AE63" s="506">
        <v>75</v>
      </c>
      <c r="AF63" s="508">
        <v>0</v>
      </c>
      <c r="AG63" s="509">
        <v>0</v>
      </c>
      <c r="AH63" s="509">
        <v>0</v>
      </c>
      <c r="AI63" s="508">
        <v>0</v>
      </c>
      <c r="AJ63" s="509">
        <v>0</v>
      </c>
      <c r="AK63" s="509">
        <v>0</v>
      </c>
      <c r="AL63" s="508">
        <v>0</v>
      </c>
      <c r="AM63" s="506">
        <v>0</v>
      </c>
      <c r="AN63" s="506">
        <v>0</v>
      </c>
      <c r="AO63" s="508">
        <v>0</v>
      </c>
      <c r="AP63" s="508"/>
      <c r="AQ63" s="508">
        <f t="shared" si="3"/>
        <v>0</v>
      </c>
      <c r="AR63" s="509">
        <v>0</v>
      </c>
      <c r="AS63" s="509">
        <v>0</v>
      </c>
      <c r="AT63" s="508">
        <v>0</v>
      </c>
      <c r="AU63" s="509">
        <v>0</v>
      </c>
      <c r="AV63" s="509">
        <v>0</v>
      </c>
      <c r="AW63" s="508">
        <v>0</v>
      </c>
      <c r="AX63" s="506">
        <v>0</v>
      </c>
      <c r="AY63" s="506">
        <v>0</v>
      </c>
      <c r="AZ63" s="508">
        <v>0</v>
      </c>
      <c r="BA63" s="508"/>
      <c r="BB63" s="508">
        <f t="shared" si="4"/>
        <v>0</v>
      </c>
      <c r="BC63" s="509">
        <v>0</v>
      </c>
      <c r="BD63" s="509">
        <v>0</v>
      </c>
      <c r="BE63" s="506">
        <v>0</v>
      </c>
      <c r="BF63" s="200"/>
      <c r="BG63" s="200"/>
      <c r="BH63" s="200"/>
      <c r="BI63" s="200"/>
      <c r="BJ63" s="200"/>
      <c r="BK63" s="200"/>
      <c r="BL63" s="200"/>
      <c r="BM63" s="505">
        <f t="shared" si="5"/>
        <v>0</v>
      </c>
      <c r="BN63" s="200">
        <f t="shared" si="6"/>
        <v>0</v>
      </c>
      <c r="BO63" s="200">
        <f t="shared" si="27"/>
        <v>0</v>
      </c>
      <c r="BP63" s="200">
        <f t="shared" si="7"/>
        <v>2925</v>
      </c>
      <c r="BQ63" s="200">
        <f t="shared" si="8"/>
        <v>0</v>
      </c>
      <c r="BR63" s="200">
        <f t="shared" si="9"/>
        <v>0</v>
      </c>
      <c r="BS63" s="200">
        <f t="shared" si="10"/>
        <v>1950</v>
      </c>
      <c r="BT63" s="200">
        <f t="shared" si="11"/>
        <v>975</v>
      </c>
      <c r="BU63" s="200">
        <f t="shared" si="12"/>
        <v>0</v>
      </c>
      <c r="BV63" s="200">
        <v>0</v>
      </c>
      <c r="BW63" s="200">
        <v>0</v>
      </c>
      <c r="BX63" s="200">
        <f t="shared" si="13"/>
        <v>0</v>
      </c>
      <c r="CB63" s="381">
        <f>_xlfn.IFNA(VLOOKUP(A63,'Actuals Summer'!$A:$AG,23,FALSE),0)</f>
        <v>2925</v>
      </c>
      <c r="CC63" s="381">
        <f>_xlfn.IFNA(VLOOKUP(A63,'Actuals Summer'!$A:$AG,24,FALSE),0)</f>
        <v>0</v>
      </c>
      <c r="CD63" s="381">
        <f>_xlfn.IFNA(VLOOKUP(A63,'Actuals Summer'!$A:$AG,25,FALSE),0)</f>
        <v>0</v>
      </c>
      <c r="CE63" s="381">
        <f>_xlfn.IFNA(VLOOKUP(A63,'Actuals Summer'!$A:$AG,26,FALSE),0)</f>
        <v>0</v>
      </c>
      <c r="CF63" s="381">
        <f>_xlfn.IFNA(VLOOKUP(A63,'Actuals Summer'!$A:$AG,27,FALSE),0)</f>
        <v>0</v>
      </c>
      <c r="CG63" s="381">
        <f>_xlfn.IFNA(VLOOKUP(A63,'Actuals Dep Summer'!B:O,6,FALSE)*$BN$3,0)</f>
        <v>0</v>
      </c>
      <c r="CH63" s="381">
        <f>_xlfn.IFNA(VLOOKUP(A63,'Actuals Dep Summer'!B:O,7,FALSE)*$BN$3,0)</f>
        <v>1950</v>
      </c>
      <c r="CI63" s="381">
        <f>_xlfn.IFNA(VLOOKUP(A63,'Actuals Dep Summer'!B:O,8,FALSE)*$BN$3,0)</f>
        <v>975</v>
      </c>
      <c r="CJ63" s="381">
        <f>_xlfn.IFNA(VLOOKUP(A63,'Actuals Summer'!$A:$AG,31,FALSE),0)*$BN$3</f>
        <v>0</v>
      </c>
      <c r="CK63" s="381"/>
      <c r="CL63" s="381">
        <f>_xlfn.IFNA(VLOOKUP(A63,'Actuals Summer'!$A:$AG,32,FALSE),0)*$BN$3</f>
        <v>0</v>
      </c>
      <c r="CM63" s="381">
        <f>_xlfn.IFNA(VLOOKUP(A63,'Actuals Summer'!$A:$AG,33,FALSE),0)</f>
        <v>0</v>
      </c>
      <c r="CP63" s="458">
        <f t="shared" si="14"/>
        <v>0</v>
      </c>
      <c r="CQ63" s="458">
        <f t="shared" si="15"/>
        <v>0</v>
      </c>
      <c r="CR63" s="458">
        <f t="shared" si="28"/>
        <v>0</v>
      </c>
      <c r="CS63" s="458">
        <f t="shared" si="16"/>
        <v>16555.5</v>
      </c>
      <c r="CT63" s="458">
        <f t="shared" si="17"/>
        <v>0</v>
      </c>
      <c r="CU63" s="458">
        <f t="shared" si="18"/>
        <v>0</v>
      </c>
      <c r="CV63" s="458">
        <f t="shared" si="19"/>
        <v>565.5</v>
      </c>
      <c r="CW63" s="458">
        <f t="shared" si="20"/>
        <v>78</v>
      </c>
      <c r="CX63" s="458">
        <f t="shared" si="21"/>
        <v>0</v>
      </c>
      <c r="CY63" s="458">
        <f t="shared" si="22"/>
        <v>0</v>
      </c>
      <c r="CZ63" s="458">
        <f t="shared" si="23"/>
        <v>0</v>
      </c>
      <c r="DA63" s="458">
        <f t="shared" si="24"/>
        <v>0</v>
      </c>
      <c r="DB63" s="458">
        <f t="shared" si="25"/>
        <v>17199</v>
      </c>
      <c r="DC63" s="452">
        <f>_xlfn.XLOOKUP($A63,'Actuals Summer'!$A:$A,'Actuals Summer'!L:L,0,0)</f>
        <v>0</v>
      </c>
      <c r="DD63" s="452">
        <f>_xlfn.XLOOKUP($A63,'Actuals Summer'!$A:$A,'Actuals Summer'!K:K,0,0)+_xlfn.XLOOKUP($A63,'Actuals Summer'!$A:$A,'Actuals Summer'!Q:Q,0,0)</f>
        <v>0</v>
      </c>
      <c r="DE63" s="452">
        <f>_xlfn.XLOOKUP($A63,'Actuals Summer'!$A:$A,'Actuals Summer'!I:I,0,0)+_xlfn.XLOOKUP($A63,'Actuals Summer'!$A:$A,'Actuals Summer'!R:R,0,0)</f>
        <v>16555.5</v>
      </c>
      <c r="DF63" s="452">
        <f>_xlfn.XLOOKUP($A63,'Actuals Summer'!$A:$A,'Actuals Summer'!J:J,0,0)</f>
        <v>0</v>
      </c>
      <c r="DG63" s="452">
        <f>_xlfn.XLOOKUP($A63,'Actuals Dep Summer'!$B:$B,'Actuals Dep Summer'!G:G,0,0)*'Actuals Dep Summer'!$F$2*'Actuals Dep Summer'!$C$2</f>
        <v>0</v>
      </c>
      <c r="DH63" s="452">
        <f>_xlfn.XLOOKUP($A63,'Actuals Dep Summer'!$B:$B,'Actuals Dep Summer'!H:H,0,0)*'Actuals Dep Summer'!$F$2*'Actuals Dep Summer'!$C$3</f>
        <v>565.5</v>
      </c>
      <c r="DI63" s="452">
        <f>_xlfn.XLOOKUP($A63,'Actuals Dep Summer'!$B:$B,'Actuals Dep Summer'!I:I,0,0)*'Actuals Dep Summer'!$F$2*'Actuals Dep Summer'!$C$4</f>
        <v>78</v>
      </c>
      <c r="DJ63" s="452">
        <f>_xlfn.XLOOKUP($A63,'Actuals Summer'!$A:$A,'Actuals Summer'!P:P,0,0)</f>
        <v>0</v>
      </c>
      <c r="DK63" s="452">
        <f>_xlfn.XLOOKUP($A63,'Actuals Summer'!$A:$A,'Actuals Summer'!O:O,0,0)</f>
        <v>0</v>
      </c>
      <c r="DL63" s="452"/>
      <c r="DM63" s="452">
        <f>_xlfn.XLOOKUP($A63,'Actuals Summer'!$A:$A,'Actuals Summer'!M:M,0,0)</f>
        <v>0</v>
      </c>
      <c r="DN63" s="453">
        <f t="shared" si="29"/>
        <v>17199</v>
      </c>
      <c r="DO63" s="453">
        <f>_xlfn.XLOOKUP(A63,'Actuals Summer'!A:A,'Actuals Summer'!S:S,0,0)-'Summer data team '!DN63</f>
        <v>0</v>
      </c>
      <c r="DP63" s="463">
        <f t="shared" si="30"/>
        <v>0</v>
      </c>
    </row>
    <row r="64" spans="1:120" ht="13" x14ac:dyDescent="0.3">
      <c r="A64" s="364">
        <v>2078</v>
      </c>
      <c r="B64" s="364">
        <v>3302078</v>
      </c>
      <c r="C64" s="364" t="s">
        <v>275</v>
      </c>
      <c r="D64" s="506">
        <v>0</v>
      </c>
      <c r="E64" s="506">
        <v>0</v>
      </c>
      <c r="F64" s="506">
        <v>0</v>
      </c>
      <c r="G64" s="506">
        <v>13</v>
      </c>
      <c r="H64" s="506">
        <v>19</v>
      </c>
      <c r="I64" s="507">
        <v>0</v>
      </c>
      <c r="J64" s="507">
        <v>32</v>
      </c>
      <c r="K64" s="506">
        <v>4</v>
      </c>
      <c r="L64" s="506">
        <v>9</v>
      </c>
      <c r="M64" s="507">
        <v>13</v>
      </c>
      <c r="N64" s="506">
        <v>0</v>
      </c>
      <c r="O64" s="506">
        <v>0</v>
      </c>
      <c r="P64" s="506">
        <v>195</v>
      </c>
      <c r="Q64" s="506">
        <v>283</v>
      </c>
      <c r="R64" s="507">
        <v>478</v>
      </c>
      <c r="S64" s="506">
        <v>0</v>
      </c>
      <c r="T64" s="506">
        <v>0</v>
      </c>
      <c r="U64" s="506">
        <v>42</v>
      </c>
      <c r="V64" s="506">
        <v>102.5</v>
      </c>
      <c r="W64" s="507">
        <v>144.5</v>
      </c>
      <c r="X64" s="506">
        <v>2</v>
      </c>
      <c r="Y64" s="506">
        <v>28</v>
      </c>
      <c r="Z64" s="508">
        <v>15</v>
      </c>
      <c r="AA64" s="506">
        <v>0</v>
      </c>
      <c r="AB64" s="506">
        <v>0</v>
      </c>
      <c r="AC64" s="508">
        <v>0</v>
      </c>
      <c r="AD64" s="506">
        <v>13</v>
      </c>
      <c r="AE64" s="506">
        <v>195</v>
      </c>
      <c r="AF64" s="508">
        <v>37.5</v>
      </c>
      <c r="AG64" s="509">
        <v>0</v>
      </c>
      <c r="AH64" s="509">
        <v>0</v>
      </c>
      <c r="AI64" s="508">
        <v>0</v>
      </c>
      <c r="AJ64" s="509">
        <v>4</v>
      </c>
      <c r="AK64" s="509">
        <v>60</v>
      </c>
      <c r="AL64" s="508">
        <v>15</v>
      </c>
      <c r="AM64" s="506">
        <v>4</v>
      </c>
      <c r="AN64" s="506">
        <v>60</v>
      </c>
      <c r="AO64" s="508">
        <v>15</v>
      </c>
      <c r="AP64" s="508"/>
      <c r="AQ64" s="508">
        <f t="shared" si="3"/>
        <v>4</v>
      </c>
      <c r="AR64" s="509">
        <v>0</v>
      </c>
      <c r="AS64" s="509">
        <v>0</v>
      </c>
      <c r="AT64" s="508">
        <v>0</v>
      </c>
      <c r="AU64" s="509">
        <v>3</v>
      </c>
      <c r="AV64" s="509">
        <v>45</v>
      </c>
      <c r="AW64" s="508">
        <v>0</v>
      </c>
      <c r="AX64" s="506">
        <v>3</v>
      </c>
      <c r="AY64" s="506">
        <v>45</v>
      </c>
      <c r="AZ64" s="508">
        <v>0</v>
      </c>
      <c r="BA64" s="508"/>
      <c r="BB64" s="508">
        <f t="shared" si="4"/>
        <v>6</v>
      </c>
      <c r="BC64" s="509">
        <v>0</v>
      </c>
      <c r="BD64" s="509">
        <v>0</v>
      </c>
      <c r="BE64" s="506">
        <v>0</v>
      </c>
      <c r="BF64" s="200"/>
      <c r="BG64" s="200"/>
      <c r="BH64" s="200"/>
      <c r="BI64" s="200"/>
      <c r="BJ64" s="200"/>
      <c r="BK64" s="200"/>
      <c r="BL64" s="200"/>
      <c r="BM64" s="505">
        <f t="shared" si="5"/>
        <v>0</v>
      </c>
      <c r="BN64" s="200">
        <f t="shared" si="6"/>
        <v>0</v>
      </c>
      <c r="BO64" s="200">
        <f t="shared" si="27"/>
        <v>0</v>
      </c>
      <c r="BP64" s="200">
        <f t="shared" si="7"/>
        <v>6214</v>
      </c>
      <c r="BQ64" s="200">
        <f t="shared" si="8"/>
        <v>1878.5</v>
      </c>
      <c r="BR64" s="200">
        <f t="shared" si="9"/>
        <v>559</v>
      </c>
      <c r="BS64" s="200">
        <f t="shared" si="10"/>
        <v>0</v>
      </c>
      <c r="BT64" s="200">
        <f t="shared" si="11"/>
        <v>3022.5</v>
      </c>
      <c r="BU64" s="200">
        <f t="shared" si="12"/>
        <v>780</v>
      </c>
      <c r="BV64" s="200">
        <v>3</v>
      </c>
      <c r="BW64" s="200">
        <v>0</v>
      </c>
      <c r="BX64" s="200">
        <f t="shared" si="13"/>
        <v>0</v>
      </c>
      <c r="CB64" s="381">
        <f>_xlfn.IFNA(VLOOKUP(A64,'Actuals Summer'!$A:$AG,23,FALSE),0)</f>
        <v>6213.9999999999991</v>
      </c>
      <c r="CC64" s="381">
        <f>_xlfn.IFNA(VLOOKUP(A64,'Actuals Summer'!$A:$AG,24,FALSE),0)</f>
        <v>1878.4999999999998</v>
      </c>
      <c r="CD64" s="381">
        <f>_xlfn.IFNA(VLOOKUP(A64,'Actuals Summer'!$A:$AG,25,FALSE),0)</f>
        <v>0</v>
      </c>
      <c r="CE64" s="381">
        <f>_xlfn.IFNA(VLOOKUP(A64,'Actuals Summer'!$A:$AG,26,FALSE),0)</f>
        <v>0</v>
      </c>
      <c r="CF64" s="381">
        <f>_xlfn.IFNA(VLOOKUP(A64,'Actuals Summer'!$A:$AG,27,FALSE),0)</f>
        <v>0</v>
      </c>
      <c r="CG64" s="381">
        <f>_xlfn.IFNA(VLOOKUP(A64,'Actuals Dep Summer'!B:O,6,FALSE)*$BN$3,0)</f>
        <v>364</v>
      </c>
      <c r="CH64" s="381">
        <f>_xlfn.IFNA(VLOOKUP(A64,'Actuals Dep Summer'!B:O,7,FALSE)*$BN$3,0)</f>
        <v>0</v>
      </c>
      <c r="CI64" s="381">
        <f>_xlfn.IFNA(VLOOKUP(A64,'Actuals Dep Summer'!B:O,8,FALSE)*$BN$3,0)</f>
        <v>2535</v>
      </c>
      <c r="CJ64" s="381">
        <f>_xlfn.IFNA(VLOOKUP(A64,'Actuals Summer'!$A:$AG,31,FALSE),0)*$BN$3</f>
        <v>38.978543920777561</v>
      </c>
      <c r="CK64" s="381"/>
      <c r="CL64" s="381">
        <f>_xlfn.IFNA(VLOOKUP(A64,'Actuals Summer'!$A:$AG,32,FALSE),0)*$BN$3</f>
        <v>10140</v>
      </c>
      <c r="CM64" s="381">
        <f>_xlfn.IFNA(VLOOKUP(A64,'Actuals Summer'!$A:$AG,33,FALSE),0)</f>
        <v>0</v>
      </c>
      <c r="CP64" s="458">
        <f t="shared" si="14"/>
        <v>0</v>
      </c>
      <c r="CQ64" s="458">
        <f t="shared" si="15"/>
        <v>0</v>
      </c>
      <c r="CR64" s="458">
        <f t="shared" si="28"/>
        <v>0</v>
      </c>
      <c r="CS64" s="458">
        <f t="shared" si="16"/>
        <v>35171.24</v>
      </c>
      <c r="CT64" s="458">
        <f t="shared" si="17"/>
        <v>10632.31</v>
      </c>
      <c r="CU64" s="458">
        <f t="shared" si="18"/>
        <v>340.99</v>
      </c>
      <c r="CV64" s="458">
        <f t="shared" si="19"/>
        <v>0</v>
      </c>
      <c r="CW64" s="458">
        <f t="shared" si="20"/>
        <v>241.8</v>
      </c>
      <c r="CX64" s="458">
        <f t="shared" si="21"/>
        <v>780</v>
      </c>
      <c r="CY64" s="458">
        <f t="shared" si="22"/>
        <v>223.73684210526315</v>
      </c>
      <c r="CZ64" s="458">
        <f t="shared" si="23"/>
        <v>0</v>
      </c>
      <c r="DA64" s="458">
        <f t="shared" si="24"/>
        <v>0</v>
      </c>
      <c r="DB64" s="458">
        <f t="shared" si="25"/>
        <v>47390.076842105256</v>
      </c>
      <c r="DC64" s="452">
        <f>_xlfn.XLOOKUP($A64,'Actuals Summer'!$A:$A,'Actuals Summer'!L:L,0,0)</f>
        <v>0</v>
      </c>
      <c r="DD64" s="452">
        <f>_xlfn.XLOOKUP($A64,'Actuals Summer'!$A:$A,'Actuals Summer'!K:K,0,0)+_xlfn.XLOOKUP($A64,'Actuals Summer'!$A:$A,'Actuals Summer'!Q:Q,0,0)</f>
        <v>0</v>
      </c>
      <c r="DE64" s="452">
        <f>_xlfn.XLOOKUP($A64,'Actuals Summer'!$A:$A,'Actuals Summer'!I:I,0,0)+_xlfn.XLOOKUP($A64,'Actuals Summer'!$A:$A,'Actuals Summer'!R:R,0,0)</f>
        <v>35171.24</v>
      </c>
      <c r="DF64" s="452">
        <f>_xlfn.XLOOKUP($A64,'Actuals Summer'!$A:$A,'Actuals Summer'!J:J,0,0)</f>
        <v>10632.31</v>
      </c>
      <c r="DG64" s="452">
        <f>_xlfn.XLOOKUP($A64,'Actuals Dep Summer'!$B:$B,'Actuals Dep Summer'!G:G,0,0)*'Actuals Dep Summer'!$F$2*'Actuals Dep Summer'!$C$2</f>
        <v>222.04</v>
      </c>
      <c r="DH64" s="452">
        <f>_xlfn.XLOOKUP($A64,'Actuals Dep Summer'!$B:$B,'Actuals Dep Summer'!H:H,0,0)*'Actuals Dep Summer'!$F$2*'Actuals Dep Summer'!$C$3</f>
        <v>0</v>
      </c>
      <c r="DI64" s="452">
        <f>_xlfn.XLOOKUP($A64,'Actuals Dep Summer'!$B:$B,'Actuals Dep Summer'!I:I,0,0)*'Actuals Dep Summer'!$F$2*'Actuals Dep Summer'!$C$4</f>
        <v>202.8</v>
      </c>
      <c r="DJ64" s="452">
        <f>_xlfn.XLOOKUP($A64,'Actuals Summer'!$A:$A,'Actuals Summer'!P:P,0,0)</f>
        <v>780</v>
      </c>
      <c r="DK64" s="452">
        <f>_xlfn.XLOOKUP($A64,'Actuals Summer'!$A:$A,'Actuals Summer'!O:O,0,0)</f>
        <v>223.73684210526318</v>
      </c>
      <c r="DL64" s="452"/>
      <c r="DM64" s="452">
        <f>_xlfn.XLOOKUP($A64,'Actuals Summer'!$A:$A,'Actuals Summer'!M:M,0,0)</f>
        <v>0</v>
      </c>
      <c r="DN64" s="453">
        <f t="shared" si="29"/>
        <v>47232.126842105259</v>
      </c>
      <c r="DO64" s="453">
        <f>_xlfn.XLOOKUP(A64,'Actuals Summer'!A:A,'Actuals Summer'!S:S,0,0)-'Summer data team '!DN64</f>
        <v>0</v>
      </c>
      <c r="DP64" s="463">
        <f t="shared" si="30"/>
        <v>157.94999999999709</v>
      </c>
    </row>
    <row r="65" spans="1:120" ht="13" x14ac:dyDescent="0.3">
      <c r="A65" s="364">
        <v>2082</v>
      </c>
      <c r="B65" s="364">
        <v>3302082</v>
      </c>
      <c r="C65" s="364" t="s">
        <v>276</v>
      </c>
      <c r="D65" s="506">
        <v>0</v>
      </c>
      <c r="E65" s="506">
        <v>0</v>
      </c>
      <c r="F65" s="506">
        <v>0</v>
      </c>
      <c r="G65" s="506">
        <v>10</v>
      </c>
      <c r="H65" s="506">
        <v>11</v>
      </c>
      <c r="I65" s="507">
        <v>0</v>
      </c>
      <c r="J65" s="507">
        <v>21</v>
      </c>
      <c r="K65" s="506">
        <v>0</v>
      </c>
      <c r="L65" s="506">
        <v>0</v>
      </c>
      <c r="M65" s="507">
        <v>0</v>
      </c>
      <c r="N65" s="506">
        <v>0</v>
      </c>
      <c r="O65" s="506">
        <v>0</v>
      </c>
      <c r="P65" s="506">
        <v>150</v>
      </c>
      <c r="Q65" s="506">
        <v>165</v>
      </c>
      <c r="R65" s="507">
        <v>315</v>
      </c>
      <c r="S65" s="506">
        <v>0</v>
      </c>
      <c r="T65" s="506">
        <v>0</v>
      </c>
      <c r="U65" s="506">
        <v>0</v>
      </c>
      <c r="V65" s="506">
        <v>0</v>
      </c>
      <c r="W65" s="507">
        <v>0</v>
      </c>
      <c r="X65" s="506">
        <v>7</v>
      </c>
      <c r="Y65" s="506">
        <v>105</v>
      </c>
      <c r="Z65" s="508">
        <v>0</v>
      </c>
      <c r="AA65" s="506">
        <v>8</v>
      </c>
      <c r="AB65" s="506">
        <v>120</v>
      </c>
      <c r="AC65" s="508">
        <v>0</v>
      </c>
      <c r="AD65" s="506">
        <v>5</v>
      </c>
      <c r="AE65" s="506">
        <v>75</v>
      </c>
      <c r="AF65" s="508">
        <v>0</v>
      </c>
      <c r="AG65" s="509">
        <v>0</v>
      </c>
      <c r="AH65" s="509">
        <v>0</v>
      </c>
      <c r="AI65" s="508">
        <v>0</v>
      </c>
      <c r="AJ65" s="509">
        <v>8</v>
      </c>
      <c r="AK65" s="509">
        <v>120</v>
      </c>
      <c r="AL65" s="508">
        <v>0</v>
      </c>
      <c r="AM65" s="506">
        <v>8</v>
      </c>
      <c r="AN65" s="506">
        <v>120</v>
      </c>
      <c r="AO65" s="508">
        <v>0</v>
      </c>
      <c r="AP65" s="508"/>
      <c r="AQ65" s="508">
        <f t="shared" si="3"/>
        <v>8</v>
      </c>
      <c r="AR65" s="509">
        <v>0</v>
      </c>
      <c r="AS65" s="509">
        <v>0</v>
      </c>
      <c r="AT65" s="508">
        <v>0</v>
      </c>
      <c r="AU65" s="509">
        <v>0</v>
      </c>
      <c r="AV65" s="509">
        <v>0</v>
      </c>
      <c r="AW65" s="508">
        <v>0</v>
      </c>
      <c r="AX65" s="506">
        <v>0</v>
      </c>
      <c r="AY65" s="506">
        <v>0</v>
      </c>
      <c r="AZ65" s="508">
        <v>0</v>
      </c>
      <c r="BA65" s="508"/>
      <c r="BB65" s="508">
        <f t="shared" si="4"/>
        <v>0</v>
      </c>
      <c r="BC65" s="509">
        <v>0</v>
      </c>
      <c r="BD65" s="509">
        <v>0</v>
      </c>
      <c r="BE65" s="506">
        <v>0</v>
      </c>
      <c r="BF65" s="200"/>
      <c r="BG65" s="200"/>
      <c r="BH65" s="200"/>
      <c r="BI65" s="200"/>
      <c r="BJ65" s="200"/>
      <c r="BK65" s="200"/>
      <c r="BL65" s="200"/>
      <c r="BM65" s="505">
        <f t="shared" si="5"/>
        <v>0</v>
      </c>
      <c r="BN65" s="200">
        <f t="shared" si="6"/>
        <v>0</v>
      </c>
      <c r="BO65" s="200">
        <f t="shared" si="27"/>
        <v>0</v>
      </c>
      <c r="BP65" s="200">
        <f t="shared" si="7"/>
        <v>4095</v>
      </c>
      <c r="BQ65" s="200">
        <f t="shared" si="8"/>
        <v>0</v>
      </c>
      <c r="BR65" s="200">
        <f t="shared" si="9"/>
        <v>1365</v>
      </c>
      <c r="BS65" s="200">
        <f t="shared" si="10"/>
        <v>1560</v>
      </c>
      <c r="BT65" s="200">
        <f t="shared" si="11"/>
        <v>975</v>
      </c>
      <c r="BU65" s="200">
        <f t="shared" si="12"/>
        <v>1560</v>
      </c>
      <c r="BV65" s="200">
        <v>0</v>
      </c>
      <c r="BW65" s="200">
        <v>0</v>
      </c>
      <c r="BX65" s="200">
        <f t="shared" si="13"/>
        <v>0</v>
      </c>
      <c r="CB65" s="381">
        <f>_xlfn.IFNA(VLOOKUP(A65,'Actuals Summer'!$A:$AG,23,FALSE),0)</f>
        <v>4095</v>
      </c>
      <c r="CC65" s="381">
        <f>_xlfn.IFNA(VLOOKUP(A65,'Actuals Summer'!$A:$AG,24,FALSE),0)</f>
        <v>0</v>
      </c>
      <c r="CD65" s="381">
        <f>_xlfn.IFNA(VLOOKUP(A65,'Actuals Summer'!$A:$AG,25,FALSE),0)</f>
        <v>0</v>
      </c>
      <c r="CE65" s="381">
        <f>_xlfn.IFNA(VLOOKUP(A65,'Actuals Summer'!$A:$AG,26,FALSE),0)</f>
        <v>0</v>
      </c>
      <c r="CF65" s="381">
        <f>_xlfn.IFNA(VLOOKUP(A65,'Actuals Summer'!$A:$AG,27,FALSE),0)</f>
        <v>0</v>
      </c>
      <c r="CG65" s="381">
        <f>_xlfn.IFNA(VLOOKUP(A65,'Actuals Dep Summer'!B:O,6,FALSE)*$BN$3,0)</f>
        <v>1365</v>
      </c>
      <c r="CH65" s="381">
        <f>_xlfn.IFNA(VLOOKUP(A65,'Actuals Dep Summer'!B:O,7,FALSE)*$BN$3,0)</f>
        <v>1560</v>
      </c>
      <c r="CI65" s="381">
        <f>_xlfn.IFNA(VLOOKUP(A65,'Actuals Dep Summer'!B:O,8,FALSE)*$BN$3,0)</f>
        <v>975</v>
      </c>
      <c r="CJ65" s="381">
        <f>_xlfn.IFNA(VLOOKUP(A65,'Actuals Summer'!$A:$AG,31,FALSE),0)*$BN$3</f>
        <v>0</v>
      </c>
      <c r="CK65" s="381"/>
      <c r="CL65" s="381">
        <f>_xlfn.IFNA(VLOOKUP(A65,'Actuals Summer'!$A:$AG,32,FALSE),0)*$BN$3</f>
        <v>20280</v>
      </c>
      <c r="CM65" s="381">
        <f>_xlfn.IFNA(VLOOKUP(A65,'Actuals Summer'!$A:$AG,33,FALSE),0)</f>
        <v>0</v>
      </c>
      <c r="CP65" s="458">
        <f t="shared" si="14"/>
        <v>0</v>
      </c>
      <c r="CQ65" s="458">
        <f t="shared" si="15"/>
        <v>0</v>
      </c>
      <c r="CR65" s="458">
        <f t="shared" si="28"/>
        <v>0</v>
      </c>
      <c r="CS65" s="458">
        <f t="shared" si="16"/>
        <v>23177.7</v>
      </c>
      <c r="CT65" s="458">
        <f t="shared" si="17"/>
        <v>0</v>
      </c>
      <c r="CU65" s="458">
        <f t="shared" si="18"/>
        <v>832.65</v>
      </c>
      <c r="CV65" s="458">
        <f t="shared" si="19"/>
        <v>452.4</v>
      </c>
      <c r="CW65" s="458">
        <f t="shared" si="20"/>
        <v>78</v>
      </c>
      <c r="CX65" s="458">
        <f t="shared" si="21"/>
        <v>1560</v>
      </c>
      <c r="CY65" s="458">
        <f t="shared" si="22"/>
        <v>0</v>
      </c>
      <c r="CZ65" s="458">
        <f t="shared" si="23"/>
        <v>0</v>
      </c>
      <c r="DA65" s="458">
        <f t="shared" si="24"/>
        <v>0</v>
      </c>
      <c r="DB65" s="458">
        <f t="shared" si="25"/>
        <v>26100.750000000004</v>
      </c>
      <c r="DC65" s="452">
        <f>_xlfn.XLOOKUP($A65,'Actuals Summer'!$A:$A,'Actuals Summer'!L:L,0,0)</f>
        <v>0</v>
      </c>
      <c r="DD65" s="452">
        <f>_xlfn.XLOOKUP($A65,'Actuals Summer'!$A:$A,'Actuals Summer'!K:K,0,0)+_xlfn.XLOOKUP($A65,'Actuals Summer'!$A:$A,'Actuals Summer'!Q:Q,0,0)</f>
        <v>0</v>
      </c>
      <c r="DE65" s="452">
        <f>_xlfn.XLOOKUP($A65,'Actuals Summer'!$A:$A,'Actuals Summer'!I:I,0,0)+_xlfn.XLOOKUP($A65,'Actuals Summer'!$A:$A,'Actuals Summer'!R:R,0,0)</f>
        <v>23177.7</v>
      </c>
      <c r="DF65" s="452">
        <f>_xlfn.XLOOKUP($A65,'Actuals Summer'!$A:$A,'Actuals Summer'!J:J,0,0)</f>
        <v>0</v>
      </c>
      <c r="DG65" s="452">
        <f>_xlfn.XLOOKUP($A65,'Actuals Dep Summer'!$B:$B,'Actuals Dep Summer'!G:G,0,0)*'Actuals Dep Summer'!$F$2*'Actuals Dep Summer'!$C$2</f>
        <v>832.65</v>
      </c>
      <c r="DH65" s="452">
        <f>_xlfn.XLOOKUP($A65,'Actuals Dep Summer'!$B:$B,'Actuals Dep Summer'!H:H,0,0)*'Actuals Dep Summer'!$F$2*'Actuals Dep Summer'!$C$3</f>
        <v>452.4</v>
      </c>
      <c r="DI65" s="452">
        <f>_xlfn.XLOOKUP($A65,'Actuals Dep Summer'!$B:$B,'Actuals Dep Summer'!I:I,0,0)*'Actuals Dep Summer'!$F$2*'Actuals Dep Summer'!$C$4</f>
        <v>78</v>
      </c>
      <c r="DJ65" s="452">
        <f>_xlfn.XLOOKUP($A65,'Actuals Summer'!$A:$A,'Actuals Summer'!P:P,0,0)</f>
        <v>1560</v>
      </c>
      <c r="DK65" s="452">
        <f>_xlfn.XLOOKUP($A65,'Actuals Summer'!$A:$A,'Actuals Summer'!O:O,0,0)</f>
        <v>0</v>
      </c>
      <c r="DL65" s="452"/>
      <c r="DM65" s="452">
        <f>_xlfn.XLOOKUP($A65,'Actuals Summer'!$A:$A,'Actuals Summer'!M:M,0,0)</f>
        <v>0</v>
      </c>
      <c r="DN65" s="453">
        <f t="shared" si="29"/>
        <v>26100.750000000004</v>
      </c>
      <c r="DO65" s="453">
        <f>_xlfn.XLOOKUP(A65,'Actuals Summer'!A:A,'Actuals Summer'!S:S,0,0)-'Summer data team '!DN65</f>
        <v>0</v>
      </c>
      <c r="DP65" s="463">
        <f t="shared" si="30"/>
        <v>0</v>
      </c>
    </row>
    <row r="66" spans="1:120" ht="13" x14ac:dyDescent="0.3">
      <c r="A66" s="364">
        <v>2086</v>
      </c>
      <c r="B66" s="364">
        <v>3302086</v>
      </c>
      <c r="C66" s="364" t="s">
        <v>277</v>
      </c>
      <c r="D66" s="506">
        <v>0</v>
      </c>
      <c r="E66" s="506">
        <v>0</v>
      </c>
      <c r="F66" s="506">
        <v>0</v>
      </c>
      <c r="G66" s="506">
        <v>10</v>
      </c>
      <c r="H66" s="506">
        <v>16</v>
      </c>
      <c r="I66" s="507">
        <v>0</v>
      </c>
      <c r="J66" s="507">
        <v>26</v>
      </c>
      <c r="K66" s="506">
        <v>0</v>
      </c>
      <c r="L66" s="506">
        <v>0</v>
      </c>
      <c r="M66" s="507">
        <v>0</v>
      </c>
      <c r="N66" s="506">
        <v>0</v>
      </c>
      <c r="O66" s="506">
        <v>0</v>
      </c>
      <c r="P66" s="506">
        <v>150</v>
      </c>
      <c r="Q66" s="506">
        <v>240</v>
      </c>
      <c r="R66" s="507">
        <v>390</v>
      </c>
      <c r="S66" s="506">
        <v>0</v>
      </c>
      <c r="T66" s="506">
        <v>0</v>
      </c>
      <c r="U66" s="506">
        <v>0</v>
      </c>
      <c r="V66" s="506">
        <v>0</v>
      </c>
      <c r="W66" s="507">
        <v>0</v>
      </c>
      <c r="X66" s="506">
        <v>1</v>
      </c>
      <c r="Y66" s="506">
        <v>15</v>
      </c>
      <c r="Z66" s="508">
        <v>0</v>
      </c>
      <c r="AA66" s="506">
        <v>7</v>
      </c>
      <c r="AB66" s="506">
        <v>105</v>
      </c>
      <c r="AC66" s="508">
        <v>0</v>
      </c>
      <c r="AD66" s="506">
        <v>17</v>
      </c>
      <c r="AE66" s="506">
        <v>255</v>
      </c>
      <c r="AF66" s="508">
        <v>0</v>
      </c>
      <c r="AG66" s="509">
        <v>0</v>
      </c>
      <c r="AH66" s="509">
        <v>0</v>
      </c>
      <c r="AI66" s="508">
        <v>0</v>
      </c>
      <c r="AJ66" s="509">
        <v>11</v>
      </c>
      <c r="AK66" s="509">
        <v>165</v>
      </c>
      <c r="AL66" s="508">
        <v>0</v>
      </c>
      <c r="AM66" s="506">
        <v>11</v>
      </c>
      <c r="AN66" s="506">
        <v>165</v>
      </c>
      <c r="AO66" s="508">
        <v>0</v>
      </c>
      <c r="AP66" s="508"/>
      <c r="AQ66" s="508">
        <f t="shared" si="3"/>
        <v>11</v>
      </c>
      <c r="AR66" s="509">
        <v>0</v>
      </c>
      <c r="AS66" s="509">
        <v>0</v>
      </c>
      <c r="AT66" s="508">
        <v>0</v>
      </c>
      <c r="AU66" s="509">
        <v>11</v>
      </c>
      <c r="AV66" s="509">
        <v>165</v>
      </c>
      <c r="AW66" s="508">
        <v>0</v>
      </c>
      <c r="AX66" s="506">
        <v>11</v>
      </c>
      <c r="AY66" s="506">
        <v>165</v>
      </c>
      <c r="AZ66" s="508">
        <v>0</v>
      </c>
      <c r="BA66" s="508"/>
      <c r="BB66" s="508">
        <f t="shared" si="4"/>
        <v>22</v>
      </c>
      <c r="BC66" s="509">
        <v>0</v>
      </c>
      <c r="BD66" s="509">
        <v>0</v>
      </c>
      <c r="BE66" s="506">
        <v>0</v>
      </c>
      <c r="BF66" s="200"/>
      <c r="BG66" s="200"/>
      <c r="BH66" s="200"/>
      <c r="BI66" s="200"/>
      <c r="BJ66" s="200"/>
      <c r="BK66" s="200"/>
      <c r="BL66" s="200"/>
      <c r="BM66" s="505">
        <f t="shared" si="5"/>
        <v>0</v>
      </c>
      <c r="BN66" s="200">
        <f t="shared" si="6"/>
        <v>0</v>
      </c>
      <c r="BO66" s="200">
        <f t="shared" si="27"/>
        <v>0</v>
      </c>
      <c r="BP66" s="200">
        <f t="shared" si="7"/>
        <v>5070</v>
      </c>
      <c r="BQ66" s="200">
        <f t="shared" si="8"/>
        <v>0</v>
      </c>
      <c r="BR66" s="200">
        <f t="shared" si="9"/>
        <v>195</v>
      </c>
      <c r="BS66" s="200">
        <f t="shared" si="10"/>
        <v>1365</v>
      </c>
      <c r="BT66" s="200">
        <f t="shared" si="11"/>
        <v>3315</v>
      </c>
      <c r="BU66" s="200">
        <f t="shared" si="12"/>
        <v>2145</v>
      </c>
      <c r="BV66" s="200">
        <v>11</v>
      </c>
      <c r="BW66" s="200">
        <v>0</v>
      </c>
      <c r="BX66" s="200">
        <f t="shared" si="13"/>
        <v>0</v>
      </c>
      <c r="CB66" s="381">
        <f>_xlfn.IFNA(VLOOKUP(A66,'Actuals Summer'!$A:$AG,23,FALSE),0)</f>
        <v>5070</v>
      </c>
      <c r="CC66" s="381">
        <f>_xlfn.IFNA(VLOOKUP(A66,'Actuals Summer'!$A:$AG,24,FALSE),0)</f>
        <v>0</v>
      </c>
      <c r="CD66" s="381">
        <f>_xlfn.IFNA(VLOOKUP(A66,'Actuals Summer'!$A:$AG,25,FALSE),0)</f>
        <v>0</v>
      </c>
      <c r="CE66" s="381">
        <f>_xlfn.IFNA(VLOOKUP(A66,'Actuals Summer'!$A:$AG,26,FALSE),0)</f>
        <v>0</v>
      </c>
      <c r="CF66" s="381">
        <f>_xlfn.IFNA(VLOOKUP(A66,'Actuals Summer'!$A:$AG,27,FALSE),0)</f>
        <v>0</v>
      </c>
      <c r="CG66" s="381">
        <f>_xlfn.IFNA(VLOOKUP(A66,'Actuals Dep Summer'!B:O,6,FALSE)*$BN$3,0)</f>
        <v>195</v>
      </c>
      <c r="CH66" s="381">
        <f>_xlfn.IFNA(VLOOKUP(A66,'Actuals Dep Summer'!B:O,7,FALSE)*$BN$3,0)</f>
        <v>1365</v>
      </c>
      <c r="CI66" s="381">
        <f>_xlfn.IFNA(VLOOKUP(A66,'Actuals Dep Summer'!B:O,8,FALSE)*$BN$3,0)</f>
        <v>3315</v>
      </c>
      <c r="CJ66" s="381">
        <f>_xlfn.IFNA(VLOOKUP(A66,'Actuals Summer'!$A:$AG,31,FALSE),0)*$BN$3</f>
        <v>142.9213277095177</v>
      </c>
      <c r="CK66" s="381"/>
      <c r="CL66" s="381">
        <f>_xlfn.IFNA(VLOOKUP(A66,'Actuals Summer'!$A:$AG,32,FALSE),0)*$BN$3</f>
        <v>27885</v>
      </c>
      <c r="CM66" s="381">
        <f>_xlfn.IFNA(VLOOKUP(A66,'Actuals Summer'!$A:$AG,33,FALSE),0)</f>
        <v>0</v>
      </c>
      <c r="CP66" s="458">
        <f t="shared" si="14"/>
        <v>0</v>
      </c>
      <c r="CQ66" s="458">
        <f t="shared" si="15"/>
        <v>0</v>
      </c>
      <c r="CR66" s="458">
        <f t="shared" si="28"/>
        <v>0</v>
      </c>
      <c r="CS66" s="458">
        <f t="shared" si="16"/>
        <v>28696.2</v>
      </c>
      <c r="CT66" s="458">
        <f t="shared" si="17"/>
        <v>0</v>
      </c>
      <c r="CU66" s="458">
        <f t="shared" si="18"/>
        <v>118.95</v>
      </c>
      <c r="CV66" s="458">
        <f t="shared" si="19"/>
        <v>395.84999999999997</v>
      </c>
      <c r="CW66" s="458">
        <f t="shared" si="20"/>
        <v>265.2</v>
      </c>
      <c r="CX66" s="458">
        <f t="shared" si="21"/>
        <v>2145</v>
      </c>
      <c r="CY66" s="458">
        <f t="shared" si="22"/>
        <v>820.36842105263156</v>
      </c>
      <c r="CZ66" s="458">
        <f t="shared" si="23"/>
        <v>0</v>
      </c>
      <c r="DA66" s="458">
        <f t="shared" si="24"/>
        <v>0</v>
      </c>
      <c r="DB66" s="458">
        <f t="shared" si="25"/>
        <v>32441.568421052631</v>
      </c>
      <c r="DC66" s="452">
        <f>_xlfn.XLOOKUP($A66,'Actuals Summer'!$A:$A,'Actuals Summer'!L:L,0,0)</f>
        <v>0</v>
      </c>
      <c r="DD66" s="452">
        <f>_xlfn.XLOOKUP($A66,'Actuals Summer'!$A:$A,'Actuals Summer'!K:K,0,0)+_xlfn.XLOOKUP($A66,'Actuals Summer'!$A:$A,'Actuals Summer'!Q:Q,0,0)</f>
        <v>0</v>
      </c>
      <c r="DE66" s="452">
        <f>_xlfn.XLOOKUP($A66,'Actuals Summer'!$A:$A,'Actuals Summer'!I:I,0,0)+_xlfn.XLOOKUP($A66,'Actuals Summer'!$A:$A,'Actuals Summer'!R:R,0,0)</f>
        <v>28696.2</v>
      </c>
      <c r="DF66" s="452">
        <f>_xlfn.XLOOKUP($A66,'Actuals Summer'!$A:$A,'Actuals Summer'!J:J,0,0)</f>
        <v>0</v>
      </c>
      <c r="DG66" s="452">
        <f>_xlfn.XLOOKUP($A66,'Actuals Dep Summer'!$B:$B,'Actuals Dep Summer'!G:G,0,0)*'Actuals Dep Summer'!$F$2*'Actuals Dep Summer'!$C$2</f>
        <v>118.95</v>
      </c>
      <c r="DH66" s="452">
        <f>_xlfn.XLOOKUP($A66,'Actuals Dep Summer'!$B:$B,'Actuals Dep Summer'!H:H,0,0)*'Actuals Dep Summer'!$F$2*'Actuals Dep Summer'!$C$3</f>
        <v>395.84999999999997</v>
      </c>
      <c r="DI66" s="452">
        <f>_xlfn.XLOOKUP($A66,'Actuals Dep Summer'!$B:$B,'Actuals Dep Summer'!I:I,0,0)*'Actuals Dep Summer'!$F$2*'Actuals Dep Summer'!$C$4</f>
        <v>265.2</v>
      </c>
      <c r="DJ66" s="452">
        <f>_xlfn.XLOOKUP($A66,'Actuals Summer'!$A:$A,'Actuals Summer'!P:P,0,0)</f>
        <v>2145</v>
      </c>
      <c r="DK66" s="452">
        <f>_xlfn.XLOOKUP($A66,'Actuals Summer'!$A:$A,'Actuals Summer'!O:O,0,0)</f>
        <v>820.36842105263156</v>
      </c>
      <c r="DL66" s="452"/>
      <c r="DM66" s="452">
        <f>_xlfn.XLOOKUP($A66,'Actuals Summer'!$A:$A,'Actuals Summer'!M:M,0,0)</f>
        <v>0</v>
      </c>
      <c r="DN66" s="453">
        <f t="shared" si="29"/>
        <v>32441.568421052631</v>
      </c>
      <c r="DO66" s="453">
        <f>_xlfn.XLOOKUP(A66,'Actuals Summer'!A:A,'Actuals Summer'!S:S,0,0)-'Summer data team '!DN66</f>
        <v>0</v>
      </c>
      <c r="DP66" s="463">
        <f t="shared" si="30"/>
        <v>0</v>
      </c>
    </row>
    <row r="67" spans="1:120" ht="13" x14ac:dyDescent="0.3">
      <c r="A67" s="364">
        <v>2093</v>
      </c>
      <c r="B67" s="364">
        <v>3302093</v>
      </c>
      <c r="C67" s="364" t="s">
        <v>278</v>
      </c>
      <c r="D67" s="506">
        <v>0</v>
      </c>
      <c r="E67" s="506">
        <v>0</v>
      </c>
      <c r="F67" s="506">
        <v>0</v>
      </c>
      <c r="G67" s="506">
        <v>25</v>
      </c>
      <c r="H67" s="506">
        <v>26</v>
      </c>
      <c r="I67" s="507">
        <v>0</v>
      </c>
      <c r="J67" s="507">
        <v>51</v>
      </c>
      <c r="K67" s="506">
        <v>0</v>
      </c>
      <c r="L67" s="506">
        <v>0</v>
      </c>
      <c r="M67" s="507">
        <v>0</v>
      </c>
      <c r="N67" s="506">
        <v>0</v>
      </c>
      <c r="O67" s="506">
        <v>0</v>
      </c>
      <c r="P67" s="506">
        <v>375</v>
      </c>
      <c r="Q67" s="506">
        <v>390</v>
      </c>
      <c r="R67" s="507">
        <v>765</v>
      </c>
      <c r="S67" s="506">
        <v>0</v>
      </c>
      <c r="T67" s="506">
        <v>0</v>
      </c>
      <c r="U67" s="506">
        <v>0</v>
      </c>
      <c r="V67" s="506">
        <v>0</v>
      </c>
      <c r="W67" s="507">
        <v>0</v>
      </c>
      <c r="X67" s="506">
        <v>1</v>
      </c>
      <c r="Y67" s="506">
        <v>15</v>
      </c>
      <c r="Z67" s="508">
        <v>0</v>
      </c>
      <c r="AA67" s="506">
        <v>1</v>
      </c>
      <c r="AB67" s="506">
        <v>15</v>
      </c>
      <c r="AC67" s="508">
        <v>0</v>
      </c>
      <c r="AD67" s="506">
        <v>3</v>
      </c>
      <c r="AE67" s="506">
        <v>45</v>
      </c>
      <c r="AF67" s="508">
        <v>0</v>
      </c>
      <c r="AG67" s="509">
        <v>0</v>
      </c>
      <c r="AH67" s="509">
        <v>0</v>
      </c>
      <c r="AI67" s="508">
        <v>0</v>
      </c>
      <c r="AJ67" s="509">
        <v>15</v>
      </c>
      <c r="AK67" s="509">
        <v>225</v>
      </c>
      <c r="AL67" s="508">
        <v>0</v>
      </c>
      <c r="AM67" s="506">
        <v>15</v>
      </c>
      <c r="AN67" s="506">
        <v>225</v>
      </c>
      <c r="AO67" s="508">
        <v>0</v>
      </c>
      <c r="AP67" s="508"/>
      <c r="AQ67" s="508">
        <f t="shared" si="3"/>
        <v>15</v>
      </c>
      <c r="AR67" s="509">
        <v>0</v>
      </c>
      <c r="AS67" s="509">
        <v>0</v>
      </c>
      <c r="AT67" s="508">
        <v>0</v>
      </c>
      <c r="AU67" s="509">
        <v>15</v>
      </c>
      <c r="AV67" s="509">
        <v>225</v>
      </c>
      <c r="AW67" s="508">
        <v>0</v>
      </c>
      <c r="AX67" s="506">
        <v>15</v>
      </c>
      <c r="AY67" s="506">
        <v>225</v>
      </c>
      <c r="AZ67" s="508">
        <v>0</v>
      </c>
      <c r="BA67" s="508"/>
      <c r="BB67" s="508">
        <f t="shared" si="4"/>
        <v>30</v>
      </c>
      <c r="BC67" s="509">
        <v>0</v>
      </c>
      <c r="BD67" s="509">
        <v>0</v>
      </c>
      <c r="BE67" s="506">
        <v>0</v>
      </c>
      <c r="BF67" s="200"/>
      <c r="BG67" s="200"/>
      <c r="BH67" s="200"/>
      <c r="BI67" s="200"/>
      <c r="BJ67" s="200"/>
      <c r="BK67" s="200"/>
      <c r="BL67" s="200"/>
      <c r="BM67" s="505">
        <f t="shared" si="5"/>
        <v>0</v>
      </c>
      <c r="BN67" s="200">
        <f t="shared" si="6"/>
        <v>0</v>
      </c>
      <c r="BO67" s="200">
        <f t="shared" si="27"/>
        <v>0</v>
      </c>
      <c r="BP67" s="200">
        <f t="shared" si="7"/>
        <v>9945</v>
      </c>
      <c r="BQ67" s="200">
        <f t="shared" si="8"/>
        <v>0</v>
      </c>
      <c r="BR67" s="200">
        <f t="shared" si="9"/>
        <v>195</v>
      </c>
      <c r="BS67" s="200">
        <f t="shared" si="10"/>
        <v>195</v>
      </c>
      <c r="BT67" s="200">
        <f t="shared" si="11"/>
        <v>585</v>
      </c>
      <c r="BU67" s="200">
        <f t="shared" si="12"/>
        <v>2925</v>
      </c>
      <c r="BV67" s="200">
        <v>15</v>
      </c>
      <c r="BW67" s="200">
        <v>0</v>
      </c>
      <c r="BX67" s="200">
        <f t="shared" si="13"/>
        <v>0</v>
      </c>
      <c r="CB67" s="381">
        <f>_xlfn.IFNA(VLOOKUP(A67,'Actuals Summer'!$A:$AG,23,FALSE),0)</f>
        <v>9945</v>
      </c>
      <c r="CC67" s="381">
        <f>_xlfn.IFNA(VLOOKUP(A67,'Actuals Summer'!$A:$AG,24,FALSE),0)</f>
        <v>0</v>
      </c>
      <c r="CD67" s="381">
        <f>_xlfn.IFNA(VLOOKUP(A67,'Actuals Summer'!$A:$AG,25,FALSE),0)</f>
        <v>0</v>
      </c>
      <c r="CE67" s="381">
        <f>_xlfn.IFNA(VLOOKUP(A67,'Actuals Summer'!$A:$AG,26,FALSE),0)</f>
        <v>0</v>
      </c>
      <c r="CF67" s="381">
        <f>_xlfn.IFNA(VLOOKUP(A67,'Actuals Summer'!$A:$AG,27,FALSE),0)</f>
        <v>0</v>
      </c>
      <c r="CG67" s="381">
        <f>_xlfn.IFNA(VLOOKUP(A67,'Actuals Dep Summer'!B:O,6,FALSE)*$BN$3,0)</f>
        <v>195</v>
      </c>
      <c r="CH67" s="381">
        <f>_xlfn.IFNA(VLOOKUP(A67,'Actuals Dep Summer'!B:O,7,FALSE)*$BN$3,0)</f>
        <v>195</v>
      </c>
      <c r="CI67" s="381">
        <f>_xlfn.IFNA(VLOOKUP(A67,'Actuals Dep Summer'!B:O,8,FALSE)*$BN$3,0)</f>
        <v>585</v>
      </c>
      <c r="CJ67" s="381">
        <f>_xlfn.IFNA(VLOOKUP(A67,'Actuals Summer'!$A:$AG,31,FALSE),0)*$BN$3</f>
        <v>194.89271960388777</v>
      </c>
      <c r="CK67" s="381"/>
      <c r="CL67" s="381">
        <f>_xlfn.IFNA(VLOOKUP(A67,'Actuals Summer'!$A:$AG,32,FALSE),0)*$BN$3</f>
        <v>38025</v>
      </c>
      <c r="CM67" s="381">
        <f>_xlfn.IFNA(VLOOKUP(A67,'Actuals Summer'!$A:$AG,33,FALSE),0)</f>
        <v>0</v>
      </c>
      <c r="CP67" s="458">
        <f t="shared" si="14"/>
        <v>0</v>
      </c>
      <c r="CQ67" s="458">
        <f t="shared" si="15"/>
        <v>0</v>
      </c>
      <c r="CR67" s="458">
        <f t="shared" si="28"/>
        <v>0</v>
      </c>
      <c r="CS67" s="458">
        <f t="shared" si="16"/>
        <v>56288.700000000004</v>
      </c>
      <c r="CT67" s="458">
        <f t="shared" si="17"/>
        <v>0</v>
      </c>
      <c r="CU67" s="458">
        <f t="shared" si="18"/>
        <v>118.95</v>
      </c>
      <c r="CV67" s="458">
        <f t="shared" si="19"/>
        <v>56.55</v>
      </c>
      <c r="CW67" s="458">
        <f t="shared" si="20"/>
        <v>46.800000000000004</v>
      </c>
      <c r="CX67" s="458">
        <f t="shared" si="21"/>
        <v>2925</v>
      </c>
      <c r="CY67" s="458">
        <f t="shared" si="22"/>
        <v>1118.6842105263158</v>
      </c>
      <c r="CZ67" s="458">
        <f t="shared" si="23"/>
        <v>0</v>
      </c>
      <c r="DA67" s="458">
        <f t="shared" si="24"/>
        <v>0</v>
      </c>
      <c r="DB67" s="458">
        <f t="shared" si="25"/>
        <v>60554.68421052632</v>
      </c>
      <c r="DC67" s="452">
        <f>_xlfn.XLOOKUP($A67,'Actuals Summer'!$A:$A,'Actuals Summer'!L:L,0,0)</f>
        <v>0</v>
      </c>
      <c r="DD67" s="452">
        <f>_xlfn.XLOOKUP($A67,'Actuals Summer'!$A:$A,'Actuals Summer'!K:K,0,0)+_xlfn.XLOOKUP($A67,'Actuals Summer'!$A:$A,'Actuals Summer'!Q:Q,0,0)</f>
        <v>0</v>
      </c>
      <c r="DE67" s="452">
        <f>_xlfn.XLOOKUP($A67,'Actuals Summer'!$A:$A,'Actuals Summer'!I:I,0,0)+_xlfn.XLOOKUP($A67,'Actuals Summer'!$A:$A,'Actuals Summer'!R:R,0,0)</f>
        <v>56288.700000000004</v>
      </c>
      <c r="DF67" s="452">
        <f>_xlfn.XLOOKUP($A67,'Actuals Summer'!$A:$A,'Actuals Summer'!J:J,0,0)</f>
        <v>0</v>
      </c>
      <c r="DG67" s="452">
        <f>_xlfn.XLOOKUP($A67,'Actuals Dep Summer'!$B:$B,'Actuals Dep Summer'!G:G,0,0)*'Actuals Dep Summer'!$F$2*'Actuals Dep Summer'!$C$2</f>
        <v>118.95</v>
      </c>
      <c r="DH67" s="452">
        <f>_xlfn.XLOOKUP($A67,'Actuals Dep Summer'!$B:$B,'Actuals Dep Summer'!H:H,0,0)*'Actuals Dep Summer'!$F$2*'Actuals Dep Summer'!$C$3</f>
        <v>56.55</v>
      </c>
      <c r="DI67" s="452">
        <f>_xlfn.XLOOKUP($A67,'Actuals Dep Summer'!$B:$B,'Actuals Dep Summer'!I:I,0,0)*'Actuals Dep Summer'!$F$2*'Actuals Dep Summer'!$C$4</f>
        <v>46.800000000000004</v>
      </c>
      <c r="DJ67" s="452">
        <f>_xlfn.XLOOKUP($A67,'Actuals Summer'!$A:$A,'Actuals Summer'!P:P,0,0)</f>
        <v>2925</v>
      </c>
      <c r="DK67" s="452">
        <f>_xlfn.XLOOKUP($A67,'Actuals Summer'!$A:$A,'Actuals Summer'!O:O,0,0)</f>
        <v>1118.6842105263158</v>
      </c>
      <c r="DL67" s="452"/>
      <c r="DM67" s="452">
        <f>_xlfn.XLOOKUP($A67,'Actuals Summer'!$A:$A,'Actuals Summer'!M:M,0,0)</f>
        <v>0</v>
      </c>
      <c r="DN67" s="453">
        <f t="shared" si="29"/>
        <v>60554.68421052632</v>
      </c>
      <c r="DO67" s="453">
        <f>_xlfn.XLOOKUP(A67,'Actuals Summer'!A:A,'Actuals Summer'!S:S,0,0)-'Summer data team '!DN67</f>
        <v>0</v>
      </c>
      <c r="DP67" s="463">
        <f t="shared" si="30"/>
        <v>0</v>
      </c>
    </row>
    <row r="68" spans="1:120" ht="13" x14ac:dyDescent="0.3">
      <c r="A68" s="364">
        <v>2096</v>
      </c>
      <c r="B68" s="364">
        <v>3302096</v>
      </c>
      <c r="C68" s="364" t="s">
        <v>279</v>
      </c>
      <c r="D68" s="506">
        <v>0</v>
      </c>
      <c r="E68" s="506">
        <v>0</v>
      </c>
      <c r="F68" s="506">
        <v>0</v>
      </c>
      <c r="G68" s="506">
        <v>8</v>
      </c>
      <c r="H68" s="506">
        <v>18</v>
      </c>
      <c r="I68" s="507">
        <v>0</v>
      </c>
      <c r="J68" s="507">
        <v>26</v>
      </c>
      <c r="K68" s="506">
        <v>0</v>
      </c>
      <c r="L68" s="506">
        <v>0</v>
      </c>
      <c r="M68" s="507">
        <v>0</v>
      </c>
      <c r="N68" s="506">
        <v>0</v>
      </c>
      <c r="O68" s="506">
        <v>0</v>
      </c>
      <c r="P68" s="506">
        <v>120</v>
      </c>
      <c r="Q68" s="506">
        <v>270</v>
      </c>
      <c r="R68" s="507">
        <v>390</v>
      </c>
      <c r="S68" s="506">
        <v>0</v>
      </c>
      <c r="T68" s="506">
        <v>0</v>
      </c>
      <c r="U68" s="506">
        <v>0</v>
      </c>
      <c r="V68" s="506">
        <v>0</v>
      </c>
      <c r="W68" s="507">
        <v>0</v>
      </c>
      <c r="X68" s="506">
        <v>14</v>
      </c>
      <c r="Y68" s="506">
        <v>210</v>
      </c>
      <c r="Z68" s="508">
        <v>0</v>
      </c>
      <c r="AA68" s="506">
        <v>9</v>
      </c>
      <c r="AB68" s="506">
        <v>135</v>
      </c>
      <c r="AC68" s="508">
        <v>0</v>
      </c>
      <c r="AD68" s="506">
        <v>0</v>
      </c>
      <c r="AE68" s="506">
        <v>0</v>
      </c>
      <c r="AF68" s="508">
        <v>0</v>
      </c>
      <c r="AG68" s="509">
        <v>0</v>
      </c>
      <c r="AH68" s="509">
        <v>0</v>
      </c>
      <c r="AI68" s="508">
        <v>0</v>
      </c>
      <c r="AJ68" s="509">
        <v>15</v>
      </c>
      <c r="AK68" s="509">
        <v>225</v>
      </c>
      <c r="AL68" s="508">
        <v>0</v>
      </c>
      <c r="AM68" s="506">
        <v>15</v>
      </c>
      <c r="AN68" s="506">
        <v>225</v>
      </c>
      <c r="AO68" s="508">
        <v>0</v>
      </c>
      <c r="AP68" s="508"/>
      <c r="AQ68" s="508">
        <f t="shared" si="3"/>
        <v>15</v>
      </c>
      <c r="AR68" s="509">
        <v>0</v>
      </c>
      <c r="AS68" s="509">
        <v>0</v>
      </c>
      <c r="AT68" s="508">
        <v>0</v>
      </c>
      <c r="AU68" s="509">
        <v>15</v>
      </c>
      <c r="AV68" s="509">
        <v>225</v>
      </c>
      <c r="AW68" s="508">
        <v>0</v>
      </c>
      <c r="AX68" s="506">
        <v>15</v>
      </c>
      <c r="AY68" s="506">
        <v>225</v>
      </c>
      <c r="AZ68" s="508">
        <v>0</v>
      </c>
      <c r="BA68" s="508"/>
      <c r="BB68" s="508">
        <f t="shared" si="4"/>
        <v>30</v>
      </c>
      <c r="BC68" s="509">
        <v>0</v>
      </c>
      <c r="BD68" s="509">
        <v>0</v>
      </c>
      <c r="BE68" s="506">
        <v>0</v>
      </c>
      <c r="BF68" s="200"/>
      <c r="BG68" s="200"/>
      <c r="BH68" s="200"/>
      <c r="BI68" s="200"/>
      <c r="BJ68" s="200"/>
      <c r="BK68" s="200"/>
      <c r="BL68" s="200"/>
      <c r="BM68" s="505">
        <f t="shared" si="5"/>
        <v>0</v>
      </c>
      <c r="BN68" s="200">
        <f t="shared" si="6"/>
        <v>0</v>
      </c>
      <c r="BO68" s="200">
        <f t="shared" si="27"/>
        <v>0</v>
      </c>
      <c r="BP68" s="200">
        <f t="shared" si="7"/>
        <v>5070</v>
      </c>
      <c r="BQ68" s="200">
        <f t="shared" si="8"/>
        <v>0</v>
      </c>
      <c r="BR68" s="200">
        <f t="shared" si="9"/>
        <v>2730</v>
      </c>
      <c r="BS68" s="200">
        <f t="shared" si="10"/>
        <v>1755</v>
      </c>
      <c r="BT68" s="200">
        <f t="shared" si="11"/>
        <v>0</v>
      </c>
      <c r="BU68" s="200">
        <f t="shared" si="12"/>
        <v>2925</v>
      </c>
      <c r="BV68" s="200">
        <v>15</v>
      </c>
      <c r="BW68" s="200">
        <v>0</v>
      </c>
      <c r="BX68" s="200">
        <f t="shared" si="13"/>
        <v>0</v>
      </c>
      <c r="CB68" s="381">
        <f>_xlfn.IFNA(VLOOKUP(A68,'Actuals Summer'!$A:$AG,23,FALSE),0)</f>
        <v>5070</v>
      </c>
      <c r="CC68" s="381">
        <f>_xlfn.IFNA(VLOOKUP(A68,'Actuals Summer'!$A:$AG,24,FALSE),0)</f>
        <v>0</v>
      </c>
      <c r="CD68" s="381">
        <f>_xlfn.IFNA(VLOOKUP(A68,'Actuals Summer'!$A:$AG,25,FALSE),0)</f>
        <v>0</v>
      </c>
      <c r="CE68" s="381">
        <f>_xlfn.IFNA(VLOOKUP(A68,'Actuals Summer'!$A:$AG,26,FALSE),0)</f>
        <v>0</v>
      </c>
      <c r="CF68" s="381">
        <f>_xlfn.IFNA(VLOOKUP(A68,'Actuals Summer'!$A:$AG,27,FALSE),0)</f>
        <v>0</v>
      </c>
      <c r="CG68" s="381">
        <f>_xlfn.IFNA(VLOOKUP(A68,'Actuals Dep Summer'!B:O,6,FALSE)*$BN$3,0)</f>
        <v>2730</v>
      </c>
      <c r="CH68" s="381">
        <f>_xlfn.IFNA(VLOOKUP(A68,'Actuals Dep Summer'!B:O,7,FALSE)*$BN$3,0)</f>
        <v>1755</v>
      </c>
      <c r="CI68" s="381">
        <f>_xlfn.IFNA(VLOOKUP(A68,'Actuals Dep Summer'!B:O,8,FALSE)*$BN$3,0)</f>
        <v>0</v>
      </c>
      <c r="CJ68" s="381">
        <f>_xlfn.IFNA(VLOOKUP(A68,'Actuals Summer'!$A:$AG,31,FALSE),0)*$BN$3</f>
        <v>194.89271960388777</v>
      </c>
      <c r="CK68" s="381"/>
      <c r="CL68" s="381">
        <f>_xlfn.IFNA(VLOOKUP(A68,'Actuals Summer'!$A:$AG,32,FALSE),0)*$BN$3</f>
        <v>38025</v>
      </c>
      <c r="CM68" s="381">
        <f>_xlfn.IFNA(VLOOKUP(A68,'Actuals Summer'!$A:$AG,33,FALSE),0)</f>
        <v>0</v>
      </c>
      <c r="CP68" s="458">
        <f t="shared" si="14"/>
        <v>0</v>
      </c>
      <c r="CQ68" s="458">
        <f t="shared" si="15"/>
        <v>0</v>
      </c>
      <c r="CR68" s="458">
        <f t="shared" si="28"/>
        <v>0</v>
      </c>
      <c r="CS68" s="458">
        <f t="shared" si="16"/>
        <v>28696.2</v>
      </c>
      <c r="CT68" s="458">
        <f t="shared" si="17"/>
        <v>0</v>
      </c>
      <c r="CU68" s="458">
        <f t="shared" si="18"/>
        <v>1665.3</v>
      </c>
      <c r="CV68" s="458">
        <f t="shared" si="19"/>
        <v>508.95</v>
      </c>
      <c r="CW68" s="458">
        <f t="shared" si="20"/>
        <v>0</v>
      </c>
      <c r="CX68" s="458">
        <f t="shared" si="21"/>
        <v>2925</v>
      </c>
      <c r="CY68" s="458">
        <f t="shared" si="22"/>
        <v>1118.6842105263158</v>
      </c>
      <c r="CZ68" s="458">
        <f t="shared" si="23"/>
        <v>0</v>
      </c>
      <c r="DA68" s="458">
        <f t="shared" si="24"/>
        <v>0</v>
      </c>
      <c r="DB68" s="458">
        <f t="shared" si="25"/>
        <v>34914.13421052631</v>
      </c>
      <c r="DC68" s="452">
        <f>_xlfn.XLOOKUP($A68,'Actuals Summer'!$A:$A,'Actuals Summer'!L:L,0,0)</f>
        <v>0</v>
      </c>
      <c r="DD68" s="452">
        <f>_xlfn.XLOOKUP($A68,'Actuals Summer'!$A:$A,'Actuals Summer'!K:K,0,0)+_xlfn.XLOOKUP($A68,'Actuals Summer'!$A:$A,'Actuals Summer'!Q:Q,0,0)</f>
        <v>0</v>
      </c>
      <c r="DE68" s="452">
        <f>_xlfn.XLOOKUP($A68,'Actuals Summer'!$A:$A,'Actuals Summer'!I:I,0,0)+_xlfn.XLOOKUP($A68,'Actuals Summer'!$A:$A,'Actuals Summer'!R:R,0,0)</f>
        <v>28696.2</v>
      </c>
      <c r="DF68" s="452">
        <f>_xlfn.XLOOKUP($A68,'Actuals Summer'!$A:$A,'Actuals Summer'!J:J,0,0)</f>
        <v>0</v>
      </c>
      <c r="DG68" s="452">
        <f>_xlfn.XLOOKUP($A68,'Actuals Dep Summer'!$B:$B,'Actuals Dep Summer'!G:G,0,0)*'Actuals Dep Summer'!$F$2*'Actuals Dep Summer'!$C$2</f>
        <v>1665.3</v>
      </c>
      <c r="DH68" s="452">
        <f>_xlfn.XLOOKUP($A68,'Actuals Dep Summer'!$B:$B,'Actuals Dep Summer'!H:H,0,0)*'Actuals Dep Summer'!$F$2*'Actuals Dep Summer'!$C$3</f>
        <v>508.95</v>
      </c>
      <c r="DI68" s="452">
        <f>_xlfn.XLOOKUP($A68,'Actuals Dep Summer'!$B:$B,'Actuals Dep Summer'!I:I,0,0)*'Actuals Dep Summer'!$F$2*'Actuals Dep Summer'!$C$4</f>
        <v>0</v>
      </c>
      <c r="DJ68" s="452">
        <f>_xlfn.XLOOKUP($A68,'Actuals Summer'!$A:$A,'Actuals Summer'!P:P,0,0)</f>
        <v>2925</v>
      </c>
      <c r="DK68" s="452">
        <f>_xlfn.XLOOKUP($A68,'Actuals Summer'!$A:$A,'Actuals Summer'!O:O,0,0)</f>
        <v>1118.6842105263158</v>
      </c>
      <c r="DL68" s="452"/>
      <c r="DM68" s="452">
        <f>_xlfn.XLOOKUP($A68,'Actuals Summer'!$A:$A,'Actuals Summer'!M:M,0,0)</f>
        <v>0</v>
      </c>
      <c r="DN68" s="453">
        <f t="shared" si="29"/>
        <v>34914.13421052631</v>
      </c>
      <c r="DO68" s="453">
        <f>_xlfn.XLOOKUP(A68,'Actuals Summer'!A:A,'Actuals Summer'!S:S,0,0)-'Summer data team '!DN68</f>
        <v>0</v>
      </c>
      <c r="DP68" s="463">
        <f t="shared" si="30"/>
        <v>0</v>
      </c>
    </row>
    <row r="69" spans="1:120" ht="13" x14ac:dyDescent="0.3">
      <c r="A69" s="364">
        <v>2097</v>
      </c>
      <c r="B69" s="364">
        <v>3302097</v>
      </c>
      <c r="C69" s="364" t="s">
        <v>280</v>
      </c>
      <c r="D69" s="506">
        <v>0</v>
      </c>
      <c r="E69" s="506">
        <v>0</v>
      </c>
      <c r="F69" s="506">
        <v>0</v>
      </c>
      <c r="G69" s="506">
        <v>13</v>
      </c>
      <c r="H69" s="506">
        <v>8</v>
      </c>
      <c r="I69" s="507">
        <v>0</v>
      </c>
      <c r="J69" s="507">
        <v>21</v>
      </c>
      <c r="K69" s="506">
        <v>4</v>
      </c>
      <c r="L69" s="506">
        <v>2</v>
      </c>
      <c r="M69" s="507">
        <v>6</v>
      </c>
      <c r="N69" s="506">
        <v>0</v>
      </c>
      <c r="O69" s="506">
        <v>0</v>
      </c>
      <c r="P69" s="506">
        <v>195</v>
      </c>
      <c r="Q69" s="506">
        <v>120</v>
      </c>
      <c r="R69" s="507">
        <v>315</v>
      </c>
      <c r="S69" s="506">
        <v>0</v>
      </c>
      <c r="T69" s="506">
        <v>0</v>
      </c>
      <c r="U69" s="506">
        <v>60</v>
      </c>
      <c r="V69" s="506">
        <v>30</v>
      </c>
      <c r="W69" s="507">
        <v>90</v>
      </c>
      <c r="X69" s="506">
        <v>3</v>
      </c>
      <c r="Y69" s="506">
        <v>45</v>
      </c>
      <c r="Z69" s="508">
        <v>0</v>
      </c>
      <c r="AA69" s="506">
        <v>10</v>
      </c>
      <c r="AB69" s="506">
        <v>150</v>
      </c>
      <c r="AC69" s="508">
        <v>45</v>
      </c>
      <c r="AD69" s="506">
        <v>6</v>
      </c>
      <c r="AE69" s="506">
        <v>90</v>
      </c>
      <c r="AF69" s="508">
        <v>45</v>
      </c>
      <c r="AG69" s="509">
        <v>0</v>
      </c>
      <c r="AH69" s="509">
        <v>0</v>
      </c>
      <c r="AI69" s="508">
        <v>0</v>
      </c>
      <c r="AJ69" s="509">
        <v>7</v>
      </c>
      <c r="AK69" s="509">
        <v>105</v>
      </c>
      <c r="AL69" s="508">
        <v>0</v>
      </c>
      <c r="AM69" s="506">
        <v>7</v>
      </c>
      <c r="AN69" s="506">
        <v>105</v>
      </c>
      <c r="AO69" s="508">
        <v>0</v>
      </c>
      <c r="AP69" s="508"/>
      <c r="AQ69" s="508">
        <f t="shared" si="3"/>
        <v>7</v>
      </c>
      <c r="AR69" s="509">
        <v>0</v>
      </c>
      <c r="AS69" s="509">
        <v>0</v>
      </c>
      <c r="AT69" s="508">
        <v>0</v>
      </c>
      <c r="AU69" s="509">
        <v>5</v>
      </c>
      <c r="AV69" s="509">
        <v>75</v>
      </c>
      <c r="AW69" s="508">
        <v>0</v>
      </c>
      <c r="AX69" s="506">
        <v>5</v>
      </c>
      <c r="AY69" s="506">
        <v>75</v>
      </c>
      <c r="AZ69" s="508">
        <v>0</v>
      </c>
      <c r="BA69" s="508"/>
      <c r="BB69" s="508">
        <f t="shared" si="4"/>
        <v>10</v>
      </c>
      <c r="BC69" s="509">
        <v>0</v>
      </c>
      <c r="BD69" s="509">
        <v>0</v>
      </c>
      <c r="BE69" s="506">
        <v>0</v>
      </c>
      <c r="BF69" s="200"/>
      <c r="BG69" s="200"/>
      <c r="BH69" s="200"/>
      <c r="BI69" s="200"/>
      <c r="BJ69" s="200"/>
      <c r="BK69" s="200"/>
      <c r="BL69" s="200"/>
      <c r="BM69" s="505">
        <f t="shared" si="5"/>
        <v>0</v>
      </c>
      <c r="BN69" s="200">
        <f t="shared" si="6"/>
        <v>0</v>
      </c>
      <c r="BO69" s="200">
        <f t="shared" ref="BO69:BO100" si="31">S69*$BN$3</f>
        <v>0</v>
      </c>
      <c r="BP69" s="200">
        <f t="shared" si="7"/>
        <v>4095</v>
      </c>
      <c r="BQ69" s="200">
        <f t="shared" si="8"/>
        <v>1170</v>
      </c>
      <c r="BR69" s="200">
        <f t="shared" si="9"/>
        <v>585</v>
      </c>
      <c r="BS69" s="200">
        <f t="shared" si="10"/>
        <v>2535</v>
      </c>
      <c r="BT69" s="200">
        <f t="shared" si="11"/>
        <v>1755</v>
      </c>
      <c r="BU69" s="200">
        <f t="shared" si="12"/>
        <v>1365</v>
      </c>
      <c r="BV69" s="200">
        <v>5</v>
      </c>
      <c r="BW69" s="200">
        <v>0</v>
      </c>
      <c r="BX69" s="200">
        <f t="shared" si="13"/>
        <v>0</v>
      </c>
      <c r="CB69" s="381">
        <f>_xlfn.IFNA(VLOOKUP(A69,'Actuals Summer'!$A:$AG,23,FALSE),0)</f>
        <v>4095</v>
      </c>
      <c r="CC69" s="381">
        <f>_xlfn.IFNA(VLOOKUP(A69,'Actuals Summer'!$A:$AG,24,FALSE),0)</f>
        <v>1170</v>
      </c>
      <c r="CD69" s="381">
        <f>_xlfn.IFNA(VLOOKUP(A69,'Actuals Summer'!$A:$AG,25,FALSE),0)</f>
        <v>0</v>
      </c>
      <c r="CE69" s="381">
        <f>_xlfn.IFNA(VLOOKUP(A69,'Actuals Summer'!$A:$AG,26,FALSE),0)</f>
        <v>0</v>
      </c>
      <c r="CF69" s="381">
        <f>_xlfn.IFNA(VLOOKUP(A69,'Actuals Summer'!$A:$AG,27,FALSE),0)</f>
        <v>0</v>
      </c>
      <c r="CG69" s="381">
        <f>_xlfn.IFNA(VLOOKUP(A69,'Actuals Dep Summer'!B:O,6,FALSE)*$BN$3,0)</f>
        <v>585</v>
      </c>
      <c r="CH69" s="381">
        <f>_xlfn.IFNA(VLOOKUP(A69,'Actuals Dep Summer'!B:O,7,FALSE)*$BN$3,0)</f>
        <v>1950</v>
      </c>
      <c r="CI69" s="381">
        <f>_xlfn.IFNA(VLOOKUP(A69,'Actuals Dep Summer'!B:O,8,FALSE)*$BN$3,0)</f>
        <v>1170</v>
      </c>
      <c r="CJ69" s="381">
        <f>_xlfn.IFNA(VLOOKUP(A69,'Actuals Summer'!$A:$AG,31,FALSE),0)*$BN$3</f>
        <v>64.964239867962576</v>
      </c>
      <c r="CK69" s="381"/>
      <c r="CL69" s="381">
        <f>_xlfn.IFNA(VLOOKUP(A69,'Actuals Summer'!$A:$AG,32,FALSE),0)*$BN$3</f>
        <v>17745</v>
      </c>
      <c r="CM69" s="381">
        <f>_xlfn.IFNA(VLOOKUP(A69,'Actuals Summer'!$A:$AG,33,FALSE),0)</f>
        <v>0</v>
      </c>
      <c r="CP69" s="458">
        <f t="shared" si="14"/>
        <v>0</v>
      </c>
      <c r="CQ69" s="458">
        <f t="shared" si="15"/>
        <v>0</v>
      </c>
      <c r="CR69" s="458">
        <f t="shared" ref="CR69:CR100" si="32">BO69*$BO$2</f>
        <v>0</v>
      </c>
      <c r="CS69" s="458">
        <f t="shared" si="16"/>
        <v>23177.7</v>
      </c>
      <c r="CT69" s="458">
        <f t="shared" si="17"/>
        <v>6622.2</v>
      </c>
      <c r="CU69" s="458">
        <f t="shared" si="18"/>
        <v>356.84999999999997</v>
      </c>
      <c r="CV69" s="458">
        <f t="shared" si="19"/>
        <v>735.15</v>
      </c>
      <c r="CW69" s="458">
        <f t="shared" si="20"/>
        <v>140.4</v>
      </c>
      <c r="CX69" s="458">
        <f t="shared" si="21"/>
        <v>1365</v>
      </c>
      <c r="CY69" s="458">
        <f t="shared" si="22"/>
        <v>372.89473684210526</v>
      </c>
      <c r="CZ69" s="458">
        <f t="shared" si="23"/>
        <v>0</v>
      </c>
      <c r="DA69" s="458">
        <f t="shared" si="24"/>
        <v>0</v>
      </c>
      <c r="DB69" s="458">
        <f t="shared" si="25"/>
        <v>32770.19473684211</v>
      </c>
      <c r="DC69" s="452">
        <f>_xlfn.XLOOKUP($A69,'Actuals Summer'!$A:$A,'Actuals Summer'!L:L,0,0)</f>
        <v>0</v>
      </c>
      <c r="DD69" s="452">
        <f>_xlfn.XLOOKUP($A69,'Actuals Summer'!$A:$A,'Actuals Summer'!K:K,0,0)+_xlfn.XLOOKUP($A69,'Actuals Summer'!$A:$A,'Actuals Summer'!Q:Q,0,0)</f>
        <v>0</v>
      </c>
      <c r="DE69" s="452">
        <f>_xlfn.XLOOKUP($A69,'Actuals Summer'!$A:$A,'Actuals Summer'!I:I,0,0)+_xlfn.XLOOKUP($A69,'Actuals Summer'!$A:$A,'Actuals Summer'!R:R,0,0)</f>
        <v>23177.7</v>
      </c>
      <c r="DF69" s="452">
        <f>_xlfn.XLOOKUP($A69,'Actuals Summer'!$A:$A,'Actuals Summer'!J:J,0,0)</f>
        <v>6622.2</v>
      </c>
      <c r="DG69" s="452">
        <f>_xlfn.XLOOKUP($A69,'Actuals Dep Summer'!$B:$B,'Actuals Dep Summer'!G:G,0,0)*'Actuals Dep Summer'!$F$2*'Actuals Dep Summer'!$C$2</f>
        <v>356.84999999999997</v>
      </c>
      <c r="DH69" s="452">
        <f>_xlfn.XLOOKUP($A69,'Actuals Dep Summer'!$B:$B,'Actuals Dep Summer'!H:H,0,0)*'Actuals Dep Summer'!$F$2*'Actuals Dep Summer'!$C$3</f>
        <v>565.5</v>
      </c>
      <c r="DI69" s="452">
        <f>_xlfn.XLOOKUP($A69,'Actuals Dep Summer'!$B:$B,'Actuals Dep Summer'!I:I,0,0)*'Actuals Dep Summer'!$F$2*'Actuals Dep Summer'!$C$4</f>
        <v>93.600000000000009</v>
      </c>
      <c r="DJ69" s="452">
        <f>_xlfn.XLOOKUP($A69,'Actuals Summer'!$A:$A,'Actuals Summer'!P:P,0,0)</f>
        <v>1365</v>
      </c>
      <c r="DK69" s="452">
        <f>_xlfn.XLOOKUP($A69,'Actuals Summer'!$A:$A,'Actuals Summer'!O:O,0,0)</f>
        <v>372.89473684210526</v>
      </c>
      <c r="DL69" s="452"/>
      <c r="DM69" s="452">
        <f>_xlfn.XLOOKUP($A69,'Actuals Summer'!$A:$A,'Actuals Summer'!M:M,0,0)</f>
        <v>0</v>
      </c>
      <c r="DN69" s="453">
        <f t="shared" ref="DN69:DN100" si="33">SUM(DC69:DM69)</f>
        <v>32553.744736842105</v>
      </c>
      <c r="DO69" s="453">
        <f>_xlfn.XLOOKUP(A69,'Actuals Summer'!A:A,'Actuals Summer'!S:S,0,0)-'Summer data team '!DN69</f>
        <v>0</v>
      </c>
      <c r="DP69" s="463">
        <f t="shared" ref="DP69:DP100" si="34">DB69-DN69</f>
        <v>216.45000000000437</v>
      </c>
    </row>
    <row r="70" spans="1:120" ht="13" x14ac:dyDescent="0.3">
      <c r="A70" s="364">
        <v>2098</v>
      </c>
      <c r="B70" s="364">
        <v>3302098</v>
      </c>
      <c r="C70" s="364" t="s">
        <v>281</v>
      </c>
      <c r="D70" s="506">
        <v>0</v>
      </c>
      <c r="E70" s="506">
        <v>0</v>
      </c>
      <c r="F70" s="506">
        <v>0</v>
      </c>
      <c r="G70" s="506">
        <v>10</v>
      </c>
      <c r="H70" s="506">
        <v>16</v>
      </c>
      <c r="I70" s="507">
        <v>0</v>
      </c>
      <c r="J70" s="507">
        <v>26</v>
      </c>
      <c r="K70" s="506">
        <v>0</v>
      </c>
      <c r="L70" s="506">
        <v>0</v>
      </c>
      <c r="M70" s="507">
        <v>0</v>
      </c>
      <c r="N70" s="506">
        <v>0</v>
      </c>
      <c r="O70" s="506">
        <v>0</v>
      </c>
      <c r="P70" s="506">
        <v>150</v>
      </c>
      <c r="Q70" s="506">
        <v>240</v>
      </c>
      <c r="R70" s="507">
        <v>390</v>
      </c>
      <c r="S70" s="506">
        <v>0</v>
      </c>
      <c r="T70" s="506">
        <v>0</v>
      </c>
      <c r="U70" s="506">
        <v>0</v>
      </c>
      <c r="V70" s="506">
        <v>0</v>
      </c>
      <c r="W70" s="507">
        <v>0</v>
      </c>
      <c r="X70" s="506">
        <v>9</v>
      </c>
      <c r="Y70" s="506">
        <v>135</v>
      </c>
      <c r="Z70" s="508">
        <v>0</v>
      </c>
      <c r="AA70" s="506">
        <v>2</v>
      </c>
      <c r="AB70" s="506">
        <v>30</v>
      </c>
      <c r="AC70" s="508">
        <v>0</v>
      </c>
      <c r="AD70" s="506">
        <v>13</v>
      </c>
      <c r="AE70" s="506">
        <v>195</v>
      </c>
      <c r="AF70" s="508">
        <v>0</v>
      </c>
      <c r="AG70" s="509">
        <v>0</v>
      </c>
      <c r="AH70" s="509">
        <v>0</v>
      </c>
      <c r="AI70" s="508">
        <v>0</v>
      </c>
      <c r="AJ70" s="509">
        <v>16</v>
      </c>
      <c r="AK70" s="509">
        <v>240</v>
      </c>
      <c r="AL70" s="508">
        <v>0</v>
      </c>
      <c r="AM70" s="506">
        <v>16</v>
      </c>
      <c r="AN70" s="506">
        <v>240</v>
      </c>
      <c r="AO70" s="508">
        <v>0</v>
      </c>
      <c r="AP70" s="508"/>
      <c r="AQ70" s="508">
        <f t="shared" ref="AQ70:AQ133" si="35">AM70+AP70</f>
        <v>16</v>
      </c>
      <c r="AR70" s="509">
        <v>0</v>
      </c>
      <c r="AS70" s="509">
        <v>0</v>
      </c>
      <c r="AT70" s="508">
        <v>0</v>
      </c>
      <c r="AU70" s="509">
        <v>16</v>
      </c>
      <c r="AV70" s="509">
        <v>240</v>
      </c>
      <c r="AW70" s="508">
        <v>0</v>
      </c>
      <c r="AX70" s="506">
        <v>16</v>
      </c>
      <c r="AY70" s="506">
        <v>240</v>
      </c>
      <c r="AZ70" s="508">
        <v>0</v>
      </c>
      <c r="BA70" s="508"/>
      <c r="BB70" s="508">
        <f t="shared" ref="BB70:BB133" si="36">AU70+AX70</f>
        <v>32</v>
      </c>
      <c r="BC70" s="509">
        <v>0</v>
      </c>
      <c r="BD70" s="509">
        <v>0</v>
      </c>
      <c r="BE70" s="506">
        <v>0</v>
      </c>
      <c r="BF70" s="200"/>
      <c r="BG70" s="200"/>
      <c r="BH70" s="200"/>
      <c r="BI70" s="200"/>
      <c r="BJ70" s="200"/>
      <c r="BK70" s="200"/>
      <c r="BL70" s="200"/>
      <c r="BM70" s="505">
        <f t="shared" ref="BM70:BM133" si="37">N70*$BN$3</f>
        <v>0</v>
      </c>
      <c r="BN70" s="200">
        <f t="shared" ref="BN70:BN133" si="38">(O70*$BN$3)+BF70</f>
        <v>0</v>
      </c>
      <c r="BO70" s="200">
        <f t="shared" si="31"/>
        <v>0</v>
      </c>
      <c r="BP70" s="200">
        <f t="shared" ref="BP70:BP133" si="39">R70*$BN$3</f>
        <v>5070</v>
      </c>
      <c r="BQ70" s="200">
        <f t="shared" ref="BQ70:BQ133" si="40">(W70*$BN$3)+BG70</f>
        <v>0</v>
      </c>
      <c r="BR70" s="200">
        <f t="shared" ref="BR70:BR133" si="41">(Y70+Z70)*$BN$3</f>
        <v>1755</v>
      </c>
      <c r="BS70" s="200">
        <f t="shared" ref="BS70:BS133" si="42">(AB70+AC70)*$BN$3</f>
        <v>390</v>
      </c>
      <c r="BT70" s="200">
        <f t="shared" ref="BT70:BT133" si="43">(AE70+AF70)*$BN$3</f>
        <v>2535</v>
      </c>
      <c r="BU70" s="200">
        <f t="shared" ref="BU70:BU133" si="44">AN70*$BN$3</f>
        <v>3120</v>
      </c>
      <c r="BV70" s="200">
        <v>16</v>
      </c>
      <c r="BW70" s="200">
        <v>0</v>
      </c>
      <c r="BX70" s="200">
        <f t="shared" ref="BX70:BX133" si="45">BE70</f>
        <v>0</v>
      </c>
      <c r="CB70" s="381">
        <f>_xlfn.IFNA(VLOOKUP(A70,'Actuals Summer'!$A:$AG,23,FALSE),0)</f>
        <v>5070</v>
      </c>
      <c r="CC70" s="381">
        <f>_xlfn.IFNA(VLOOKUP(A70,'Actuals Summer'!$A:$AG,24,FALSE),0)</f>
        <v>0</v>
      </c>
      <c r="CD70" s="381">
        <f>_xlfn.IFNA(VLOOKUP(A70,'Actuals Summer'!$A:$AG,25,FALSE),0)</f>
        <v>0</v>
      </c>
      <c r="CE70" s="381">
        <f>_xlfn.IFNA(VLOOKUP(A70,'Actuals Summer'!$A:$AG,26,FALSE),0)</f>
        <v>0</v>
      </c>
      <c r="CF70" s="381">
        <f>_xlfn.IFNA(VLOOKUP(A70,'Actuals Summer'!$A:$AG,27,FALSE),0)</f>
        <v>0</v>
      </c>
      <c r="CG70" s="381">
        <f>_xlfn.IFNA(VLOOKUP(A70,'Actuals Dep Summer'!B:O,6,FALSE)*$BN$3,0)</f>
        <v>1755</v>
      </c>
      <c r="CH70" s="381">
        <f>_xlfn.IFNA(VLOOKUP(A70,'Actuals Dep Summer'!B:O,7,FALSE)*$BN$3,0)</f>
        <v>390</v>
      </c>
      <c r="CI70" s="381">
        <f>_xlfn.IFNA(VLOOKUP(A70,'Actuals Dep Summer'!B:O,8,FALSE)*$BN$3,0)</f>
        <v>2535</v>
      </c>
      <c r="CJ70" s="381">
        <f>_xlfn.IFNA(VLOOKUP(A70,'Actuals Summer'!$A:$AG,31,FALSE),0)*$BN$3</f>
        <v>207.88556757748029</v>
      </c>
      <c r="CK70" s="381"/>
      <c r="CL70" s="381">
        <f>_xlfn.IFNA(VLOOKUP(A70,'Actuals Summer'!$A:$AG,32,FALSE),0)*$BN$3</f>
        <v>40560</v>
      </c>
      <c r="CM70" s="381">
        <f>_xlfn.IFNA(VLOOKUP(A70,'Actuals Summer'!$A:$AG,33,FALSE),0)</f>
        <v>0</v>
      </c>
      <c r="CP70" s="458">
        <f t="shared" ref="CP70:CP133" si="46">BM70*$BM$2</f>
        <v>0</v>
      </c>
      <c r="CQ70" s="458">
        <f t="shared" ref="CQ70:CQ133" si="47">BN70*$BN$2</f>
        <v>0</v>
      </c>
      <c r="CR70" s="458">
        <f t="shared" si="32"/>
        <v>0</v>
      </c>
      <c r="CS70" s="458">
        <f t="shared" ref="CS70:CS133" si="48">BP70*$BP$2</f>
        <v>28696.2</v>
      </c>
      <c r="CT70" s="458">
        <f t="shared" ref="CT70:CT133" si="49">BQ70*$BQ$2</f>
        <v>0</v>
      </c>
      <c r="CU70" s="458">
        <f t="shared" ref="CU70:CU133" si="50">BR70*$BR$2</f>
        <v>1070.55</v>
      </c>
      <c r="CV70" s="458">
        <f t="shared" ref="CV70:CV133" si="51">BS70*$BS$2</f>
        <v>113.1</v>
      </c>
      <c r="CW70" s="458">
        <f t="shared" ref="CW70:CW133" si="52">BT70*$BT$2</f>
        <v>202.8</v>
      </c>
      <c r="CX70" s="458">
        <f t="shared" ref="CX70:CX133" si="53">BU70*$BU$2</f>
        <v>3120</v>
      </c>
      <c r="CY70" s="458">
        <f t="shared" ref="CY70:CY133" si="54">BV70*$BV$2*$BN$3</f>
        <v>1193.2631578947367</v>
      </c>
      <c r="CZ70" s="458">
        <f t="shared" ref="CZ70:CZ133" si="55">BW70*$BW$2*$BN$3</f>
        <v>0</v>
      </c>
      <c r="DA70" s="458">
        <f t="shared" ref="DA70:DA133" si="56">BX70*$BX$2</f>
        <v>0</v>
      </c>
      <c r="DB70" s="458">
        <f t="shared" ref="DB70:DB133" si="57">SUM(CP70:DA70)</f>
        <v>34395.913157894727</v>
      </c>
      <c r="DC70" s="452">
        <f>_xlfn.XLOOKUP($A70,'Actuals Summer'!$A:$A,'Actuals Summer'!L:L,0,0)</f>
        <v>0</v>
      </c>
      <c r="DD70" s="452">
        <f>_xlfn.XLOOKUP($A70,'Actuals Summer'!$A:$A,'Actuals Summer'!K:K,0,0)+_xlfn.XLOOKUP($A70,'Actuals Summer'!$A:$A,'Actuals Summer'!Q:Q,0,0)</f>
        <v>0</v>
      </c>
      <c r="DE70" s="452">
        <f>_xlfn.XLOOKUP($A70,'Actuals Summer'!$A:$A,'Actuals Summer'!I:I,0,0)+_xlfn.XLOOKUP($A70,'Actuals Summer'!$A:$A,'Actuals Summer'!R:R,0,0)</f>
        <v>28696.2</v>
      </c>
      <c r="DF70" s="452">
        <f>_xlfn.XLOOKUP($A70,'Actuals Summer'!$A:$A,'Actuals Summer'!J:J,0,0)</f>
        <v>0</v>
      </c>
      <c r="DG70" s="452">
        <f>_xlfn.XLOOKUP($A70,'Actuals Dep Summer'!$B:$B,'Actuals Dep Summer'!G:G,0,0)*'Actuals Dep Summer'!$F$2*'Actuals Dep Summer'!$C$2</f>
        <v>1070.55</v>
      </c>
      <c r="DH70" s="452">
        <f>_xlfn.XLOOKUP($A70,'Actuals Dep Summer'!$B:$B,'Actuals Dep Summer'!H:H,0,0)*'Actuals Dep Summer'!$F$2*'Actuals Dep Summer'!$C$3</f>
        <v>113.1</v>
      </c>
      <c r="DI70" s="452">
        <f>_xlfn.XLOOKUP($A70,'Actuals Dep Summer'!$B:$B,'Actuals Dep Summer'!I:I,0,0)*'Actuals Dep Summer'!$F$2*'Actuals Dep Summer'!$C$4</f>
        <v>202.8</v>
      </c>
      <c r="DJ70" s="452">
        <f>_xlfn.XLOOKUP($A70,'Actuals Summer'!$A:$A,'Actuals Summer'!P:P,0,0)</f>
        <v>3120</v>
      </c>
      <c r="DK70" s="452">
        <f>_xlfn.XLOOKUP($A70,'Actuals Summer'!$A:$A,'Actuals Summer'!O:O,0,0)</f>
        <v>1193.2631578947369</v>
      </c>
      <c r="DL70" s="452"/>
      <c r="DM70" s="452">
        <f>_xlfn.XLOOKUP($A70,'Actuals Summer'!$A:$A,'Actuals Summer'!M:M,0,0)</f>
        <v>0</v>
      </c>
      <c r="DN70" s="453">
        <f t="shared" si="33"/>
        <v>34395.913157894734</v>
      </c>
      <c r="DO70" s="453">
        <f>_xlfn.XLOOKUP(A70,'Actuals Summer'!A:A,'Actuals Summer'!S:S,0,0)-'Summer data team '!DN70</f>
        <v>0</v>
      </c>
      <c r="DP70" s="463">
        <f t="shared" si="34"/>
        <v>0</v>
      </c>
    </row>
    <row r="71" spans="1:120" ht="13" x14ac:dyDescent="0.3">
      <c r="A71" s="364">
        <v>2099</v>
      </c>
      <c r="B71" s="364">
        <v>3302099</v>
      </c>
      <c r="C71" s="364" t="s">
        <v>87</v>
      </c>
      <c r="D71" s="506">
        <v>0</v>
      </c>
      <c r="E71" s="506">
        <v>0</v>
      </c>
      <c r="F71" s="506">
        <v>0</v>
      </c>
      <c r="G71" s="506">
        <v>13</v>
      </c>
      <c r="H71" s="506">
        <v>13</v>
      </c>
      <c r="I71" s="507">
        <v>0</v>
      </c>
      <c r="J71" s="507">
        <v>26</v>
      </c>
      <c r="K71" s="506">
        <v>0</v>
      </c>
      <c r="L71" s="506">
        <v>0</v>
      </c>
      <c r="M71" s="507">
        <v>0</v>
      </c>
      <c r="N71" s="506">
        <v>0</v>
      </c>
      <c r="O71" s="506">
        <v>0</v>
      </c>
      <c r="P71" s="506">
        <v>195</v>
      </c>
      <c r="Q71" s="506">
        <v>195</v>
      </c>
      <c r="R71" s="507">
        <v>390</v>
      </c>
      <c r="S71" s="506">
        <v>0</v>
      </c>
      <c r="T71" s="506">
        <v>0</v>
      </c>
      <c r="U71" s="506">
        <v>0</v>
      </c>
      <c r="V71" s="506">
        <v>0</v>
      </c>
      <c r="W71" s="507">
        <v>0</v>
      </c>
      <c r="X71" s="506">
        <v>12</v>
      </c>
      <c r="Y71" s="506">
        <v>180</v>
      </c>
      <c r="Z71" s="508">
        <v>0</v>
      </c>
      <c r="AA71" s="506">
        <v>4</v>
      </c>
      <c r="AB71" s="506">
        <v>60</v>
      </c>
      <c r="AC71" s="508">
        <v>0</v>
      </c>
      <c r="AD71" s="506">
        <v>7</v>
      </c>
      <c r="AE71" s="506">
        <v>105</v>
      </c>
      <c r="AF71" s="508">
        <v>0</v>
      </c>
      <c r="AG71" s="509">
        <v>0</v>
      </c>
      <c r="AH71" s="509">
        <v>0</v>
      </c>
      <c r="AI71" s="508">
        <v>0</v>
      </c>
      <c r="AJ71" s="509">
        <v>6</v>
      </c>
      <c r="AK71" s="509">
        <v>90</v>
      </c>
      <c r="AL71" s="508">
        <v>0</v>
      </c>
      <c r="AM71" s="506">
        <v>6</v>
      </c>
      <c r="AN71" s="506">
        <v>90</v>
      </c>
      <c r="AO71" s="508">
        <v>0</v>
      </c>
      <c r="AP71" s="508"/>
      <c r="AQ71" s="508">
        <f t="shared" si="35"/>
        <v>6</v>
      </c>
      <c r="AR71" s="509">
        <v>0</v>
      </c>
      <c r="AS71" s="509">
        <v>0</v>
      </c>
      <c r="AT71" s="508">
        <v>0</v>
      </c>
      <c r="AU71" s="509">
        <v>0</v>
      </c>
      <c r="AV71" s="509">
        <v>0</v>
      </c>
      <c r="AW71" s="508">
        <v>0</v>
      </c>
      <c r="AX71" s="506">
        <v>0</v>
      </c>
      <c r="AY71" s="506">
        <v>0</v>
      </c>
      <c r="AZ71" s="508">
        <v>0</v>
      </c>
      <c r="BA71" s="508"/>
      <c r="BB71" s="508">
        <f t="shared" si="36"/>
        <v>0</v>
      </c>
      <c r="BC71" s="509">
        <v>0</v>
      </c>
      <c r="BD71" s="509">
        <v>0</v>
      </c>
      <c r="BE71" s="506">
        <v>0</v>
      </c>
      <c r="BF71" s="200"/>
      <c r="BG71" s="200"/>
      <c r="BH71" s="200"/>
      <c r="BI71" s="200"/>
      <c r="BJ71" s="200"/>
      <c r="BK71" s="200"/>
      <c r="BL71" s="200"/>
      <c r="BM71" s="505">
        <f t="shared" si="37"/>
        <v>0</v>
      </c>
      <c r="BN71" s="200">
        <f t="shared" si="38"/>
        <v>0</v>
      </c>
      <c r="BO71" s="200">
        <f t="shared" si="31"/>
        <v>0</v>
      </c>
      <c r="BP71" s="200">
        <f t="shared" si="39"/>
        <v>5070</v>
      </c>
      <c r="BQ71" s="200">
        <f t="shared" si="40"/>
        <v>0</v>
      </c>
      <c r="BR71" s="200">
        <f t="shared" si="41"/>
        <v>2340</v>
      </c>
      <c r="BS71" s="200">
        <f t="shared" si="42"/>
        <v>780</v>
      </c>
      <c r="BT71" s="200">
        <f t="shared" si="43"/>
        <v>1365</v>
      </c>
      <c r="BU71" s="200">
        <f t="shared" si="44"/>
        <v>1170</v>
      </c>
      <c r="BV71" s="200">
        <v>0</v>
      </c>
      <c r="BW71" s="200">
        <v>0</v>
      </c>
      <c r="BX71" s="200">
        <f t="shared" si="45"/>
        <v>0</v>
      </c>
      <c r="CB71" s="381">
        <f>_xlfn.IFNA(VLOOKUP(A71,'Actuals Summer'!$A:$AG,23,FALSE),0)</f>
        <v>5070</v>
      </c>
      <c r="CC71" s="381">
        <f>_xlfn.IFNA(VLOOKUP(A71,'Actuals Summer'!$A:$AG,24,FALSE),0)</f>
        <v>0</v>
      </c>
      <c r="CD71" s="381">
        <f>_xlfn.IFNA(VLOOKUP(A71,'Actuals Summer'!$A:$AG,25,FALSE),0)</f>
        <v>0</v>
      </c>
      <c r="CE71" s="381">
        <f>_xlfn.IFNA(VLOOKUP(A71,'Actuals Summer'!$A:$AG,26,FALSE),0)</f>
        <v>0</v>
      </c>
      <c r="CF71" s="381">
        <f>_xlfn.IFNA(VLOOKUP(A71,'Actuals Summer'!$A:$AG,27,FALSE),0)</f>
        <v>0</v>
      </c>
      <c r="CG71" s="381">
        <f>_xlfn.IFNA(VLOOKUP(A71,'Actuals Dep Summer'!B:O,6,FALSE)*$BN$3,0)</f>
        <v>2340</v>
      </c>
      <c r="CH71" s="381">
        <f>_xlfn.IFNA(VLOOKUP(A71,'Actuals Dep Summer'!B:O,7,FALSE)*$BN$3,0)</f>
        <v>780</v>
      </c>
      <c r="CI71" s="381">
        <f>_xlfn.IFNA(VLOOKUP(A71,'Actuals Dep Summer'!B:O,8,FALSE)*$BN$3,0)</f>
        <v>1365</v>
      </c>
      <c r="CJ71" s="381">
        <f>_xlfn.IFNA(VLOOKUP(A71,'Actuals Summer'!$A:$AG,31,FALSE),0)*$BN$3</f>
        <v>0</v>
      </c>
      <c r="CK71" s="381"/>
      <c r="CL71" s="381">
        <f>_xlfn.IFNA(VLOOKUP(A71,'Actuals Summer'!$A:$AG,32,FALSE),0)*$BN$3</f>
        <v>15210</v>
      </c>
      <c r="CM71" s="381">
        <f>_xlfn.IFNA(VLOOKUP(A71,'Actuals Summer'!$A:$AG,33,FALSE),0)</f>
        <v>0</v>
      </c>
      <c r="CP71" s="458">
        <f t="shared" si="46"/>
        <v>0</v>
      </c>
      <c r="CQ71" s="458">
        <f t="shared" si="47"/>
        <v>0</v>
      </c>
      <c r="CR71" s="458">
        <f t="shared" si="32"/>
        <v>0</v>
      </c>
      <c r="CS71" s="458">
        <f t="shared" si="48"/>
        <v>28696.2</v>
      </c>
      <c r="CT71" s="458">
        <f t="shared" si="49"/>
        <v>0</v>
      </c>
      <c r="CU71" s="458">
        <f t="shared" si="50"/>
        <v>1427.3999999999999</v>
      </c>
      <c r="CV71" s="458">
        <f t="shared" si="51"/>
        <v>226.2</v>
      </c>
      <c r="CW71" s="458">
        <f t="shared" si="52"/>
        <v>109.2</v>
      </c>
      <c r="CX71" s="458">
        <f t="shared" si="53"/>
        <v>1170</v>
      </c>
      <c r="CY71" s="458">
        <f t="shared" si="54"/>
        <v>0</v>
      </c>
      <c r="CZ71" s="458">
        <f t="shared" si="55"/>
        <v>0</v>
      </c>
      <c r="DA71" s="458">
        <f t="shared" si="56"/>
        <v>0</v>
      </c>
      <c r="DB71" s="458">
        <f t="shared" si="57"/>
        <v>31629.000000000004</v>
      </c>
      <c r="DC71" s="452">
        <f>_xlfn.XLOOKUP($A71,'Actuals Summer'!$A:$A,'Actuals Summer'!L:L,0,0)</f>
        <v>0</v>
      </c>
      <c r="DD71" s="452">
        <f>_xlfn.XLOOKUP($A71,'Actuals Summer'!$A:$A,'Actuals Summer'!K:K,0,0)+_xlfn.XLOOKUP($A71,'Actuals Summer'!$A:$A,'Actuals Summer'!Q:Q,0,0)</f>
        <v>0</v>
      </c>
      <c r="DE71" s="452">
        <f>_xlfn.XLOOKUP($A71,'Actuals Summer'!$A:$A,'Actuals Summer'!I:I,0,0)+_xlfn.XLOOKUP($A71,'Actuals Summer'!$A:$A,'Actuals Summer'!R:R,0,0)</f>
        <v>28696.2</v>
      </c>
      <c r="DF71" s="452">
        <f>_xlfn.XLOOKUP($A71,'Actuals Summer'!$A:$A,'Actuals Summer'!J:J,0,0)</f>
        <v>0</v>
      </c>
      <c r="DG71" s="452">
        <f>_xlfn.XLOOKUP($A71,'Actuals Dep Summer'!$B:$B,'Actuals Dep Summer'!G:G,0,0)*'Actuals Dep Summer'!$F$2*'Actuals Dep Summer'!$C$2</f>
        <v>1427.3999999999999</v>
      </c>
      <c r="DH71" s="452">
        <f>_xlfn.XLOOKUP($A71,'Actuals Dep Summer'!$B:$B,'Actuals Dep Summer'!H:H,0,0)*'Actuals Dep Summer'!$F$2*'Actuals Dep Summer'!$C$3</f>
        <v>226.2</v>
      </c>
      <c r="DI71" s="452">
        <f>_xlfn.XLOOKUP($A71,'Actuals Dep Summer'!$B:$B,'Actuals Dep Summer'!I:I,0,0)*'Actuals Dep Summer'!$F$2*'Actuals Dep Summer'!$C$4</f>
        <v>109.2</v>
      </c>
      <c r="DJ71" s="452">
        <f>_xlfn.XLOOKUP($A71,'Actuals Summer'!$A:$A,'Actuals Summer'!P:P,0,0)</f>
        <v>1170</v>
      </c>
      <c r="DK71" s="452">
        <f>_xlfn.XLOOKUP($A71,'Actuals Summer'!$A:$A,'Actuals Summer'!O:O,0,0)</f>
        <v>0</v>
      </c>
      <c r="DL71" s="452"/>
      <c r="DM71" s="452">
        <f>_xlfn.XLOOKUP($A71,'Actuals Summer'!$A:$A,'Actuals Summer'!M:M,0,0)</f>
        <v>0</v>
      </c>
      <c r="DN71" s="453">
        <f t="shared" si="33"/>
        <v>31629.000000000004</v>
      </c>
      <c r="DO71" s="453">
        <f>_xlfn.XLOOKUP(A71,'Actuals Summer'!A:A,'Actuals Summer'!S:S,0,0)-'Summer data team '!DN71</f>
        <v>0</v>
      </c>
      <c r="DP71" s="463">
        <f t="shared" si="34"/>
        <v>0</v>
      </c>
    </row>
    <row r="72" spans="1:120" ht="13" x14ac:dyDescent="0.3">
      <c r="A72" s="364">
        <v>2100</v>
      </c>
      <c r="B72" s="364">
        <v>3302100</v>
      </c>
      <c r="C72" s="364" t="s">
        <v>282</v>
      </c>
      <c r="D72" s="506">
        <v>0</v>
      </c>
      <c r="E72" s="506">
        <v>0</v>
      </c>
      <c r="F72" s="506">
        <v>0</v>
      </c>
      <c r="G72" s="506">
        <v>9</v>
      </c>
      <c r="H72" s="506">
        <v>16</v>
      </c>
      <c r="I72" s="507">
        <v>0</v>
      </c>
      <c r="J72" s="507">
        <v>25</v>
      </c>
      <c r="K72" s="506">
        <v>0</v>
      </c>
      <c r="L72" s="506">
        <v>0</v>
      </c>
      <c r="M72" s="507">
        <v>0</v>
      </c>
      <c r="N72" s="506">
        <v>0</v>
      </c>
      <c r="O72" s="506">
        <v>0</v>
      </c>
      <c r="P72" s="506">
        <v>135</v>
      </c>
      <c r="Q72" s="506">
        <v>240</v>
      </c>
      <c r="R72" s="507">
        <v>375</v>
      </c>
      <c r="S72" s="506">
        <v>0</v>
      </c>
      <c r="T72" s="506">
        <v>0</v>
      </c>
      <c r="U72" s="506">
        <v>0</v>
      </c>
      <c r="V72" s="506">
        <v>0</v>
      </c>
      <c r="W72" s="507">
        <v>0</v>
      </c>
      <c r="X72" s="506">
        <v>14</v>
      </c>
      <c r="Y72" s="506">
        <v>210</v>
      </c>
      <c r="Z72" s="508">
        <v>0</v>
      </c>
      <c r="AA72" s="506">
        <v>11</v>
      </c>
      <c r="AB72" s="506">
        <v>165</v>
      </c>
      <c r="AC72" s="508">
        <v>0</v>
      </c>
      <c r="AD72" s="506">
        <v>0</v>
      </c>
      <c r="AE72" s="506">
        <v>0</v>
      </c>
      <c r="AF72" s="508">
        <v>0</v>
      </c>
      <c r="AG72" s="509">
        <v>0</v>
      </c>
      <c r="AH72" s="509">
        <v>0</v>
      </c>
      <c r="AI72" s="508">
        <v>0</v>
      </c>
      <c r="AJ72" s="509">
        <v>14</v>
      </c>
      <c r="AK72" s="509">
        <v>210</v>
      </c>
      <c r="AL72" s="508">
        <v>0</v>
      </c>
      <c r="AM72" s="506">
        <v>14</v>
      </c>
      <c r="AN72" s="506">
        <v>210</v>
      </c>
      <c r="AO72" s="508">
        <v>0</v>
      </c>
      <c r="AP72" s="508"/>
      <c r="AQ72" s="508">
        <f t="shared" si="35"/>
        <v>14</v>
      </c>
      <c r="AR72" s="509">
        <v>0</v>
      </c>
      <c r="AS72" s="509">
        <v>0</v>
      </c>
      <c r="AT72" s="508">
        <v>0</v>
      </c>
      <c r="AU72" s="509">
        <v>14</v>
      </c>
      <c r="AV72" s="509">
        <v>210</v>
      </c>
      <c r="AW72" s="508">
        <v>0</v>
      </c>
      <c r="AX72" s="506">
        <v>14</v>
      </c>
      <c r="AY72" s="506">
        <v>210</v>
      </c>
      <c r="AZ72" s="508">
        <v>0</v>
      </c>
      <c r="BA72" s="508"/>
      <c r="BB72" s="508">
        <f t="shared" si="36"/>
        <v>28</v>
      </c>
      <c r="BC72" s="509">
        <v>0</v>
      </c>
      <c r="BD72" s="509">
        <v>0</v>
      </c>
      <c r="BE72" s="506">
        <v>0</v>
      </c>
      <c r="BF72" s="200"/>
      <c r="BG72" s="200"/>
      <c r="BH72" s="200"/>
      <c r="BI72" s="200"/>
      <c r="BJ72" s="200"/>
      <c r="BK72" s="200"/>
      <c r="BL72" s="200"/>
      <c r="BM72" s="505">
        <f t="shared" si="37"/>
        <v>0</v>
      </c>
      <c r="BN72" s="200">
        <f t="shared" si="38"/>
        <v>0</v>
      </c>
      <c r="BO72" s="200">
        <f t="shared" si="31"/>
        <v>0</v>
      </c>
      <c r="BP72" s="200">
        <f t="shared" si="39"/>
        <v>4875</v>
      </c>
      <c r="BQ72" s="200">
        <f t="shared" si="40"/>
        <v>0</v>
      </c>
      <c r="BR72" s="200">
        <f t="shared" si="41"/>
        <v>2730</v>
      </c>
      <c r="BS72" s="200">
        <f t="shared" si="42"/>
        <v>2145</v>
      </c>
      <c r="BT72" s="200">
        <f t="shared" si="43"/>
        <v>0</v>
      </c>
      <c r="BU72" s="200">
        <f t="shared" si="44"/>
        <v>2730</v>
      </c>
      <c r="BV72" s="200">
        <v>14</v>
      </c>
      <c r="BW72" s="200">
        <v>0</v>
      </c>
      <c r="BX72" s="200">
        <f t="shared" si="45"/>
        <v>0</v>
      </c>
      <c r="CB72" s="381">
        <f>_xlfn.IFNA(VLOOKUP(A72,'Actuals Summer'!$A:$AG,23,FALSE),0)</f>
        <v>4875</v>
      </c>
      <c r="CC72" s="381">
        <f>_xlfn.IFNA(VLOOKUP(A72,'Actuals Summer'!$A:$AG,24,FALSE),0)</f>
        <v>0</v>
      </c>
      <c r="CD72" s="381">
        <f>_xlfn.IFNA(VLOOKUP(A72,'Actuals Summer'!$A:$AG,25,FALSE),0)</f>
        <v>0</v>
      </c>
      <c r="CE72" s="381">
        <f>_xlfn.IFNA(VLOOKUP(A72,'Actuals Summer'!$A:$AG,26,FALSE),0)</f>
        <v>0</v>
      </c>
      <c r="CF72" s="381">
        <f>_xlfn.IFNA(VLOOKUP(A72,'Actuals Summer'!$A:$AG,27,FALSE),0)</f>
        <v>0</v>
      </c>
      <c r="CG72" s="381">
        <f>_xlfn.IFNA(VLOOKUP(A72,'Actuals Dep Summer'!B:O,6,FALSE)*$BN$3,0)</f>
        <v>2730</v>
      </c>
      <c r="CH72" s="381">
        <f>_xlfn.IFNA(VLOOKUP(A72,'Actuals Dep Summer'!B:O,7,FALSE)*$BN$3,0)</f>
        <v>2145</v>
      </c>
      <c r="CI72" s="381">
        <f>_xlfn.IFNA(VLOOKUP(A72,'Actuals Dep Summer'!B:O,8,FALSE)*$BN$3,0)</f>
        <v>0</v>
      </c>
      <c r="CJ72" s="381">
        <f>_xlfn.IFNA(VLOOKUP(A72,'Actuals Summer'!$A:$AG,31,FALSE),0)*$BN$3</f>
        <v>181.89987163029525</v>
      </c>
      <c r="CK72" s="381"/>
      <c r="CL72" s="381">
        <f>_xlfn.IFNA(VLOOKUP(A72,'Actuals Summer'!$A:$AG,32,FALSE),0)*$BN$3</f>
        <v>35490</v>
      </c>
      <c r="CM72" s="381">
        <f>_xlfn.IFNA(VLOOKUP(A72,'Actuals Summer'!$A:$AG,33,FALSE),0)</f>
        <v>0</v>
      </c>
      <c r="CP72" s="458">
        <f t="shared" si="46"/>
        <v>0</v>
      </c>
      <c r="CQ72" s="458">
        <f t="shared" si="47"/>
        <v>0</v>
      </c>
      <c r="CR72" s="458">
        <f t="shared" si="32"/>
        <v>0</v>
      </c>
      <c r="CS72" s="458">
        <f t="shared" si="48"/>
        <v>27592.5</v>
      </c>
      <c r="CT72" s="458">
        <f t="shared" si="49"/>
        <v>0</v>
      </c>
      <c r="CU72" s="458">
        <f t="shared" si="50"/>
        <v>1665.3</v>
      </c>
      <c r="CV72" s="458">
        <f t="shared" si="51"/>
        <v>622.04999999999995</v>
      </c>
      <c r="CW72" s="458">
        <f t="shared" si="52"/>
        <v>0</v>
      </c>
      <c r="CX72" s="458">
        <f t="shared" si="53"/>
        <v>2730</v>
      </c>
      <c r="CY72" s="458">
        <f t="shared" si="54"/>
        <v>1044.1052631578946</v>
      </c>
      <c r="CZ72" s="458">
        <f t="shared" si="55"/>
        <v>0</v>
      </c>
      <c r="DA72" s="458">
        <f t="shared" si="56"/>
        <v>0</v>
      </c>
      <c r="DB72" s="458">
        <f t="shared" si="57"/>
        <v>33653.955263157892</v>
      </c>
      <c r="DC72" s="452">
        <f>_xlfn.XLOOKUP($A72,'Actuals Summer'!$A:$A,'Actuals Summer'!L:L,0,0)</f>
        <v>0</v>
      </c>
      <c r="DD72" s="452">
        <f>_xlfn.XLOOKUP($A72,'Actuals Summer'!$A:$A,'Actuals Summer'!K:K,0,0)+_xlfn.XLOOKUP($A72,'Actuals Summer'!$A:$A,'Actuals Summer'!Q:Q,0,0)</f>
        <v>0</v>
      </c>
      <c r="DE72" s="452">
        <f>_xlfn.XLOOKUP($A72,'Actuals Summer'!$A:$A,'Actuals Summer'!I:I,0,0)+_xlfn.XLOOKUP($A72,'Actuals Summer'!$A:$A,'Actuals Summer'!R:R,0,0)</f>
        <v>27592.5</v>
      </c>
      <c r="DF72" s="452">
        <f>_xlfn.XLOOKUP($A72,'Actuals Summer'!$A:$A,'Actuals Summer'!J:J,0,0)</f>
        <v>0</v>
      </c>
      <c r="DG72" s="452">
        <f>_xlfn.XLOOKUP($A72,'Actuals Dep Summer'!$B:$B,'Actuals Dep Summer'!G:G,0,0)*'Actuals Dep Summer'!$F$2*'Actuals Dep Summer'!$C$2</f>
        <v>1665.3</v>
      </c>
      <c r="DH72" s="452">
        <f>_xlfn.XLOOKUP($A72,'Actuals Dep Summer'!$B:$B,'Actuals Dep Summer'!H:H,0,0)*'Actuals Dep Summer'!$F$2*'Actuals Dep Summer'!$C$3</f>
        <v>622.04999999999995</v>
      </c>
      <c r="DI72" s="452">
        <f>_xlfn.XLOOKUP($A72,'Actuals Dep Summer'!$B:$B,'Actuals Dep Summer'!I:I,0,0)*'Actuals Dep Summer'!$F$2*'Actuals Dep Summer'!$C$4</f>
        <v>0</v>
      </c>
      <c r="DJ72" s="452">
        <f>_xlfn.XLOOKUP($A72,'Actuals Summer'!$A:$A,'Actuals Summer'!P:P,0,0)</f>
        <v>2730</v>
      </c>
      <c r="DK72" s="452">
        <f>_xlfn.XLOOKUP($A72,'Actuals Summer'!$A:$A,'Actuals Summer'!O:O,0,0)</f>
        <v>1044.1052631578948</v>
      </c>
      <c r="DL72" s="452"/>
      <c r="DM72" s="452">
        <f>_xlfn.XLOOKUP($A72,'Actuals Summer'!$A:$A,'Actuals Summer'!M:M,0,0)</f>
        <v>0</v>
      </c>
      <c r="DN72" s="453">
        <f t="shared" si="33"/>
        <v>33653.955263157892</v>
      </c>
      <c r="DO72" s="453">
        <f>_xlfn.XLOOKUP(A72,'Actuals Summer'!A:A,'Actuals Summer'!S:S,0,0)-'Summer data team '!DN72</f>
        <v>0</v>
      </c>
      <c r="DP72" s="463">
        <f t="shared" si="34"/>
        <v>0</v>
      </c>
    </row>
    <row r="73" spans="1:120" ht="13" x14ac:dyDescent="0.3">
      <c r="A73" s="364">
        <v>2102</v>
      </c>
      <c r="B73" s="364">
        <v>3302102</v>
      </c>
      <c r="C73" s="364" t="s">
        <v>283</v>
      </c>
      <c r="D73" s="506">
        <v>0</v>
      </c>
      <c r="E73" s="506">
        <v>0</v>
      </c>
      <c r="F73" s="506">
        <v>0</v>
      </c>
      <c r="G73" s="506">
        <v>21</v>
      </c>
      <c r="H73" s="506">
        <v>27</v>
      </c>
      <c r="I73" s="507">
        <v>0</v>
      </c>
      <c r="J73" s="507">
        <v>48</v>
      </c>
      <c r="K73" s="506">
        <v>10</v>
      </c>
      <c r="L73" s="506">
        <v>7</v>
      </c>
      <c r="M73" s="507">
        <v>17</v>
      </c>
      <c r="N73" s="506">
        <v>0</v>
      </c>
      <c r="O73" s="506">
        <v>0</v>
      </c>
      <c r="P73" s="506">
        <v>315</v>
      </c>
      <c r="Q73" s="506">
        <v>405</v>
      </c>
      <c r="R73" s="507">
        <v>720</v>
      </c>
      <c r="S73" s="506">
        <v>0</v>
      </c>
      <c r="T73" s="506">
        <v>0</v>
      </c>
      <c r="U73" s="506">
        <v>150</v>
      </c>
      <c r="V73" s="506">
        <v>105</v>
      </c>
      <c r="W73" s="507">
        <v>255</v>
      </c>
      <c r="X73" s="506">
        <v>27</v>
      </c>
      <c r="Y73" s="506">
        <v>405</v>
      </c>
      <c r="Z73" s="508">
        <v>150</v>
      </c>
      <c r="AA73" s="506">
        <v>11</v>
      </c>
      <c r="AB73" s="506">
        <v>165</v>
      </c>
      <c r="AC73" s="508">
        <v>75</v>
      </c>
      <c r="AD73" s="506">
        <v>4</v>
      </c>
      <c r="AE73" s="506">
        <v>60</v>
      </c>
      <c r="AF73" s="508">
        <v>0</v>
      </c>
      <c r="AG73" s="509">
        <v>0</v>
      </c>
      <c r="AH73" s="509">
        <v>0</v>
      </c>
      <c r="AI73" s="508">
        <v>0</v>
      </c>
      <c r="AJ73" s="509">
        <v>24</v>
      </c>
      <c r="AK73" s="509">
        <v>360</v>
      </c>
      <c r="AL73" s="508">
        <v>45</v>
      </c>
      <c r="AM73" s="506">
        <v>24</v>
      </c>
      <c r="AN73" s="506">
        <v>360</v>
      </c>
      <c r="AO73" s="508">
        <v>45</v>
      </c>
      <c r="AP73" s="508"/>
      <c r="AQ73" s="508">
        <f t="shared" si="35"/>
        <v>24</v>
      </c>
      <c r="AR73" s="509">
        <v>0</v>
      </c>
      <c r="AS73" s="509">
        <v>0</v>
      </c>
      <c r="AT73" s="508">
        <v>0</v>
      </c>
      <c r="AU73" s="509">
        <v>24</v>
      </c>
      <c r="AV73" s="509">
        <v>360</v>
      </c>
      <c r="AW73" s="508">
        <v>45</v>
      </c>
      <c r="AX73" s="506">
        <v>24</v>
      </c>
      <c r="AY73" s="506">
        <v>360</v>
      </c>
      <c r="AZ73" s="508">
        <v>45</v>
      </c>
      <c r="BA73" s="508"/>
      <c r="BB73" s="508">
        <f t="shared" si="36"/>
        <v>48</v>
      </c>
      <c r="BC73" s="509">
        <v>0</v>
      </c>
      <c r="BD73" s="509">
        <v>0</v>
      </c>
      <c r="BE73" s="506">
        <v>0</v>
      </c>
      <c r="BF73" s="200"/>
      <c r="BG73" s="200"/>
      <c r="BH73" s="200"/>
      <c r="BI73" s="200"/>
      <c r="BJ73" s="200"/>
      <c r="BK73" s="200"/>
      <c r="BL73" s="200"/>
      <c r="BM73" s="505">
        <f t="shared" si="37"/>
        <v>0</v>
      </c>
      <c r="BN73" s="200">
        <f t="shared" si="38"/>
        <v>0</v>
      </c>
      <c r="BO73" s="200">
        <f t="shared" si="31"/>
        <v>0</v>
      </c>
      <c r="BP73" s="200">
        <f t="shared" si="39"/>
        <v>9360</v>
      </c>
      <c r="BQ73" s="200">
        <f t="shared" si="40"/>
        <v>3315</v>
      </c>
      <c r="BR73" s="200">
        <f t="shared" si="41"/>
        <v>7215</v>
      </c>
      <c r="BS73" s="200">
        <f t="shared" si="42"/>
        <v>3120</v>
      </c>
      <c r="BT73" s="200">
        <f t="shared" si="43"/>
        <v>780</v>
      </c>
      <c r="BU73" s="200">
        <f t="shared" si="44"/>
        <v>4680</v>
      </c>
      <c r="BV73" s="200">
        <v>21</v>
      </c>
      <c r="BW73" s="200">
        <v>3</v>
      </c>
      <c r="BX73" s="200">
        <f t="shared" si="45"/>
        <v>0</v>
      </c>
      <c r="CB73" s="381">
        <f>_xlfn.IFNA(VLOOKUP(A73,'Actuals Summer'!$A:$AG,23,FALSE),0)</f>
        <v>9360</v>
      </c>
      <c r="CC73" s="381">
        <f>_xlfn.IFNA(VLOOKUP(A73,'Actuals Summer'!$A:$AG,24,FALSE),0)</f>
        <v>3315</v>
      </c>
      <c r="CD73" s="381">
        <f>_xlfn.IFNA(VLOOKUP(A73,'Actuals Summer'!$A:$AG,25,FALSE),0)</f>
        <v>0</v>
      </c>
      <c r="CE73" s="381">
        <f>_xlfn.IFNA(VLOOKUP(A73,'Actuals Summer'!$A:$AG,26,FALSE),0)</f>
        <v>0</v>
      </c>
      <c r="CF73" s="381">
        <f>_xlfn.IFNA(VLOOKUP(A73,'Actuals Summer'!$A:$AG,27,FALSE),0)</f>
        <v>0</v>
      </c>
      <c r="CG73" s="381">
        <f>_xlfn.IFNA(VLOOKUP(A73,'Actuals Dep Summer'!B:O,6,FALSE)*$BN$3,0)</f>
        <v>5265</v>
      </c>
      <c r="CH73" s="381">
        <f>_xlfn.IFNA(VLOOKUP(A73,'Actuals Dep Summer'!B:O,7,FALSE)*$BN$3,0)</f>
        <v>2145</v>
      </c>
      <c r="CI73" s="381">
        <f>_xlfn.IFNA(VLOOKUP(A73,'Actuals Dep Summer'!B:O,8,FALSE)*$BN$3,0)</f>
        <v>780</v>
      </c>
      <c r="CJ73" s="381">
        <f>_xlfn.IFNA(VLOOKUP(A73,'Actuals Summer'!$A:$AG,31,FALSE),0)*$BN$3</f>
        <v>311.82835136622049</v>
      </c>
      <c r="CK73" s="381"/>
      <c r="CL73" s="381">
        <f>_xlfn.IFNA(VLOOKUP(A73,'Actuals Summer'!$A:$AG,32,FALSE),0)*$BN$3</f>
        <v>60840</v>
      </c>
      <c r="CM73" s="381">
        <f>_xlfn.IFNA(VLOOKUP(A73,'Actuals Summer'!$A:$AG,33,FALSE),0)</f>
        <v>0</v>
      </c>
      <c r="CP73" s="458">
        <f t="shared" si="46"/>
        <v>0</v>
      </c>
      <c r="CQ73" s="458">
        <f t="shared" si="47"/>
        <v>0</v>
      </c>
      <c r="CR73" s="458">
        <f t="shared" si="32"/>
        <v>0</v>
      </c>
      <c r="CS73" s="458">
        <f t="shared" si="48"/>
        <v>52977.599999999999</v>
      </c>
      <c r="CT73" s="458">
        <f t="shared" si="49"/>
        <v>18762.900000000001</v>
      </c>
      <c r="CU73" s="458">
        <f t="shared" si="50"/>
        <v>4401.1499999999996</v>
      </c>
      <c r="CV73" s="458">
        <f t="shared" si="51"/>
        <v>904.8</v>
      </c>
      <c r="CW73" s="458">
        <f t="shared" si="52"/>
        <v>62.4</v>
      </c>
      <c r="CX73" s="458">
        <f t="shared" si="53"/>
        <v>4680</v>
      </c>
      <c r="CY73" s="458">
        <f t="shared" si="54"/>
        <v>1566.1578947368419</v>
      </c>
      <c r="CZ73" s="458">
        <f t="shared" si="55"/>
        <v>559.34210526315792</v>
      </c>
      <c r="DA73" s="458">
        <f t="shared" si="56"/>
        <v>0</v>
      </c>
      <c r="DB73" s="458">
        <f t="shared" si="57"/>
        <v>83914.349999999991</v>
      </c>
      <c r="DC73" s="452">
        <f>_xlfn.XLOOKUP($A73,'Actuals Summer'!$A:$A,'Actuals Summer'!L:L,0,0)</f>
        <v>0</v>
      </c>
      <c r="DD73" s="452">
        <f>_xlfn.XLOOKUP($A73,'Actuals Summer'!$A:$A,'Actuals Summer'!K:K,0,0)+_xlfn.XLOOKUP($A73,'Actuals Summer'!$A:$A,'Actuals Summer'!Q:Q,0,0)</f>
        <v>0</v>
      </c>
      <c r="DE73" s="452">
        <f>_xlfn.XLOOKUP($A73,'Actuals Summer'!$A:$A,'Actuals Summer'!I:I,0,0)+_xlfn.XLOOKUP($A73,'Actuals Summer'!$A:$A,'Actuals Summer'!R:R,0,0)</f>
        <v>52977.599999999999</v>
      </c>
      <c r="DF73" s="452">
        <f>_xlfn.XLOOKUP($A73,'Actuals Summer'!$A:$A,'Actuals Summer'!J:J,0,0)</f>
        <v>18762.900000000001</v>
      </c>
      <c r="DG73" s="452">
        <f>_xlfn.XLOOKUP($A73,'Actuals Dep Summer'!$B:$B,'Actuals Dep Summer'!G:G,0,0)*'Actuals Dep Summer'!$F$2*'Actuals Dep Summer'!$C$2</f>
        <v>3211.65</v>
      </c>
      <c r="DH73" s="452">
        <f>_xlfn.XLOOKUP($A73,'Actuals Dep Summer'!$B:$B,'Actuals Dep Summer'!H:H,0,0)*'Actuals Dep Summer'!$F$2*'Actuals Dep Summer'!$C$3</f>
        <v>622.04999999999995</v>
      </c>
      <c r="DI73" s="452">
        <f>_xlfn.XLOOKUP($A73,'Actuals Dep Summer'!$B:$B,'Actuals Dep Summer'!I:I,0,0)*'Actuals Dep Summer'!$F$2*'Actuals Dep Summer'!$C$4</f>
        <v>62.4</v>
      </c>
      <c r="DJ73" s="452">
        <f>_xlfn.XLOOKUP($A73,'Actuals Summer'!$A:$A,'Actuals Summer'!P:P,0,0)</f>
        <v>4680</v>
      </c>
      <c r="DK73" s="452">
        <f>_xlfn.XLOOKUP($A73,'Actuals Summer'!$A:$A,'Actuals Summer'!O:O,0,0)</f>
        <v>1789.8947368421054</v>
      </c>
      <c r="DL73" s="452"/>
      <c r="DM73" s="452">
        <f>_xlfn.XLOOKUP($A73,'Actuals Summer'!$A:$A,'Actuals Summer'!M:M,0,0)</f>
        <v>0</v>
      </c>
      <c r="DN73" s="453">
        <f t="shared" si="33"/>
        <v>82106.494736842098</v>
      </c>
      <c r="DO73" s="453">
        <f>_xlfn.XLOOKUP(A73,'Actuals Summer'!A:A,'Actuals Summer'!S:S,0,0)-'Summer data team '!DN73</f>
        <v>0</v>
      </c>
      <c r="DP73" s="463">
        <f t="shared" si="34"/>
        <v>1807.8552631578932</v>
      </c>
    </row>
    <row r="74" spans="1:120" ht="13" x14ac:dyDescent="0.3">
      <c r="A74" s="364">
        <v>2103</v>
      </c>
      <c r="B74" s="364">
        <v>3302103</v>
      </c>
      <c r="C74" s="364" t="s">
        <v>284</v>
      </c>
      <c r="D74" s="506">
        <v>0</v>
      </c>
      <c r="E74" s="506">
        <v>0</v>
      </c>
      <c r="F74" s="506">
        <v>0</v>
      </c>
      <c r="G74" s="506">
        <v>21</v>
      </c>
      <c r="H74" s="506">
        <v>28</v>
      </c>
      <c r="I74" s="507">
        <v>0</v>
      </c>
      <c r="J74" s="507">
        <v>49</v>
      </c>
      <c r="K74" s="506">
        <v>3</v>
      </c>
      <c r="L74" s="506">
        <v>9</v>
      </c>
      <c r="M74" s="507">
        <v>12</v>
      </c>
      <c r="N74" s="506">
        <v>0</v>
      </c>
      <c r="O74" s="506">
        <v>0</v>
      </c>
      <c r="P74" s="506">
        <v>315</v>
      </c>
      <c r="Q74" s="506">
        <v>420</v>
      </c>
      <c r="R74" s="507">
        <v>735</v>
      </c>
      <c r="S74" s="506">
        <v>0</v>
      </c>
      <c r="T74" s="506">
        <v>0</v>
      </c>
      <c r="U74" s="506">
        <v>45</v>
      </c>
      <c r="V74" s="506">
        <v>135</v>
      </c>
      <c r="W74" s="507">
        <v>180</v>
      </c>
      <c r="X74" s="506">
        <v>6</v>
      </c>
      <c r="Y74" s="506">
        <v>90</v>
      </c>
      <c r="Z74" s="508">
        <v>30</v>
      </c>
      <c r="AA74" s="506">
        <v>11</v>
      </c>
      <c r="AB74" s="506">
        <v>165</v>
      </c>
      <c r="AC74" s="508">
        <v>30</v>
      </c>
      <c r="AD74" s="506">
        <v>16</v>
      </c>
      <c r="AE74" s="506">
        <v>240</v>
      </c>
      <c r="AF74" s="508">
        <v>45</v>
      </c>
      <c r="AG74" s="509">
        <v>0</v>
      </c>
      <c r="AH74" s="509">
        <v>0</v>
      </c>
      <c r="AI74" s="508">
        <v>0</v>
      </c>
      <c r="AJ74" s="509">
        <v>2</v>
      </c>
      <c r="AK74" s="509">
        <v>30</v>
      </c>
      <c r="AL74" s="508">
        <v>15</v>
      </c>
      <c r="AM74" s="506">
        <v>2</v>
      </c>
      <c r="AN74" s="506">
        <v>30</v>
      </c>
      <c r="AO74" s="508">
        <v>15</v>
      </c>
      <c r="AP74" s="508"/>
      <c r="AQ74" s="508">
        <f t="shared" si="35"/>
        <v>2</v>
      </c>
      <c r="AR74" s="509">
        <v>0</v>
      </c>
      <c r="AS74" s="509">
        <v>0</v>
      </c>
      <c r="AT74" s="508">
        <v>0</v>
      </c>
      <c r="AU74" s="509">
        <v>2</v>
      </c>
      <c r="AV74" s="509">
        <v>30</v>
      </c>
      <c r="AW74" s="508">
        <v>15</v>
      </c>
      <c r="AX74" s="506">
        <v>2</v>
      </c>
      <c r="AY74" s="506">
        <v>30</v>
      </c>
      <c r="AZ74" s="508">
        <v>15</v>
      </c>
      <c r="BA74" s="508"/>
      <c r="BB74" s="508">
        <f t="shared" si="36"/>
        <v>4</v>
      </c>
      <c r="BC74" s="509">
        <v>0</v>
      </c>
      <c r="BD74" s="509">
        <v>0</v>
      </c>
      <c r="BE74" s="506">
        <v>0</v>
      </c>
      <c r="BF74" s="200"/>
      <c r="BG74" s="200"/>
      <c r="BH74" s="200"/>
      <c r="BI74" s="200"/>
      <c r="BJ74" s="200"/>
      <c r="BK74" s="200"/>
      <c r="BL74" s="200"/>
      <c r="BM74" s="505">
        <f t="shared" si="37"/>
        <v>0</v>
      </c>
      <c r="BN74" s="200">
        <f t="shared" si="38"/>
        <v>0</v>
      </c>
      <c r="BO74" s="200">
        <f t="shared" si="31"/>
        <v>0</v>
      </c>
      <c r="BP74" s="200">
        <f t="shared" si="39"/>
        <v>9555</v>
      </c>
      <c r="BQ74" s="200">
        <f t="shared" si="40"/>
        <v>2340</v>
      </c>
      <c r="BR74" s="200">
        <f t="shared" si="41"/>
        <v>1560</v>
      </c>
      <c r="BS74" s="200">
        <f t="shared" si="42"/>
        <v>2535</v>
      </c>
      <c r="BT74" s="200">
        <f t="shared" si="43"/>
        <v>3705</v>
      </c>
      <c r="BU74" s="200">
        <f t="shared" si="44"/>
        <v>390</v>
      </c>
      <c r="BV74" s="200">
        <v>1</v>
      </c>
      <c r="BW74" s="200">
        <v>1</v>
      </c>
      <c r="BX74" s="200">
        <f t="shared" si="45"/>
        <v>0</v>
      </c>
      <c r="CB74" s="381">
        <f>_xlfn.IFNA(VLOOKUP(A74,'Actuals Summer'!$A:$AG,23,FALSE),0)</f>
        <v>9555</v>
      </c>
      <c r="CC74" s="381">
        <f>_xlfn.IFNA(VLOOKUP(A74,'Actuals Summer'!$A:$AG,24,FALSE),0)</f>
        <v>2340</v>
      </c>
      <c r="CD74" s="381">
        <f>_xlfn.IFNA(VLOOKUP(A74,'Actuals Summer'!$A:$AG,25,FALSE),0)</f>
        <v>0</v>
      </c>
      <c r="CE74" s="381">
        <f>_xlfn.IFNA(VLOOKUP(A74,'Actuals Summer'!$A:$AG,26,FALSE),0)</f>
        <v>0</v>
      </c>
      <c r="CF74" s="381">
        <f>_xlfn.IFNA(VLOOKUP(A74,'Actuals Summer'!$A:$AG,27,FALSE),0)</f>
        <v>0</v>
      </c>
      <c r="CG74" s="381">
        <f>_xlfn.IFNA(VLOOKUP(A74,'Actuals Dep Summer'!B:O,6,FALSE)*$BN$3,0)</f>
        <v>1170</v>
      </c>
      <c r="CH74" s="381">
        <f>_xlfn.IFNA(VLOOKUP(A74,'Actuals Dep Summer'!B:O,7,FALSE)*$BN$3,0)</f>
        <v>2145</v>
      </c>
      <c r="CI74" s="381">
        <f>_xlfn.IFNA(VLOOKUP(A74,'Actuals Dep Summer'!B:O,8,FALSE)*$BN$3,0)</f>
        <v>3120</v>
      </c>
      <c r="CJ74" s="381">
        <f>_xlfn.IFNA(VLOOKUP(A74,'Actuals Summer'!$A:$AG,31,FALSE),0)*$BN$3</f>
        <v>25.985695947185036</v>
      </c>
      <c r="CK74" s="381"/>
      <c r="CL74" s="381">
        <f>_xlfn.IFNA(VLOOKUP(A74,'Actuals Summer'!$A:$AG,32,FALSE),0)*$BN$3</f>
        <v>5070</v>
      </c>
      <c r="CM74" s="381">
        <f>_xlfn.IFNA(VLOOKUP(A74,'Actuals Summer'!$A:$AG,33,FALSE),0)</f>
        <v>0</v>
      </c>
      <c r="CP74" s="458">
        <f t="shared" si="46"/>
        <v>0</v>
      </c>
      <c r="CQ74" s="458">
        <f t="shared" si="47"/>
        <v>0</v>
      </c>
      <c r="CR74" s="458">
        <f t="shared" si="32"/>
        <v>0</v>
      </c>
      <c r="CS74" s="458">
        <f t="shared" si="48"/>
        <v>54081.3</v>
      </c>
      <c r="CT74" s="458">
        <f t="shared" si="49"/>
        <v>13244.4</v>
      </c>
      <c r="CU74" s="458">
        <f t="shared" si="50"/>
        <v>951.6</v>
      </c>
      <c r="CV74" s="458">
        <f t="shared" si="51"/>
        <v>735.15</v>
      </c>
      <c r="CW74" s="458">
        <f t="shared" si="52"/>
        <v>296.40000000000003</v>
      </c>
      <c r="CX74" s="458">
        <f t="shared" si="53"/>
        <v>390</v>
      </c>
      <c r="CY74" s="458">
        <f t="shared" si="54"/>
        <v>74.578947368421041</v>
      </c>
      <c r="CZ74" s="458">
        <f t="shared" si="55"/>
        <v>186.44736842105263</v>
      </c>
      <c r="DA74" s="458">
        <f t="shared" si="56"/>
        <v>0</v>
      </c>
      <c r="DB74" s="458">
        <f t="shared" si="57"/>
        <v>69959.876315789472</v>
      </c>
      <c r="DC74" s="452">
        <f>_xlfn.XLOOKUP($A74,'Actuals Summer'!$A:$A,'Actuals Summer'!L:L,0,0)</f>
        <v>0</v>
      </c>
      <c r="DD74" s="452">
        <f>_xlfn.XLOOKUP($A74,'Actuals Summer'!$A:$A,'Actuals Summer'!K:K,0,0)+_xlfn.XLOOKUP($A74,'Actuals Summer'!$A:$A,'Actuals Summer'!Q:Q,0,0)</f>
        <v>0</v>
      </c>
      <c r="DE74" s="452">
        <f>_xlfn.XLOOKUP($A74,'Actuals Summer'!$A:$A,'Actuals Summer'!I:I,0,0)+_xlfn.XLOOKUP($A74,'Actuals Summer'!$A:$A,'Actuals Summer'!R:R,0,0)</f>
        <v>54081.3</v>
      </c>
      <c r="DF74" s="452">
        <f>_xlfn.XLOOKUP($A74,'Actuals Summer'!$A:$A,'Actuals Summer'!J:J,0,0)</f>
        <v>13244.4</v>
      </c>
      <c r="DG74" s="452">
        <f>_xlfn.XLOOKUP($A74,'Actuals Dep Summer'!$B:$B,'Actuals Dep Summer'!G:G,0,0)*'Actuals Dep Summer'!$F$2*'Actuals Dep Summer'!$C$2</f>
        <v>713.69999999999993</v>
      </c>
      <c r="DH74" s="452">
        <f>_xlfn.XLOOKUP($A74,'Actuals Dep Summer'!$B:$B,'Actuals Dep Summer'!H:H,0,0)*'Actuals Dep Summer'!$F$2*'Actuals Dep Summer'!$C$3</f>
        <v>622.04999999999995</v>
      </c>
      <c r="DI74" s="452">
        <f>_xlfn.XLOOKUP($A74,'Actuals Dep Summer'!$B:$B,'Actuals Dep Summer'!I:I,0,0)*'Actuals Dep Summer'!$F$2*'Actuals Dep Summer'!$C$4</f>
        <v>249.6</v>
      </c>
      <c r="DJ74" s="452">
        <f>_xlfn.XLOOKUP($A74,'Actuals Summer'!$A:$A,'Actuals Summer'!P:P,0,0)</f>
        <v>390</v>
      </c>
      <c r="DK74" s="452">
        <f>_xlfn.XLOOKUP($A74,'Actuals Summer'!$A:$A,'Actuals Summer'!O:O,0,0)</f>
        <v>149.15789473684211</v>
      </c>
      <c r="DL74" s="452"/>
      <c r="DM74" s="452">
        <f>_xlfn.XLOOKUP($A74,'Actuals Summer'!$A:$A,'Actuals Summer'!M:M,0,0)</f>
        <v>0</v>
      </c>
      <c r="DN74" s="453">
        <f t="shared" si="33"/>
        <v>69450.207894736843</v>
      </c>
      <c r="DO74" s="453">
        <f>_xlfn.XLOOKUP(A74,'Actuals Summer'!A:A,'Actuals Summer'!S:S,0,0)-'Summer data team '!DN74</f>
        <v>0</v>
      </c>
      <c r="DP74" s="463">
        <f t="shared" si="34"/>
        <v>509.66842105262913</v>
      </c>
    </row>
    <row r="75" spans="1:120" ht="13" x14ac:dyDescent="0.3">
      <c r="A75" s="364">
        <v>2108</v>
      </c>
      <c r="B75" s="364">
        <v>3302108</v>
      </c>
      <c r="C75" s="364" t="s">
        <v>161</v>
      </c>
      <c r="D75" s="506">
        <v>0</v>
      </c>
      <c r="E75" s="506">
        <v>0</v>
      </c>
      <c r="F75" s="506">
        <v>0</v>
      </c>
      <c r="G75" s="506">
        <v>21</v>
      </c>
      <c r="H75" s="506">
        <v>24</v>
      </c>
      <c r="I75" s="507">
        <v>0</v>
      </c>
      <c r="J75" s="507">
        <v>45</v>
      </c>
      <c r="K75" s="506">
        <v>0</v>
      </c>
      <c r="L75" s="506">
        <v>0</v>
      </c>
      <c r="M75" s="507">
        <v>0</v>
      </c>
      <c r="N75" s="506">
        <v>0</v>
      </c>
      <c r="O75" s="506">
        <v>0</v>
      </c>
      <c r="P75" s="506">
        <v>315</v>
      </c>
      <c r="Q75" s="506">
        <v>360</v>
      </c>
      <c r="R75" s="507">
        <v>675</v>
      </c>
      <c r="S75" s="506">
        <v>0</v>
      </c>
      <c r="T75" s="506">
        <v>0</v>
      </c>
      <c r="U75" s="506">
        <v>0</v>
      </c>
      <c r="V75" s="506">
        <v>0</v>
      </c>
      <c r="W75" s="507">
        <v>0</v>
      </c>
      <c r="X75" s="506">
        <v>0</v>
      </c>
      <c r="Y75" s="506">
        <v>0</v>
      </c>
      <c r="Z75" s="508">
        <v>0</v>
      </c>
      <c r="AA75" s="506">
        <v>29</v>
      </c>
      <c r="AB75" s="506">
        <v>435</v>
      </c>
      <c r="AC75" s="508">
        <v>0</v>
      </c>
      <c r="AD75" s="506">
        <v>11</v>
      </c>
      <c r="AE75" s="506">
        <v>165</v>
      </c>
      <c r="AF75" s="508">
        <v>0</v>
      </c>
      <c r="AG75" s="509">
        <v>0</v>
      </c>
      <c r="AH75" s="509">
        <v>0</v>
      </c>
      <c r="AI75" s="508">
        <v>0</v>
      </c>
      <c r="AJ75" s="509">
        <v>1</v>
      </c>
      <c r="AK75" s="509">
        <v>15</v>
      </c>
      <c r="AL75" s="508">
        <v>0</v>
      </c>
      <c r="AM75" s="506">
        <v>1</v>
      </c>
      <c r="AN75" s="506">
        <v>15</v>
      </c>
      <c r="AO75" s="508">
        <v>0</v>
      </c>
      <c r="AP75" s="508"/>
      <c r="AQ75" s="508">
        <f t="shared" si="35"/>
        <v>1</v>
      </c>
      <c r="AR75" s="509">
        <v>0</v>
      </c>
      <c r="AS75" s="509">
        <v>0</v>
      </c>
      <c r="AT75" s="508">
        <v>0</v>
      </c>
      <c r="AU75" s="509">
        <v>0</v>
      </c>
      <c r="AV75" s="509">
        <v>0</v>
      </c>
      <c r="AW75" s="508">
        <v>0</v>
      </c>
      <c r="AX75" s="506">
        <v>0</v>
      </c>
      <c r="AY75" s="506">
        <v>0</v>
      </c>
      <c r="AZ75" s="508">
        <v>0</v>
      </c>
      <c r="BA75" s="508"/>
      <c r="BB75" s="508">
        <f t="shared" si="36"/>
        <v>0</v>
      </c>
      <c r="BC75" s="509">
        <v>0</v>
      </c>
      <c r="BD75" s="509">
        <v>0</v>
      </c>
      <c r="BE75" s="506">
        <v>0</v>
      </c>
      <c r="BF75" s="200"/>
      <c r="BG75" s="200"/>
      <c r="BH75" s="200"/>
      <c r="BI75" s="200"/>
      <c r="BJ75" s="200"/>
      <c r="BK75" s="200"/>
      <c r="BL75" s="200"/>
      <c r="BM75" s="505">
        <f t="shared" si="37"/>
        <v>0</v>
      </c>
      <c r="BN75" s="200">
        <f t="shared" si="38"/>
        <v>0</v>
      </c>
      <c r="BO75" s="200">
        <f t="shared" si="31"/>
        <v>0</v>
      </c>
      <c r="BP75" s="200">
        <f t="shared" si="39"/>
        <v>8775</v>
      </c>
      <c r="BQ75" s="200">
        <f t="shared" si="40"/>
        <v>0</v>
      </c>
      <c r="BR75" s="200">
        <f t="shared" si="41"/>
        <v>0</v>
      </c>
      <c r="BS75" s="200">
        <f t="shared" si="42"/>
        <v>5655</v>
      </c>
      <c r="BT75" s="200">
        <f t="shared" si="43"/>
        <v>2145</v>
      </c>
      <c r="BU75" s="200">
        <f t="shared" si="44"/>
        <v>195</v>
      </c>
      <c r="BV75" s="200">
        <v>0</v>
      </c>
      <c r="BW75" s="200">
        <v>0</v>
      </c>
      <c r="BX75" s="200">
        <f t="shared" si="45"/>
        <v>0</v>
      </c>
      <c r="CB75" s="381">
        <f>_xlfn.IFNA(VLOOKUP(A75,'Actuals Summer'!$A:$AG,23,FALSE),0)</f>
        <v>8775</v>
      </c>
      <c r="CC75" s="381">
        <f>_xlfn.IFNA(VLOOKUP(A75,'Actuals Summer'!$A:$AG,24,FALSE),0)</f>
        <v>0</v>
      </c>
      <c r="CD75" s="381">
        <f>_xlfn.IFNA(VLOOKUP(A75,'Actuals Summer'!$A:$AG,25,FALSE),0)</f>
        <v>0</v>
      </c>
      <c r="CE75" s="381">
        <f>_xlfn.IFNA(VLOOKUP(A75,'Actuals Summer'!$A:$AG,26,FALSE),0)</f>
        <v>0</v>
      </c>
      <c r="CF75" s="381">
        <f>_xlfn.IFNA(VLOOKUP(A75,'Actuals Summer'!$A:$AG,27,FALSE),0)</f>
        <v>0</v>
      </c>
      <c r="CG75" s="381">
        <f>_xlfn.IFNA(VLOOKUP(A75,'Actuals Dep Summer'!B:O,6,FALSE)*$BN$3,0)</f>
        <v>0</v>
      </c>
      <c r="CH75" s="381">
        <f>_xlfn.IFNA(VLOOKUP(A75,'Actuals Dep Summer'!B:O,7,FALSE)*$BN$3,0)</f>
        <v>5655</v>
      </c>
      <c r="CI75" s="381">
        <f>_xlfn.IFNA(VLOOKUP(A75,'Actuals Dep Summer'!B:O,8,FALSE)*$BN$3,0)</f>
        <v>2145</v>
      </c>
      <c r="CJ75" s="381">
        <f>_xlfn.IFNA(VLOOKUP(A75,'Actuals Summer'!$A:$AG,31,FALSE),0)*$BN$3</f>
        <v>0</v>
      </c>
      <c r="CK75" s="381"/>
      <c r="CL75" s="381">
        <f>_xlfn.IFNA(VLOOKUP(A75,'Actuals Summer'!$A:$AG,32,FALSE),0)*$BN$3</f>
        <v>2535</v>
      </c>
      <c r="CM75" s="381">
        <f>_xlfn.IFNA(VLOOKUP(A75,'Actuals Summer'!$A:$AG,33,FALSE),0)</f>
        <v>0</v>
      </c>
      <c r="CP75" s="458">
        <f t="shared" si="46"/>
        <v>0</v>
      </c>
      <c r="CQ75" s="458">
        <f t="shared" si="47"/>
        <v>0</v>
      </c>
      <c r="CR75" s="458">
        <f t="shared" si="32"/>
        <v>0</v>
      </c>
      <c r="CS75" s="458">
        <f t="shared" si="48"/>
        <v>49666.5</v>
      </c>
      <c r="CT75" s="458">
        <f t="shared" si="49"/>
        <v>0</v>
      </c>
      <c r="CU75" s="458">
        <f t="shared" si="50"/>
        <v>0</v>
      </c>
      <c r="CV75" s="458">
        <f t="shared" si="51"/>
        <v>1639.9499999999998</v>
      </c>
      <c r="CW75" s="458">
        <f t="shared" si="52"/>
        <v>171.6</v>
      </c>
      <c r="CX75" s="458">
        <f t="shared" si="53"/>
        <v>195</v>
      </c>
      <c r="CY75" s="458">
        <f t="shared" si="54"/>
        <v>0</v>
      </c>
      <c r="CZ75" s="458">
        <f t="shared" si="55"/>
        <v>0</v>
      </c>
      <c r="DA75" s="458">
        <f t="shared" si="56"/>
        <v>0</v>
      </c>
      <c r="DB75" s="458">
        <f t="shared" si="57"/>
        <v>51673.049999999996</v>
      </c>
      <c r="DC75" s="452">
        <f>_xlfn.XLOOKUP($A75,'Actuals Summer'!$A:$A,'Actuals Summer'!L:L,0,0)</f>
        <v>0</v>
      </c>
      <c r="DD75" s="452">
        <f>_xlfn.XLOOKUP($A75,'Actuals Summer'!$A:$A,'Actuals Summer'!K:K,0,0)+_xlfn.XLOOKUP($A75,'Actuals Summer'!$A:$A,'Actuals Summer'!Q:Q,0,0)</f>
        <v>0</v>
      </c>
      <c r="DE75" s="452">
        <f>_xlfn.XLOOKUP($A75,'Actuals Summer'!$A:$A,'Actuals Summer'!I:I,0,0)+_xlfn.XLOOKUP($A75,'Actuals Summer'!$A:$A,'Actuals Summer'!R:R,0,0)</f>
        <v>49666.5</v>
      </c>
      <c r="DF75" s="452">
        <f>_xlfn.XLOOKUP($A75,'Actuals Summer'!$A:$A,'Actuals Summer'!J:J,0,0)</f>
        <v>0</v>
      </c>
      <c r="DG75" s="452">
        <f>_xlfn.XLOOKUP($A75,'Actuals Dep Summer'!$B:$B,'Actuals Dep Summer'!G:G,0,0)*'Actuals Dep Summer'!$F$2*'Actuals Dep Summer'!$C$2</f>
        <v>0</v>
      </c>
      <c r="DH75" s="452">
        <f>_xlfn.XLOOKUP($A75,'Actuals Dep Summer'!$B:$B,'Actuals Dep Summer'!H:H,0,0)*'Actuals Dep Summer'!$F$2*'Actuals Dep Summer'!$C$3</f>
        <v>1639.9499999999998</v>
      </c>
      <c r="DI75" s="452">
        <f>_xlfn.XLOOKUP($A75,'Actuals Dep Summer'!$B:$B,'Actuals Dep Summer'!I:I,0,0)*'Actuals Dep Summer'!$F$2*'Actuals Dep Summer'!$C$4</f>
        <v>171.6</v>
      </c>
      <c r="DJ75" s="452">
        <f>_xlfn.XLOOKUP($A75,'Actuals Summer'!$A:$A,'Actuals Summer'!P:P,0,0)</f>
        <v>195</v>
      </c>
      <c r="DK75" s="452">
        <f>_xlfn.XLOOKUP($A75,'Actuals Summer'!$A:$A,'Actuals Summer'!O:O,0,0)</f>
        <v>0</v>
      </c>
      <c r="DL75" s="452"/>
      <c r="DM75" s="452">
        <f>_xlfn.XLOOKUP($A75,'Actuals Summer'!$A:$A,'Actuals Summer'!M:M,0,0)</f>
        <v>0</v>
      </c>
      <c r="DN75" s="453">
        <f t="shared" si="33"/>
        <v>51673.049999999996</v>
      </c>
      <c r="DO75" s="453">
        <f>_xlfn.XLOOKUP(A75,'Actuals Summer'!A:A,'Actuals Summer'!S:S,0,0)-'Summer data team '!DN75</f>
        <v>0</v>
      </c>
      <c r="DP75" s="463">
        <f t="shared" si="34"/>
        <v>0</v>
      </c>
    </row>
    <row r="76" spans="1:120" ht="13" x14ac:dyDescent="0.3">
      <c r="A76" s="364">
        <v>2109</v>
      </c>
      <c r="B76" s="364">
        <v>3302109</v>
      </c>
      <c r="C76" s="364" t="s">
        <v>285</v>
      </c>
      <c r="D76" s="506">
        <v>0</v>
      </c>
      <c r="E76" s="506">
        <v>0</v>
      </c>
      <c r="F76" s="506">
        <v>0</v>
      </c>
      <c r="G76" s="506">
        <v>7</v>
      </c>
      <c r="H76" s="506">
        <v>15</v>
      </c>
      <c r="I76" s="507">
        <v>0</v>
      </c>
      <c r="J76" s="507">
        <v>22</v>
      </c>
      <c r="K76" s="506">
        <v>0</v>
      </c>
      <c r="L76" s="506">
        <v>0</v>
      </c>
      <c r="M76" s="507">
        <v>0</v>
      </c>
      <c r="N76" s="506">
        <v>0</v>
      </c>
      <c r="O76" s="506">
        <v>0</v>
      </c>
      <c r="P76" s="506">
        <v>105</v>
      </c>
      <c r="Q76" s="506">
        <v>225</v>
      </c>
      <c r="R76" s="507">
        <v>330</v>
      </c>
      <c r="S76" s="506">
        <v>0</v>
      </c>
      <c r="T76" s="506">
        <v>0</v>
      </c>
      <c r="U76" s="506">
        <v>0</v>
      </c>
      <c r="V76" s="506">
        <v>0</v>
      </c>
      <c r="W76" s="507">
        <v>0</v>
      </c>
      <c r="X76" s="506">
        <v>8</v>
      </c>
      <c r="Y76" s="506">
        <v>120</v>
      </c>
      <c r="Z76" s="508">
        <v>0</v>
      </c>
      <c r="AA76" s="506">
        <v>0</v>
      </c>
      <c r="AB76" s="506">
        <v>0</v>
      </c>
      <c r="AC76" s="508">
        <v>0</v>
      </c>
      <c r="AD76" s="506">
        <v>4</v>
      </c>
      <c r="AE76" s="506">
        <v>60</v>
      </c>
      <c r="AF76" s="508">
        <v>0</v>
      </c>
      <c r="AG76" s="509">
        <v>0</v>
      </c>
      <c r="AH76" s="509">
        <v>0</v>
      </c>
      <c r="AI76" s="508">
        <v>0</v>
      </c>
      <c r="AJ76" s="509">
        <v>10</v>
      </c>
      <c r="AK76" s="509">
        <v>150</v>
      </c>
      <c r="AL76" s="508">
        <v>0</v>
      </c>
      <c r="AM76" s="506">
        <v>10</v>
      </c>
      <c r="AN76" s="506">
        <v>150</v>
      </c>
      <c r="AO76" s="508">
        <v>0</v>
      </c>
      <c r="AP76" s="508"/>
      <c r="AQ76" s="508">
        <f t="shared" si="35"/>
        <v>10</v>
      </c>
      <c r="AR76" s="509">
        <v>0</v>
      </c>
      <c r="AS76" s="509">
        <v>0</v>
      </c>
      <c r="AT76" s="508">
        <v>0</v>
      </c>
      <c r="AU76" s="509">
        <v>10</v>
      </c>
      <c r="AV76" s="509">
        <v>150</v>
      </c>
      <c r="AW76" s="508">
        <v>0</v>
      </c>
      <c r="AX76" s="506">
        <v>10</v>
      </c>
      <c r="AY76" s="506">
        <v>150</v>
      </c>
      <c r="AZ76" s="508">
        <v>0</v>
      </c>
      <c r="BA76" s="508"/>
      <c r="BB76" s="508">
        <f t="shared" si="36"/>
        <v>20</v>
      </c>
      <c r="BC76" s="509">
        <v>0</v>
      </c>
      <c r="BD76" s="509">
        <v>0</v>
      </c>
      <c r="BE76" s="506">
        <v>0</v>
      </c>
      <c r="BF76" s="200"/>
      <c r="BG76" s="200"/>
      <c r="BH76" s="200"/>
      <c r="BI76" s="200"/>
      <c r="BJ76" s="200"/>
      <c r="BK76" s="200"/>
      <c r="BL76" s="200"/>
      <c r="BM76" s="505">
        <f t="shared" si="37"/>
        <v>0</v>
      </c>
      <c r="BN76" s="200">
        <f t="shared" si="38"/>
        <v>0</v>
      </c>
      <c r="BO76" s="200">
        <f t="shared" si="31"/>
        <v>0</v>
      </c>
      <c r="BP76" s="200">
        <f t="shared" si="39"/>
        <v>4290</v>
      </c>
      <c r="BQ76" s="200">
        <f t="shared" si="40"/>
        <v>0</v>
      </c>
      <c r="BR76" s="200">
        <f t="shared" si="41"/>
        <v>1560</v>
      </c>
      <c r="BS76" s="200">
        <f t="shared" si="42"/>
        <v>0</v>
      </c>
      <c r="BT76" s="200">
        <f t="shared" si="43"/>
        <v>780</v>
      </c>
      <c r="BU76" s="200">
        <f t="shared" si="44"/>
        <v>1950</v>
      </c>
      <c r="BV76" s="200">
        <v>10</v>
      </c>
      <c r="BW76" s="200">
        <v>0</v>
      </c>
      <c r="BX76" s="200">
        <f t="shared" si="45"/>
        <v>0</v>
      </c>
      <c r="CB76" s="381">
        <f>_xlfn.IFNA(VLOOKUP(A76,'Actuals Summer'!$A:$AG,23,FALSE),0)</f>
        <v>4290</v>
      </c>
      <c r="CC76" s="381">
        <f>_xlfn.IFNA(VLOOKUP(A76,'Actuals Summer'!$A:$AG,24,FALSE),0)</f>
        <v>0</v>
      </c>
      <c r="CD76" s="381">
        <f>_xlfn.IFNA(VLOOKUP(A76,'Actuals Summer'!$A:$AG,25,FALSE),0)</f>
        <v>0</v>
      </c>
      <c r="CE76" s="381">
        <f>_xlfn.IFNA(VLOOKUP(A76,'Actuals Summer'!$A:$AG,26,FALSE),0)</f>
        <v>0</v>
      </c>
      <c r="CF76" s="381">
        <f>_xlfn.IFNA(VLOOKUP(A76,'Actuals Summer'!$A:$AG,27,FALSE),0)</f>
        <v>0</v>
      </c>
      <c r="CG76" s="381">
        <f>_xlfn.IFNA(VLOOKUP(A76,'Actuals Dep Summer'!B:O,6,FALSE)*$BN$3,0)</f>
        <v>1560</v>
      </c>
      <c r="CH76" s="381">
        <f>_xlfn.IFNA(VLOOKUP(A76,'Actuals Dep Summer'!B:O,7,FALSE)*$BN$3,0)</f>
        <v>0</v>
      </c>
      <c r="CI76" s="381">
        <f>_xlfn.IFNA(VLOOKUP(A76,'Actuals Dep Summer'!B:O,8,FALSE)*$BN$3,0)</f>
        <v>780</v>
      </c>
      <c r="CJ76" s="381">
        <f>_xlfn.IFNA(VLOOKUP(A76,'Actuals Summer'!$A:$AG,31,FALSE),0)*$BN$3</f>
        <v>129.92847973592515</v>
      </c>
      <c r="CK76" s="381"/>
      <c r="CL76" s="381">
        <f>_xlfn.IFNA(VLOOKUP(A76,'Actuals Summer'!$A:$AG,32,FALSE),0)*$BN$3</f>
        <v>25350</v>
      </c>
      <c r="CM76" s="381">
        <f>_xlfn.IFNA(VLOOKUP(A76,'Actuals Summer'!$A:$AG,33,FALSE),0)</f>
        <v>0</v>
      </c>
      <c r="CP76" s="458">
        <f t="shared" si="46"/>
        <v>0</v>
      </c>
      <c r="CQ76" s="458">
        <f t="shared" si="47"/>
        <v>0</v>
      </c>
      <c r="CR76" s="458">
        <f t="shared" si="32"/>
        <v>0</v>
      </c>
      <c r="CS76" s="458">
        <f t="shared" si="48"/>
        <v>24281.4</v>
      </c>
      <c r="CT76" s="458">
        <f t="shared" si="49"/>
        <v>0</v>
      </c>
      <c r="CU76" s="458">
        <f t="shared" si="50"/>
        <v>951.6</v>
      </c>
      <c r="CV76" s="458">
        <f t="shared" si="51"/>
        <v>0</v>
      </c>
      <c r="CW76" s="458">
        <f t="shared" si="52"/>
        <v>62.4</v>
      </c>
      <c r="CX76" s="458">
        <f t="shared" si="53"/>
        <v>1950</v>
      </c>
      <c r="CY76" s="458">
        <f t="shared" si="54"/>
        <v>745.78947368421052</v>
      </c>
      <c r="CZ76" s="458">
        <f t="shared" si="55"/>
        <v>0</v>
      </c>
      <c r="DA76" s="458">
        <f t="shared" si="56"/>
        <v>0</v>
      </c>
      <c r="DB76" s="458">
        <f t="shared" si="57"/>
        <v>27991.189473684211</v>
      </c>
      <c r="DC76" s="452">
        <f>_xlfn.XLOOKUP($A76,'Actuals Summer'!$A:$A,'Actuals Summer'!L:L,0,0)</f>
        <v>0</v>
      </c>
      <c r="DD76" s="452">
        <f>_xlfn.XLOOKUP($A76,'Actuals Summer'!$A:$A,'Actuals Summer'!K:K,0,0)+_xlfn.XLOOKUP($A76,'Actuals Summer'!$A:$A,'Actuals Summer'!Q:Q,0,0)</f>
        <v>0</v>
      </c>
      <c r="DE76" s="452">
        <f>_xlfn.XLOOKUP($A76,'Actuals Summer'!$A:$A,'Actuals Summer'!I:I,0,0)+_xlfn.XLOOKUP($A76,'Actuals Summer'!$A:$A,'Actuals Summer'!R:R,0,0)</f>
        <v>24281.4</v>
      </c>
      <c r="DF76" s="452">
        <f>_xlfn.XLOOKUP($A76,'Actuals Summer'!$A:$A,'Actuals Summer'!J:J,0,0)</f>
        <v>0</v>
      </c>
      <c r="DG76" s="452">
        <f>_xlfn.XLOOKUP($A76,'Actuals Dep Summer'!$B:$B,'Actuals Dep Summer'!G:G,0,0)*'Actuals Dep Summer'!$F$2*'Actuals Dep Summer'!$C$2</f>
        <v>951.6</v>
      </c>
      <c r="DH76" s="452">
        <f>_xlfn.XLOOKUP($A76,'Actuals Dep Summer'!$B:$B,'Actuals Dep Summer'!H:H,0,0)*'Actuals Dep Summer'!$F$2*'Actuals Dep Summer'!$C$3</f>
        <v>0</v>
      </c>
      <c r="DI76" s="452">
        <f>_xlfn.XLOOKUP($A76,'Actuals Dep Summer'!$B:$B,'Actuals Dep Summer'!I:I,0,0)*'Actuals Dep Summer'!$F$2*'Actuals Dep Summer'!$C$4</f>
        <v>62.4</v>
      </c>
      <c r="DJ76" s="452">
        <f>_xlfn.XLOOKUP($A76,'Actuals Summer'!$A:$A,'Actuals Summer'!P:P,0,0)</f>
        <v>1950</v>
      </c>
      <c r="DK76" s="452">
        <f>_xlfn.XLOOKUP($A76,'Actuals Summer'!$A:$A,'Actuals Summer'!O:O,0,0)</f>
        <v>745.78947368421052</v>
      </c>
      <c r="DL76" s="452"/>
      <c r="DM76" s="452">
        <f>_xlfn.XLOOKUP($A76,'Actuals Summer'!$A:$A,'Actuals Summer'!M:M,0,0)</f>
        <v>0</v>
      </c>
      <c r="DN76" s="453">
        <f t="shared" si="33"/>
        <v>27991.189473684211</v>
      </c>
      <c r="DO76" s="453">
        <f>_xlfn.XLOOKUP(A76,'Actuals Summer'!A:A,'Actuals Summer'!S:S,0,0)-'Summer data team '!DN76</f>
        <v>0</v>
      </c>
      <c r="DP76" s="463">
        <f t="shared" si="34"/>
        <v>0</v>
      </c>
    </row>
    <row r="77" spans="1:120" ht="13" x14ac:dyDescent="0.3">
      <c r="A77" s="364">
        <v>2110</v>
      </c>
      <c r="B77" s="364">
        <v>3302110</v>
      </c>
      <c r="C77" s="364" t="s">
        <v>286</v>
      </c>
      <c r="D77" s="506">
        <v>0</v>
      </c>
      <c r="E77" s="506">
        <v>0</v>
      </c>
      <c r="F77" s="506">
        <v>0</v>
      </c>
      <c r="G77" s="506">
        <v>43</v>
      </c>
      <c r="H77" s="506">
        <v>32</v>
      </c>
      <c r="I77" s="507">
        <v>0</v>
      </c>
      <c r="J77" s="507">
        <v>75</v>
      </c>
      <c r="K77" s="506">
        <v>0</v>
      </c>
      <c r="L77" s="506">
        <v>0</v>
      </c>
      <c r="M77" s="507">
        <v>0</v>
      </c>
      <c r="N77" s="506">
        <v>0</v>
      </c>
      <c r="O77" s="506">
        <v>0</v>
      </c>
      <c r="P77" s="506">
        <v>645</v>
      </c>
      <c r="Q77" s="506">
        <v>480</v>
      </c>
      <c r="R77" s="507">
        <v>1125</v>
      </c>
      <c r="S77" s="506">
        <v>0</v>
      </c>
      <c r="T77" s="506">
        <v>0</v>
      </c>
      <c r="U77" s="506">
        <v>0</v>
      </c>
      <c r="V77" s="506">
        <v>0</v>
      </c>
      <c r="W77" s="507">
        <v>0</v>
      </c>
      <c r="X77" s="506">
        <v>6</v>
      </c>
      <c r="Y77" s="506">
        <v>90</v>
      </c>
      <c r="Z77" s="508">
        <v>0</v>
      </c>
      <c r="AA77" s="506">
        <v>3</v>
      </c>
      <c r="AB77" s="506">
        <v>45</v>
      </c>
      <c r="AC77" s="508">
        <v>0</v>
      </c>
      <c r="AD77" s="506">
        <v>44</v>
      </c>
      <c r="AE77" s="506">
        <v>660</v>
      </c>
      <c r="AF77" s="508">
        <v>0</v>
      </c>
      <c r="AG77" s="509">
        <v>0</v>
      </c>
      <c r="AH77" s="509">
        <v>0</v>
      </c>
      <c r="AI77" s="508">
        <v>0</v>
      </c>
      <c r="AJ77" s="509">
        <v>6</v>
      </c>
      <c r="AK77" s="509">
        <v>90</v>
      </c>
      <c r="AL77" s="508">
        <v>0</v>
      </c>
      <c r="AM77" s="506">
        <v>6</v>
      </c>
      <c r="AN77" s="506">
        <v>90</v>
      </c>
      <c r="AO77" s="508">
        <v>0</v>
      </c>
      <c r="AP77" s="508"/>
      <c r="AQ77" s="508">
        <f t="shared" si="35"/>
        <v>6</v>
      </c>
      <c r="AR77" s="509">
        <v>0</v>
      </c>
      <c r="AS77" s="509">
        <v>0</v>
      </c>
      <c r="AT77" s="508">
        <v>0</v>
      </c>
      <c r="AU77" s="509">
        <v>1</v>
      </c>
      <c r="AV77" s="509">
        <v>15</v>
      </c>
      <c r="AW77" s="508">
        <v>0</v>
      </c>
      <c r="AX77" s="506">
        <v>1</v>
      </c>
      <c r="AY77" s="506">
        <v>15</v>
      </c>
      <c r="AZ77" s="508">
        <v>0</v>
      </c>
      <c r="BA77" s="508"/>
      <c r="BB77" s="508">
        <f t="shared" si="36"/>
        <v>2</v>
      </c>
      <c r="BC77" s="509">
        <v>0</v>
      </c>
      <c r="BD77" s="509">
        <v>0</v>
      </c>
      <c r="BE77" s="506">
        <v>0</v>
      </c>
      <c r="BF77" s="200"/>
      <c r="BG77" s="200"/>
      <c r="BH77" s="200"/>
      <c r="BI77" s="200"/>
      <c r="BJ77" s="200"/>
      <c r="BK77" s="200"/>
      <c r="BL77" s="200"/>
      <c r="BM77" s="505">
        <f t="shared" si="37"/>
        <v>0</v>
      </c>
      <c r="BN77" s="200">
        <f t="shared" si="38"/>
        <v>0</v>
      </c>
      <c r="BO77" s="200">
        <f t="shared" si="31"/>
        <v>0</v>
      </c>
      <c r="BP77" s="200">
        <f t="shared" si="39"/>
        <v>14625</v>
      </c>
      <c r="BQ77" s="200">
        <f t="shared" si="40"/>
        <v>0</v>
      </c>
      <c r="BR77" s="200">
        <f t="shared" si="41"/>
        <v>1170</v>
      </c>
      <c r="BS77" s="200">
        <f t="shared" si="42"/>
        <v>585</v>
      </c>
      <c r="BT77" s="200">
        <f t="shared" si="43"/>
        <v>8580</v>
      </c>
      <c r="BU77" s="200">
        <f t="shared" si="44"/>
        <v>1170</v>
      </c>
      <c r="BV77" s="200">
        <v>1</v>
      </c>
      <c r="BW77" s="200">
        <v>0</v>
      </c>
      <c r="BX77" s="200">
        <f t="shared" si="45"/>
        <v>0</v>
      </c>
      <c r="CB77" s="381">
        <f>_xlfn.IFNA(VLOOKUP(A77,'Actuals Summer'!$A:$AG,23,FALSE),0)</f>
        <v>14625</v>
      </c>
      <c r="CC77" s="381">
        <f>_xlfn.IFNA(VLOOKUP(A77,'Actuals Summer'!$A:$AG,24,FALSE),0)</f>
        <v>0</v>
      </c>
      <c r="CD77" s="381">
        <f>_xlfn.IFNA(VLOOKUP(A77,'Actuals Summer'!$A:$AG,25,FALSE),0)</f>
        <v>0</v>
      </c>
      <c r="CE77" s="381">
        <f>_xlfn.IFNA(VLOOKUP(A77,'Actuals Summer'!$A:$AG,26,FALSE),0)</f>
        <v>0</v>
      </c>
      <c r="CF77" s="381">
        <f>_xlfn.IFNA(VLOOKUP(A77,'Actuals Summer'!$A:$AG,27,FALSE),0)</f>
        <v>0</v>
      </c>
      <c r="CG77" s="381">
        <f>_xlfn.IFNA(VLOOKUP(A77,'Actuals Dep Summer'!B:O,6,FALSE)*$BN$3,0)</f>
        <v>1170</v>
      </c>
      <c r="CH77" s="381">
        <f>_xlfn.IFNA(VLOOKUP(A77,'Actuals Dep Summer'!B:O,7,FALSE)*$BN$3,0)</f>
        <v>585</v>
      </c>
      <c r="CI77" s="381">
        <f>_xlfn.IFNA(VLOOKUP(A77,'Actuals Dep Summer'!B:O,8,FALSE)*$BN$3,0)</f>
        <v>8580</v>
      </c>
      <c r="CJ77" s="381">
        <f>_xlfn.IFNA(VLOOKUP(A77,'Actuals Summer'!$A:$AG,31,FALSE),0)*$BN$3</f>
        <v>12.992847973592518</v>
      </c>
      <c r="CK77" s="381"/>
      <c r="CL77" s="381">
        <f>_xlfn.IFNA(VLOOKUP(A77,'Actuals Summer'!$A:$AG,32,FALSE),0)*$BN$3</f>
        <v>15210</v>
      </c>
      <c r="CM77" s="381">
        <f>_xlfn.IFNA(VLOOKUP(A77,'Actuals Summer'!$A:$AG,33,FALSE),0)</f>
        <v>0</v>
      </c>
      <c r="CP77" s="458">
        <f t="shared" si="46"/>
        <v>0</v>
      </c>
      <c r="CQ77" s="458">
        <f t="shared" si="47"/>
        <v>0</v>
      </c>
      <c r="CR77" s="458">
        <f t="shared" si="32"/>
        <v>0</v>
      </c>
      <c r="CS77" s="458">
        <f t="shared" si="48"/>
        <v>82777.5</v>
      </c>
      <c r="CT77" s="458">
        <f t="shared" si="49"/>
        <v>0</v>
      </c>
      <c r="CU77" s="458">
        <f t="shared" si="50"/>
        <v>713.69999999999993</v>
      </c>
      <c r="CV77" s="458">
        <f t="shared" si="51"/>
        <v>169.64999999999998</v>
      </c>
      <c r="CW77" s="458">
        <f t="shared" si="52"/>
        <v>686.4</v>
      </c>
      <c r="CX77" s="458">
        <f t="shared" si="53"/>
        <v>1170</v>
      </c>
      <c r="CY77" s="458">
        <f t="shared" si="54"/>
        <v>74.578947368421041</v>
      </c>
      <c r="CZ77" s="458">
        <f t="shared" si="55"/>
        <v>0</v>
      </c>
      <c r="DA77" s="458">
        <f t="shared" si="56"/>
        <v>0</v>
      </c>
      <c r="DB77" s="458">
        <f t="shared" si="57"/>
        <v>85591.828947368413</v>
      </c>
      <c r="DC77" s="452">
        <f>_xlfn.XLOOKUP($A77,'Actuals Summer'!$A:$A,'Actuals Summer'!L:L,0,0)</f>
        <v>0</v>
      </c>
      <c r="DD77" s="452">
        <f>_xlfn.XLOOKUP($A77,'Actuals Summer'!$A:$A,'Actuals Summer'!K:K,0,0)+_xlfn.XLOOKUP($A77,'Actuals Summer'!$A:$A,'Actuals Summer'!Q:Q,0,0)</f>
        <v>0</v>
      </c>
      <c r="DE77" s="452">
        <f>_xlfn.XLOOKUP($A77,'Actuals Summer'!$A:$A,'Actuals Summer'!I:I,0,0)+_xlfn.XLOOKUP($A77,'Actuals Summer'!$A:$A,'Actuals Summer'!R:R,0,0)</f>
        <v>82777.5</v>
      </c>
      <c r="DF77" s="452">
        <f>_xlfn.XLOOKUP($A77,'Actuals Summer'!$A:$A,'Actuals Summer'!J:J,0,0)</f>
        <v>0</v>
      </c>
      <c r="DG77" s="452">
        <f>_xlfn.XLOOKUP($A77,'Actuals Dep Summer'!$B:$B,'Actuals Dep Summer'!G:G,0,0)*'Actuals Dep Summer'!$F$2*'Actuals Dep Summer'!$C$2</f>
        <v>713.69999999999993</v>
      </c>
      <c r="DH77" s="452">
        <f>_xlfn.XLOOKUP($A77,'Actuals Dep Summer'!$B:$B,'Actuals Dep Summer'!H:H,0,0)*'Actuals Dep Summer'!$F$2*'Actuals Dep Summer'!$C$3</f>
        <v>169.64999999999998</v>
      </c>
      <c r="DI77" s="452">
        <f>_xlfn.XLOOKUP($A77,'Actuals Dep Summer'!$B:$B,'Actuals Dep Summer'!I:I,0,0)*'Actuals Dep Summer'!$F$2*'Actuals Dep Summer'!$C$4</f>
        <v>686.4</v>
      </c>
      <c r="DJ77" s="452">
        <f>_xlfn.XLOOKUP($A77,'Actuals Summer'!$A:$A,'Actuals Summer'!P:P,0,0)</f>
        <v>1170</v>
      </c>
      <c r="DK77" s="452">
        <f>_xlfn.XLOOKUP($A77,'Actuals Summer'!$A:$A,'Actuals Summer'!O:O,0,0)</f>
        <v>74.578947368421055</v>
      </c>
      <c r="DL77" s="452"/>
      <c r="DM77" s="452">
        <f>_xlfn.XLOOKUP($A77,'Actuals Summer'!$A:$A,'Actuals Summer'!M:M,0,0)</f>
        <v>0</v>
      </c>
      <c r="DN77" s="453">
        <f t="shared" si="33"/>
        <v>85591.828947368413</v>
      </c>
      <c r="DO77" s="453">
        <f>_xlfn.XLOOKUP(A77,'Actuals Summer'!A:A,'Actuals Summer'!S:S,0,0)-'Summer data team '!DN77</f>
        <v>0</v>
      </c>
      <c r="DP77" s="463">
        <f t="shared" si="34"/>
        <v>0</v>
      </c>
    </row>
    <row r="78" spans="1:120" ht="13" x14ac:dyDescent="0.3">
      <c r="A78" s="364">
        <v>2115</v>
      </c>
      <c r="B78" s="364">
        <v>3302115</v>
      </c>
      <c r="C78" s="364" t="s">
        <v>287</v>
      </c>
      <c r="D78" s="506">
        <v>0</v>
      </c>
      <c r="E78" s="506">
        <v>0</v>
      </c>
      <c r="F78" s="506">
        <v>0</v>
      </c>
      <c r="G78" s="506">
        <v>15</v>
      </c>
      <c r="H78" s="506">
        <v>17</v>
      </c>
      <c r="I78" s="507">
        <v>0</v>
      </c>
      <c r="J78" s="507">
        <v>32</v>
      </c>
      <c r="K78" s="506">
        <v>5</v>
      </c>
      <c r="L78" s="506">
        <v>9</v>
      </c>
      <c r="M78" s="507">
        <v>14</v>
      </c>
      <c r="N78" s="506">
        <v>0</v>
      </c>
      <c r="O78" s="506">
        <v>0</v>
      </c>
      <c r="P78" s="506">
        <v>225</v>
      </c>
      <c r="Q78" s="506">
        <v>255</v>
      </c>
      <c r="R78" s="507">
        <v>480</v>
      </c>
      <c r="S78" s="506">
        <v>0</v>
      </c>
      <c r="T78" s="506">
        <v>0</v>
      </c>
      <c r="U78" s="506">
        <v>75</v>
      </c>
      <c r="V78" s="506">
        <v>135</v>
      </c>
      <c r="W78" s="507">
        <v>210</v>
      </c>
      <c r="X78" s="506">
        <v>4</v>
      </c>
      <c r="Y78" s="506">
        <v>60</v>
      </c>
      <c r="Z78" s="508">
        <v>60</v>
      </c>
      <c r="AA78" s="506">
        <v>14</v>
      </c>
      <c r="AB78" s="506">
        <v>210</v>
      </c>
      <c r="AC78" s="508">
        <v>45</v>
      </c>
      <c r="AD78" s="506">
        <v>0</v>
      </c>
      <c r="AE78" s="506">
        <v>0</v>
      </c>
      <c r="AF78" s="508">
        <v>0</v>
      </c>
      <c r="AG78" s="509">
        <v>0</v>
      </c>
      <c r="AH78" s="509">
        <v>0</v>
      </c>
      <c r="AI78" s="508">
        <v>0</v>
      </c>
      <c r="AJ78" s="509">
        <v>12</v>
      </c>
      <c r="AK78" s="509">
        <v>180</v>
      </c>
      <c r="AL78" s="508">
        <v>30</v>
      </c>
      <c r="AM78" s="506">
        <v>12</v>
      </c>
      <c r="AN78" s="506">
        <v>180</v>
      </c>
      <c r="AO78" s="508">
        <v>30</v>
      </c>
      <c r="AP78" s="508"/>
      <c r="AQ78" s="508">
        <f t="shared" si="35"/>
        <v>12</v>
      </c>
      <c r="AR78" s="509">
        <v>0</v>
      </c>
      <c r="AS78" s="509">
        <v>0</v>
      </c>
      <c r="AT78" s="508">
        <v>0</v>
      </c>
      <c r="AU78" s="509">
        <v>0</v>
      </c>
      <c r="AV78" s="509">
        <v>0</v>
      </c>
      <c r="AW78" s="508">
        <v>0</v>
      </c>
      <c r="AX78" s="506">
        <v>0</v>
      </c>
      <c r="AY78" s="506">
        <v>0</v>
      </c>
      <c r="AZ78" s="508">
        <v>0</v>
      </c>
      <c r="BA78" s="508"/>
      <c r="BB78" s="508">
        <f t="shared" si="36"/>
        <v>0</v>
      </c>
      <c r="BC78" s="509">
        <v>0</v>
      </c>
      <c r="BD78" s="509">
        <v>0</v>
      </c>
      <c r="BE78" s="506">
        <v>0</v>
      </c>
      <c r="BF78" s="200"/>
      <c r="BG78" s="200"/>
      <c r="BH78" s="200"/>
      <c r="BI78" s="200"/>
      <c r="BJ78" s="200"/>
      <c r="BK78" s="200"/>
      <c r="BL78" s="200"/>
      <c r="BM78" s="505">
        <f t="shared" si="37"/>
        <v>0</v>
      </c>
      <c r="BN78" s="200">
        <f t="shared" si="38"/>
        <v>0</v>
      </c>
      <c r="BO78" s="200">
        <f t="shared" si="31"/>
        <v>0</v>
      </c>
      <c r="BP78" s="200">
        <f t="shared" si="39"/>
        <v>6240</v>
      </c>
      <c r="BQ78" s="200">
        <f t="shared" si="40"/>
        <v>2730</v>
      </c>
      <c r="BR78" s="200">
        <f t="shared" si="41"/>
        <v>1560</v>
      </c>
      <c r="BS78" s="200">
        <f t="shared" si="42"/>
        <v>3315</v>
      </c>
      <c r="BT78" s="200">
        <f t="shared" si="43"/>
        <v>0</v>
      </c>
      <c r="BU78" s="200">
        <f t="shared" si="44"/>
        <v>2340</v>
      </c>
      <c r="BV78" s="200">
        <v>0</v>
      </c>
      <c r="BW78" s="200">
        <v>0</v>
      </c>
      <c r="BX78" s="200">
        <f t="shared" si="45"/>
        <v>0</v>
      </c>
      <c r="CB78" s="381">
        <f>_xlfn.IFNA(VLOOKUP(A78,'Actuals Summer'!$A:$AG,23,FALSE),0)</f>
        <v>6240</v>
      </c>
      <c r="CC78" s="381">
        <f>_xlfn.IFNA(VLOOKUP(A78,'Actuals Summer'!$A:$AG,24,FALSE),0)</f>
        <v>2730</v>
      </c>
      <c r="CD78" s="381">
        <f>_xlfn.IFNA(VLOOKUP(A78,'Actuals Summer'!$A:$AG,25,FALSE),0)</f>
        <v>0</v>
      </c>
      <c r="CE78" s="381">
        <f>_xlfn.IFNA(VLOOKUP(A78,'Actuals Summer'!$A:$AG,26,FALSE),0)</f>
        <v>0</v>
      </c>
      <c r="CF78" s="381">
        <f>_xlfn.IFNA(VLOOKUP(A78,'Actuals Summer'!$A:$AG,27,FALSE),0)</f>
        <v>0</v>
      </c>
      <c r="CG78" s="381">
        <f>_xlfn.IFNA(VLOOKUP(A78,'Actuals Dep Summer'!B:O,6,FALSE)*$BN$3,0)</f>
        <v>780</v>
      </c>
      <c r="CH78" s="381">
        <f>_xlfn.IFNA(VLOOKUP(A78,'Actuals Dep Summer'!B:O,7,FALSE)*$BN$3,0)</f>
        <v>2730</v>
      </c>
      <c r="CI78" s="381">
        <f>_xlfn.IFNA(VLOOKUP(A78,'Actuals Dep Summer'!B:O,8,FALSE)*$BN$3,0)</f>
        <v>0</v>
      </c>
      <c r="CJ78" s="381">
        <f>_xlfn.IFNA(VLOOKUP(A78,'Actuals Summer'!$A:$AG,31,FALSE),0)*$BN$3</f>
        <v>0</v>
      </c>
      <c r="CK78" s="381"/>
      <c r="CL78" s="381">
        <f>_xlfn.IFNA(VLOOKUP(A78,'Actuals Summer'!$A:$AG,32,FALSE),0)*$BN$3</f>
        <v>30420</v>
      </c>
      <c r="CM78" s="381">
        <f>_xlfn.IFNA(VLOOKUP(A78,'Actuals Summer'!$A:$AG,33,FALSE),0)</f>
        <v>0</v>
      </c>
      <c r="CP78" s="458">
        <f t="shared" si="46"/>
        <v>0</v>
      </c>
      <c r="CQ78" s="458">
        <f t="shared" si="47"/>
        <v>0</v>
      </c>
      <c r="CR78" s="458">
        <f t="shared" si="32"/>
        <v>0</v>
      </c>
      <c r="CS78" s="458">
        <f t="shared" si="48"/>
        <v>35318.400000000001</v>
      </c>
      <c r="CT78" s="458">
        <f t="shared" si="49"/>
        <v>15451.800000000001</v>
      </c>
      <c r="CU78" s="458">
        <f t="shared" si="50"/>
        <v>951.6</v>
      </c>
      <c r="CV78" s="458">
        <f t="shared" si="51"/>
        <v>961.34999999999991</v>
      </c>
      <c r="CW78" s="458">
        <f t="shared" si="52"/>
        <v>0</v>
      </c>
      <c r="CX78" s="458">
        <f t="shared" si="53"/>
        <v>2340</v>
      </c>
      <c r="CY78" s="458">
        <f t="shared" si="54"/>
        <v>0</v>
      </c>
      <c r="CZ78" s="458">
        <f t="shared" si="55"/>
        <v>0</v>
      </c>
      <c r="DA78" s="458">
        <f t="shared" si="56"/>
        <v>0</v>
      </c>
      <c r="DB78" s="458">
        <f t="shared" si="57"/>
        <v>55023.15</v>
      </c>
      <c r="DC78" s="452">
        <f>_xlfn.XLOOKUP($A78,'Actuals Summer'!$A:$A,'Actuals Summer'!L:L,0,0)</f>
        <v>0</v>
      </c>
      <c r="DD78" s="452">
        <f>_xlfn.XLOOKUP($A78,'Actuals Summer'!$A:$A,'Actuals Summer'!K:K,0,0)+_xlfn.XLOOKUP($A78,'Actuals Summer'!$A:$A,'Actuals Summer'!Q:Q,0,0)</f>
        <v>0</v>
      </c>
      <c r="DE78" s="452">
        <f>_xlfn.XLOOKUP($A78,'Actuals Summer'!$A:$A,'Actuals Summer'!I:I,0,0)+_xlfn.XLOOKUP($A78,'Actuals Summer'!$A:$A,'Actuals Summer'!R:R,0,0)</f>
        <v>35318.400000000001</v>
      </c>
      <c r="DF78" s="452">
        <f>_xlfn.XLOOKUP($A78,'Actuals Summer'!$A:$A,'Actuals Summer'!J:J,0,0)</f>
        <v>15451.800000000001</v>
      </c>
      <c r="DG78" s="452">
        <f>_xlfn.XLOOKUP($A78,'Actuals Dep Summer'!$B:$B,'Actuals Dep Summer'!G:G,0,0)*'Actuals Dep Summer'!$F$2*'Actuals Dep Summer'!$C$2</f>
        <v>475.8</v>
      </c>
      <c r="DH78" s="452">
        <f>_xlfn.XLOOKUP($A78,'Actuals Dep Summer'!$B:$B,'Actuals Dep Summer'!H:H,0,0)*'Actuals Dep Summer'!$F$2*'Actuals Dep Summer'!$C$3</f>
        <v>791.69999999999993</v>
      </c>
      <c r="DI78" s="452">
        <f>_xlfn.XLOOKUP($A78,'Actuals Dep Summer'!$B:$B,'Actuals Dep Summer'!I:I,0,0)*'Actuals Dep Summer'!$F$2*'Actuals Dep Summer'!$C$4</f>
        <v>0</v>
      </c>
      <c r="DJ78" s="452">
        <f>_xlfn.XLOOKUP($A78,'Actuals Summer'!$A:$A,'Actuals Summer'!P:P,0,0)</f>
        <v>2340</v>
      </c>
      <c r="DK78" s="452">
        <f>_xlfn.XLOOKUP($A78,'Actuals Summer'!$A:$A,'Actuals Summer'!O:O,0,0)</f>
        <v>0</v>
      </c>
      <c r="DL78" s="452"/>
      <c r="DM78" s="452">
        <f>_xlfn.XLOOKUP($A78,'Actuals Summer'!$A:$A,'Actuals Summer'!M:M,0,0)</f>
        <v>0</v>
      </c>
      <c r="DN78" s="453">
        <f t="shared" si="33"/>
        <v>54377.700000000004</v>
      </c>
      <c r="DO78" s="453">
        <f>_xlfn.XLOOKUP(A78,'Actuals Summer'!A:A,'Actuals Summer'!S:S,0,0)-'Summer data team '!DN78</f>
        <v>0</v>
      </c>
      <c r="DP78" s="463">
        <f t="shared" si="34"/>
        <v>645.44999999999709</v>
      </c>
    </row>
    <row r="79" spans="1:120" ht="13" x14ac:dyDescent="0.3">
      <c r="A79" s="364">
        <v>2117</v>
      </c>
      <c r="B79" s="364">
        <v>3302117</v>
      </c>
      <c r="C79" s="364" t="s">
        <v>288</v>
      </c>
      <c r="D79" s="506">
        <v>0</v>
      </c>
      <c r="E79" s="506">
        <v>0</v>
      </c>
      <c r="F79" s="506">
        <v>0</v>
      </c>
      <c r="G79" s="506">
        <v>22</v>
      </c>
      <c r="H79" s="506">
        <v>12</v>
      </c>
      <c r="I79" s="507">
        <v>0</v>
      </c>
      <c r="J79" s="507">
        <v>34</v>
      </c>
      <c r="K79" s="506">
        <v>0</v>
      </c>
      <c r="L79" s="506">
        <v>0</v>
      </c>
      <c r="M79" s="507">
        <v>0</v>
      </c>
      <c r="N79" s="506">
        <v>0</v>
      </c>
      <c r="O79" s="506">
        <v>0</v>
      </c>
      <c r="P79" s="506">
        <v>330</v>
      </c>
      <c r="Q79" s="506">
        <v>180</v>
      </c>
      <c r="R79" s="507">
        <v>510</v>
      </c>
      <c r="S79" s="506">
        <v>0</v>
      </c>
      <c r="T79" s="506">
        <v>0</v>
      </c>
      <c r="U79" s="506">
        <v>0</v>
      </c>
      <c r="V79" s="506">
        <v>0</v>
      </c>
      <c r="W79" s="507">
        <v>0</v>
      </c>
      <c r="X79" s="506">
        <v>1</v>
      </c>
      <c r="Y79" s="506">
        <v>15</v>
      </c>
      <c r="Z79" s="508">
        <v>0</v>
      </c>
      <c r="AA79" s="506">
        <v>2</v>
      </c>
      <c r="AB79" s="506">
        <v>30</v>
      </c>
      <c r="AC79" s="508">
        <v>0</v>
      </c>
      <c r="AD79" s="506">
        <v>29</v>
      </c>
      <c r="AE79" s="506">
        <v>435</v>
      </c>
      <c r="AF79" s="508">
        <v>0</v>
      </c>
      <c r="AG79" s="509">
        <v>0</v>
      </c>
      <c r="AH79" s="509">
        <v>0</v>
      </c>
      <c r="AI79" s="508">
        <v>0</v>
      </c>
      <c r="AJ79" s="509">
        <v>4</v>
      </c>
      <c r="AK79" s="509">
        <v>60</v>
      </c>
      <c r="AL79" s="508">
        <v>0</v>
      </c>
      <c r="AM79" s="506">
        <v>4</v>
      </c>
      <c r="AN79" s="506">
        <v>60</v>
      </c>
      <c r="AO79" s="508">
        <v>0</v>
      </c>
      <c r="AP79" s="508"/>
      <c r="AQ79" s="508">
        <f t="shared" si="35"/>
        <v>4</v>
      </c>
      <c r="AR79" s="509">
        <v>0</v>
      </c>
      <c r="AS79" s="509">
        <v>0</v>
      </c>
      <c r="AT79" s="508">
        <v>0</v>
      </c>
      <c r="AU79" s="509">
        <v>4</v>
      </c>
      <c r="AV79" s="509">
        <v>60</v>
      </c>
      <c r="AW79" s="508">
        <v>0</v>
      </c>
      <c r="AX79" s="506">
        <v>4</v>
      </c>
      <c r="AY79" s="506">
        <v>60</v>
      </c>
      <c r="AZ79" s="508">
        <v>0</v>
      </c>
      <c r="BA79" s="508"/>
      <c r="BB79" s="508">
        <f t="shared" si="36"/>
        <v>8</v>
      </c>
      <c r="BC79" s="509">
        <v>0</v>
      </c>
      <c r="BD79" s="509">
        <v>0</v>
      </c>
      <c r="BE79" s="506">
        <v>0</v>
      </c>
      <c r="BF79" s="200"/>
      <c r="BG79" s="200"/>
      <c r="BH79" s="200"/>
      <c r="BI79" s="200"/>
      <c r="BJ79" s="200"/>
      <c r="BK79" s="200"/>
      <c r="BL79" s="200"/>
      <c r="BM79" s="505">
        <f t="shared" si="37"/>
        <v>0</v>
      </c>
      <c r="BN79" s="200">
        <f t="shared" si="38"/>
        <v>0</v>
      </c>
      <c r="BO79" s="200">
        <f t="shared" si="31"/>
        <v>0</v>
      </c>
      <c r="BP79" s="200">
        <f t="shared" si="39"/>
        <v>6630</v>
      </c>
      <c r="BQ79" s="200">
        <f t="shared" si="40"/>
        <v>0</v>
      </c>
      <c r="BR79" s="200">
        <f t="shared" si="41"/>
        <v>195</v>
      </c>
      <c r="BS79" s="200">
        <f t="shared" si="42"/>
        <v>390</v>
      </c>
      <c r="BT79" s="200">
        <f t="shared" si="43"/>
        <v>5655</v>
      </c>
      <c r="BU79" s="200">
        <f t="shared" si="44"/>
        <v>780</v>
      </c>
      <c r="BV79" s="200">
        <v>4</v>
      </c>
      <c r="BW79" s="200">
        <v>0</v>
      </c>
      <c r="BX79" s="200">
        <f t="shared" si="45"/>
        <v>0</v>
      </c>
      <c r="CB79" s="381">
        <f>_xlfn.IFNA(VLOOKUP(A79,'Actuals Summer'!$A:$AG,23,FALSE),0)</f>
        <v>6630</v>
      </c>
      <c r="CC79" s="381">
        <f>_xlfn.IFNA(VLOOKUP(A79,'Actuals Summer'!$A:$AG,24,FALSE),0)</f>
        <v>0</v>
      </c>
      <c r="CD79" s="381">
        <f>_xlfn.IFNA(VLOOKUP(A79,'Actuals Summer'!$A:$AG,25,FALSE),0)</f>
        <v>0</v>
      </c>
      <c r="CE79" s="381">
        <f>_xlfn.IFNA(VLOOKUP(A79,'Actuals Summer'!$A:$AG,26,FALSE),0)</f>
        <v>0</v>
      </c>
      <c r="CF79" s="381">
        <f>_xlfn.IFNA(VLOOKUP(A79,'Actuals Summer'!$A:$AG,27,FALSE),0)</f>
        <v>0</v>
      </c>
      <c r="CG79" s="381">
        <f>_xlfn.IFNA(VLOOKUP(A79,'Actuals Dep Summer'!B:O,6,FALSE)*$BN$3,0)</f>
        <v>195</v>
      </c>
      <c r="CH79" s="381">
        <f>_xlfn.IFNA(VLOOKUP(A79,'Actuals Dep Summer'!B:O,7,FALSE)*$BN$3,0)</f>
        <v>390</v>
      </c>
      <c r="CI79" s="381">
        <f>_xlfn.IFNA(VLOOKUP(A79,'Actuals Dep Summer'!B:O,8,FALSE)*$BN$3,0)</f>
        <v>5655</v>
      </c>
      <c r="CJ79" s="381">
        <f>_xlfn.IFNA(VLOOKUP(A79,'Actuals Summer'!$A:$AG,31,FALSE),0)*$BN$3</f>
        <v>51.971391894370072</v>
      </c>
      <c r="CK79" s="381"/>
      <c r="CL79" s="381">
        <f>_xlfn.IFNA(VLOOKUP(A79,'Actuals Summer'!$A:$AG,32,FALSE),0)*$BN$3</f>
        <v>10140</v>
      </c>
      <c r="CM79" s="381">
        <f>_xlfn.IFNA(VLOOKUP(A79,'Actuals Summer'!$A:$AG,33,FALSE),0)</f>
        <v>0</v>
      </c>
      <c r="CP79" s="458">
        <f t="shared" si="46"/>
        <v>0</v>
      </c>
      <c r="CQ79" s="458">
        <f t="shared" si="47"/>
        <v>0</v>
      </c>
      <c r="CR79" s="458">
        <f t="shared" si="32"/>
        <v>0</v>
      </c>
      <c r="CS79" s="458">
        <f t="shared" si="48"/>
        <v>37525.800000000003</v>
      </c>
      <c r="CT79" s="458">
        <f t="shared" si="49"/>
        <v>0</v>
      </c>
      <c r="CU79" s="458">
        <f t="shared" si="50"/>
        <v>118.95</v>
      </c>
      <c r="CV79" s="458">
        <f t="shared" si="51"/>
        <v>113.1</v>
      </c>
      <c r="CW79" s="458">
        <f t="shared" si="52"/>
        <v>452.40000000000003</v>
      </c>
      <c r="CX79" s="458">
        <f t="shared" si="53"/>
        <v>780</v>
      </c>
      <c r="CY79" s="458">
        <f t="shared" si="54"/>
        <v>298.31578947368416</v>
      </c>
      <c r="CZ79" s="458">
        <f t="shared" si="55"/>
        <v>0</v>
      </c>
      <c r="DA79" s="458">
        <f t="shared" si="56"/>
        <v>0</v>
      </c>
      <c r="DB79" s="458">
        <f t="shared" si="57"/>
        <v>39288.565789473687</v>
      </c>
      <c r="DC79" s="452">
        <f>_xlfn.XLOOKUP($A79,'Actuals Summer'!$A:$A,'Actuals Summer'!L:L,0,0)</f>
        <v>0</v>
      </c>
      <c r="DD79" s="452">
        <f>_xlfn.XLOOKUP($A79,'Actuals Summer'!$A:$A,'Actuals Summer'!K:K,0,0)+_xlfn.XLOOKUP($A79,'Actuals Summer'!$A:$A,'Actuals Summer'!Q:Q,0,0)</f>
        <v>0</v>
      </c>
      <c r="DE79" s="452">
        <f>_xlfn.XLOOKUP($A79,'Actuals Summer'!$A:$A,'Actuals Summer'!I:I,0,0)+_xlfn.XLOOKUP($A79,'Actuals Summer'!$A:$A,'Actuals Summer'!R:R,0,0)</f>
        <v>37525.800000000003</v>
      </c>
      <c r="DF79" s="452">
        <f>_xlfn.XLOOKUP($A79,'Actuals Summer'!$A:$A,'Actuals Summer'!J:J,0,0)</f>
        <v>0</v>
      </c>
      <c r="DG79" s="452">
        <f>_xlfn.XLOOKUP($A79,'Actuals Dep Summer'!$B:$B,'Actuals Dep Summer'!G:G,0,0)*'Actuals Dep Summer'!$F$2*'Actuals Dep Summer'!$C$2</f>
        <v>118.95</v>
      </c>
      <c r="DH79" s="452">
        <f>_xlfn.XLOOKUP($A79,'Actuals Dep Summer'!$B:$B,'Actuals Dep Summer'!H:H,0,0)*'Actuals Dep Summer'!$F$2*'Actuals Dep Summer'!$C$3</f>
        <v>113.1</v>
      </c>
      <c r="DI79" s="452">
        <f>_xlfn.XLOOKUP($A79,'Actuals Dep Summer'!$B:$B,'Actuals Dep Summer'!I:I,0,0)*'Actuals Dep Summer'!$F$2*'Actuals Dep Summer'!$C$4</f>
        <v>452.40000000000003</v>
      </c>
      <c r="DJ79" s="452">
        <f>_xlfn.XLOOKUP($A79,'Actuals Summer'!$A:$A,'Actuals Summer'!P:P,0,0)</f>
        <v>780</v>
      </c>
      <c r="DK79" s="452">
        <f>_xlfn.XLOOKUP($A79,'Actuals Summer'!$A:$A,'Actuals Summer'!O:O,0,0)</f>
        <v>298.31578947368422</v>
      </c>
      <c r="DL79" s="452"/>
      <c r="DM79" s="452">
        <f>_xlfn.XLOOKUP($A79,'Actuals Summer'!$A:$A,'Actuals Summer'!M:M,0,0)</f>
        <v>0</v>
      </c>
      <c r="DN79" s="453">
        <f t="shared" si="33"/>
        <v>39288.565789473687</v>
      </c>
      <c r="DO79" s="453">
        <f>_xlfn.XLOOKUP(A79,'Actuals Summer'!A:A,'Actuals Summer'!S:S,0,0)-'Summer data team '!DN79</f>
        <v>0</v>
      </c>
      <c r="DP79" s="463">
        <f t="shared" si="34"/>
        <v>0</v>
      </c>
    </row>
    <row r="80" spans="1:120" ht="13" x14ac:dyDescent="0.3">
      <c r="A80" s="364">
        <v>2119</v>
      </c>
      <c r="B80" s="364">
        <v>3302119</v>
      </c>
      <c r="C80" s="364" t="s">
        <v>289</v>
      </c>
      <c r="D80" s="506">
        <v>0</v>
      </c>
      <c r="E80" s="506">
        <v>0</v>
      </c>
      <c r="F80" s="506">
        <v>0</v>
      </c>
      <c r="G80" s="506">
        <v>9</v>
      </c>
      <c r="H80" s="506">
        <v>12</v>
      </c>
      <c r="I80" s="507">
        <v>0</v>
      </c>
      <c r="J80" s="507">
        <v>21</v>
      </c>
      <c r="K80" s="506">
        <v>0</v>
      </c>
      <c r="L80" s="506">
        <v>0</v>
      </c>
      <c r="M80" s="507">
        <v>0</v>
      </c>
      <c r="N80" s="506">
        <v>0</v>
      </c>
      <c r="O80" s="506">
        <v>0</v>
      </c>
      <c r="P80" s="506">
        <v>135</v>
      </c>
      <c r="Q80" s="506">
        <v>180</v>
      </c>
      <c r="R80" s="507">
        <v>315</v>
      </c>
      <c r="S80" s="506">
        <v>0</v>
      </c>
      <c r="T80" s="506">
        <v>0</v>
      </c>
      <c r="U80" s="506">
        <v>0</v>
      </c>
      <c r="V80" s="506">
        <v>0</v>
      </c>
      <c r="W80" s="507">
        <v>0</v>
      </c>
      <c r="X80" s="506">
        <v>3</v>
      </c>
      <c r="Y80" s="506">
        <v>45</v>
      </c>
      <c r="Z80" s="508">
        <v>0</v>
      </c>
      <c r="AA80" s="506">
        <v>1</v>
      </c>
      <c r="AB80" s="506">
        <v>15</v>
      </c>
      <c r="AC80" s="508">
        <v>0</v>
      </c>
      <c r="AD80" s="506">
        <v>4</v>
      </c>
      <c r="AE80" s="506">
        <v>60</v>
      </c>
      <c r="AF80" s="508">
        <v>0</v>
      </c>
      <c r="AG80" s="509">
        <v>0</v>
      </c>
      <c r="AH80" s="509">
        <v>0</v>
      </c>
      <c r="AI80" s="508">
        <v>0</v>
      </c>
      <c r="AJ80" s="509">
        <v>12</v>
      </c>
      <c r="AK80" s="509">
        <v>180</v>
      </c>
      <c r="AL80" s="508">
        <v>0</v>
      </c>
      <c r="AM80" s="506">
        <v>12</v>
      </c>
      <c r="AN80" s="506">
        <v>180</v>
      </c>
      <c r="AO80" s="508">
        <v>0</v>
      </c>
      <c r="AP80" s="508"/>
      <c r="AQ80" s="508">
        <f t="shared" si="35"/>
        <v>12</v>
      </c>
      <c r="AR80" s="509">
        <v>0</v>
      </c>
      <c r="AS80" s="509">
        <v>0</v>
      </c>
      <c r="AT80" s="508">
        <v>0</v>
      </c>
      <c r="AU80" s="509">
        <v>0</v>
      </c>
      <c r="AV80" s="509">
        <v>0</v>
      </c>
      <c r="AW80" s="508">
        <v>0</v>
      </c>
      <c r="AX80" s="506">
        <v>0</v>
      </c>
      <c r="AY80" s="506">
        <v>0</v>
      </c>
      <c r="AZ80" s="508">
        <v>0</v>
      </c>
      <c r="BA80" s="508"/>
      <c r="BB80" s="508">
        <f t="shared" si="36"/>
        <v>0</v>
      </c>
      <c r="BC80" s="509">
        <v>0</v>
      </c>
      <c r="BD80" s="509">
        <v>0</v>
      </c>
      <c r="BE80" s="506">
        <v>0</v>
      </c>
      <c r="BF80" s="200"/>
      <c r="BG80" s="200"/>
      <c r="BH80" s="200"/>
      <c r="BI80" s="200"/>
      <c r="BJ80" s="200"/>
      <c r="BK80" s="200"/>
      <c r="BL80" s="200"/>
      <c r="BM80" s="505">
        <f t="shared" si="37"/>
        <v>0</v>
      </c>
      <c r="BN80" s="200">
        <f t="shared" si="38"/>
        <v>0</v>
      </c>
      <c r="BO80" s="200">
        <f t="shared" si="31"/>
        <v>0</v>
      </c>
      <c r="BP80" s="200">
        <f t="shared" si="39"/>
        <v>4095</v>
      </c>
      <c r="BQ80" s="200">
        <f t="shared" si="40"/>
        <v>0</v>
      </c>
      <c r="BR80" s="200">
        <f t="shared" si="41"/>
        <v>585</v>
      </c>
      <c r="BS80" s="200">
        <f t="shared" si="42"/>
        <v>195</v>
      </c>
      <c r="BT80" s="200">
        <f t="shared" si="43"/>
        <v>780</v>
      </c>
      <c r="BU80" s="200">
        <f t="shared" si="44"/>
        <v>2340</v>
      </c>
      <c r="BV80" s="200">
        <v>0</v>
      </c>
      <c r="BW80" s="200">
        <v>0</v>
      </c>
      <c r="BX80" s="200">
        <f t="shared" si="45"/>
        <v>0</v>
      </c>
      <c r="CB80" s="381">
        <f>_xlfn.IFNA(VLOOKUP(A80,'Actuals Summer'!$A:$AG,23,FALSE),0)</f>
        <v>4095</v>
      </c>
      <c r="CC80" s="381">
        <f>_xlfn.IFNA(VLOOKUP(A80,'Actuals Summer'!$A:$AG,24,FALSE),0)</f>
        <v>0</v>
      </c>
      <c r="CD80" s="381">
        <f>_xlfn.IFNA(VLOOKUP(A80,'Actuals Summer'!$A:$AG,25,FALSE),0)</f>
        <v>0</v>
      </c>
      <c r="CE80" s="381">
        <f>_xlfn.IFNA(VLOOKUP(A80,'Actuals Summer'!$A:$AG,26,FALSE),0)</f>
        <v>0</v>
      </c>
      <c r="CF80" s="381">
        <f>_xlfn.IFNA(VLOOKUP(A80,'Actuals Summer'!$A:$AG,27,FALSE),0)</f>
        <v>0</v>
      </c>
      <c r="CG80" s="381">
        <f>_xlfn.IFNA(VLOOKUP(A80,'Actuals Dep Summer'!B:O,6,FALSE)*$BN$3,0)</f>
        <v>585</v>
      </c>
      <c r="CH80" s="381">
        <f>_xlfn.IFNA(VLOOKUP(A80,'Actuals Dep Summer'!B:O,7,FALSE)*$BN$3,0)</f>
        <v>195</v>
      </c>
      <c r="CI80" s="381">
        <f>_xlfn.IFNA(VLOOKUP(A80,'Actuals Dep Summer'!B:O,8,FALSE)*$BN$3,0)</f>
        <v>780</v>
      </c>
      <c r="CJ80" s="381">
        <f>_xlfn.IFNA(VLOOKUP(A80,'Actuals Summer'!$A:$AG,31,FALSE),0)*$BN$3</f>
        <v>0</v>
      </c>
      <c r="CK80" s="381"/>
      <c r="CL80" s="381">
        <f>_xlfn.IFNA(VLOOKUP(A80,'Actuals Summer'!$A:$AG,32,FALSE),0)*$BN$3</f>
        <v>30420</v>
      </c>
      <c r="CM80" s="381">
        <f>_xlfn.IFNA(VLOOKUP(A80,'Actuals Summer'!$A:$AG,33,FALSE),0)</f>
        <v>0</v>
      </c>
      <c r="CP80" s="458">
        <f t="shared" si="46"/>
        <v>0</v>
      </c>
      <c r="CQ80" s="458">
        <f t="shared" si="47"/>
        <v>0</v>
      </c>
      <c r="CR80" s="458">
        <f t="shared" si="32"/>
        <v>0</v>
      </c>
      <c r="CS80" s="458">
        <f t="shared" si="48"/>
        <v>23177.7</v>
      </c>
      <c r="CT80" s="458">
        <f t="shared" si="49"/>
        <v>0</v>
      </c>
      <c r="CU80" s="458">
        <f t="shared" si="50"/>
        <v>356.84999999999997</v>
      </c>
      <c r="CV80" s="458">
        <f t="shared" si="51"/>
        <v>56.55</v>
      </c>
      <c r="CW80" s="458">
        <f t="shared" si="52"/>
        <v>62.4</v>
      </c>
      <c r="CX80" s="458">
        <f t="shared" si="53"/>
        <v>2340</v>
      </c>
      <c r="CY80" s="458">
        <f t="shared" si="54"/>
        <v>0</v>
      </c>
      <c r="CZ80" s="458">
        <f t="shared" si="55"/>
        <v>0</v>
      </c>
      <c r="DA80" s="458">
        <f t="shared" si="56"/>
        <v>0</v>
      </c>
      <c r="DB80" s="458">
        <f t="shared" si="57"/>
        <v>25993.5</v>
      </c>
      <c r="DC80" s="452">
        <f>_xlfn.XLOOKUP($A80,'Actuals Summer'!$A:$A,'Actuals Summer'!L:L,0,0)</f>
        <v>0</v>
      </c>
      <c r="DD80" s="452">
        <f>_xlfn.XLOOKUP($A80,'Actuals Summer'!$A:$A,'Actuals Summer'!K:K,0,0)+_xlfn.XLOOKUP($A80,'Actuals Summer'!$A:$A,'Actuals Summer'!Q:Q,0,0)</f>
        <v>0</v>
      </c>
      <c r="DE80" s="452">
        <f>_xlfn.XLOOKUP($A80,'Actuals Summer'!$A:$A,'Actuals Summer'!I:I,0,0)+_xlfn.XLOOKUP($A80,'Actuals Summer'!$A:$A,'Actuals Summer'!R:R,0,0)</f>
        <v>23177.7</v>
      </c>
      <c r="DF80" s="452">
        <f>_xlfn.XLOOKUP($A80,'Actuals Summer'!$A:$A,'Actuals Summer'!J:J,0,0)</f>
        <v>0</v>
      </c>
      <c r="DG80" s="452">
        <f>_xlfn.XLOOKUP($A80,'Actuals Dep Summer'!$B:$B,'Actuals Dep Summer'!G:G,0,0)*'Actuals Dep Summer'!$F$2*'Actuals Dep Summer'!$C$2</f>
        <v>356.84999999999997</v>
      </c>
      <c r="DH80" s="452">
        <f>_xlfn.XLOOKUP($A80,'Actuals Dep Summer'!$B:$B,'Actuals Dep Summer'!H:H,0,0)*'Actuals Dep Summer'!$F$2*'Actuals Dep Summer'!$C$3</f>
        <v>56.55</v>
      </c>
      <c r="DI80" s="452">
        <f>_xlfn.XLOOKUP($A80,'Actuals Dep Summer'!$B:$B,'Actuals Dep Summer'!I:I,0,0)*'Actuals Dep Summer'!$F$2*'Actuals Dep Summer'!$C$4</f>
        <v>62.4</v>
      </c>
      <c r="DJ80" s="452">
        <f>_xlfn.XLOOKUP($A80,'Actuals Summer'!$A:$A,'Actuals Summer'!P:P,0,0)</f>
        <v>2340</v>
      </c>
      <c r="DK80" s="452">
        <f>_xlfn.XLOOKUP($A80,'Actuals Summer'!$A:$A,'Actuals Summer'!O:O,0,0)</f>
        <v>0</v>
      </c>
      <c r="DL80" s="452"/>
      <c r="DM80" s="452">
        <f>_xlfn.XLOOKUP($A80,'Actuals Summer'!$A:$A,'Actuals Summer'!M:M,0,0)</f>
        <v>0</v>
      </c>
      <c r="DN80" s="453">
        <f t="shared" si="33"/>
        <v>25993.5</v>
      </c>
      <c r="DO80" s="453">
        <f>_xlfn.XLOOKUP(A80,'Actuals Summer'!A:A,'Actuals Summer'!S:S,0,0)-'Summer data team '!DN80</f>
        <v>0</v>
      </c>
      <c r="DP80" s="463">
        <f t="shared" si="34"/>
        <v>0</v>
      </c>
    </row>
    <row r="81" spans="1:120" ht="13" x14ac:dyDescent="0.3">
      <c r="A81" s="364">
        <v>2121</v>
      </c>
      <c r="B81" s="364">
        <v>3302121</v>
      </c>
      <c r="C81" s="364" t="s">
        <v>290</v>
      </c>
      <c r="D81" s="506">
        <v>0</v>
      </c>
      <c r="E81" s="506">
        <v>0</v>
      </c>
      <c r="F81" s="506">
        <v>0</v>
      </c>
      <c r="G81" s="506">
        <v>13</v>
      </c>
      <c r="H81" s="506">
        <v>14</v>
      </c>
      <c r="I81" s="507">
        <v>0</v>
      </c>
      <c r="J81" s="507">
        <v>27</v>
      </c>
      <c r="K81" s="506">
        <v>0</v>
      </c>
      <c r="L81" s="506">
        <v>1</v>
      </c>
      <c r="M81" s="507">
        <v>1</v>
      </c>
      <c r="N81" s="506">
        <v>0</v>
      </c>
      <c r="O81" s="506">
        <v>0</v>
      </c>
      <c r="P81" s="506">
        <v>195</v>
      </c>
      <c r="Q81" s="506">
        <v>210</v>
      </c>
      <c r="R81" s="507">
        <v>405</v>
      </c>
      <c r="S81" s="506">
        <v>0</v>
      </c>
      <c r="T81" s="506">
        <v>0</v>
      </c>
      <c r="U81" s="506">
        <v>0</v>
      </c>
      <c r="V81" s="506">
        <v>15</v>
      </c>
      <c r="W81" s="507">
        <v>15</v>
      </c>
      <c r="X81" s="506">
        <v>16</v>
      </c>
      <c r="Y81" s="506">
        <v>240</v>
      </c>
      <c r="Z81" s="508">
        <v>0</v>
      </c>
      <c r="AA81" s="506">
        <v>7</v>
      </c>
      <c r="AB81" s="506">
        <v>105</v>
      </c>
      <c r="AC81" s="508">
        <v>15</v>
      </c>
      <c r="AD81" s="506">
        <v>0</v>
      </c>
      <c r="AE81" s="506">
        <v>0</v>
      </c>
      <c r="AF81" s="508">
        <v>0</v>
      </c>
      <c r="AG81" s="509">
        <v>0</v>
      </c>
      <c r="AH81" s="509">
        <v>0</v>
      </c>
      <c r="AI81" s="508">
        <v>0</v>
      </c>
      <c r="AJ81" s="509">
        <v>16</v>
      </c>
      <c r="AK81" s="509">
        <v>240</v>
      </c>
      <c r="AL81" s="508">
        <v>0</v>
      </c>
      <c r="AM81" s="506">
        <v>16</v>
      </c>
      <c r="AN81" s="506">
        <v>240</v>
      </c>
      <c r="AO81" s="508">
        <v>0</v>
      </c>
      <c r="AP81" s="508"/>
      <c r="AQ81" s="508">
        <f t="shared" si="35"/>
        <v>16</v>
      </c>
      <c r="AR81" s="509">
        <v>0</v>
      </c>
      <c r="AS81" s="509">
        <v>0</v>
      </c>
      <c r="AT81" s="508">
        <v>0</v>
      </c>
      <c r="AU81" s="509">
        <v>16</v>
      </c>
      <c r="AV81" s="509">
        <v>240</v>
      </c>
      <c r="AW81" s="508">
        <v>0</v>
      </c>
      <c r="AX81" s="506">
        <v>16</v>
      </c>
      <c r="AY81" s="506">
        <v>240</v>
      </c>
      <c r="AZ81" s="508">
        <v>0</v>
      </c>
      <c r="BA81" s="508"/>
      <c r="BB81" s="508">
        <f t="shared" si="36"/>
        <v>32</v>
      </c>
      <c r="BC81" s="509">
        <v>0</v>
      </c>
      <c r="BD81" s="509">
        <v>0</v>
      </c>
      <c r="BE81" s="506">
        <v>0</v>
      </c>
      <c r="BF81" s="200"/>
      <c r="BG81" s="200"/>
      <c r="BH81" s="200"/>
      <c r="BI81" s="200"/>
      <c r="BJ81" s="200"/>
      <c r="BK81" s="200"/>
      <c r="BL81" s="200"/>
      <c r="BM81" s="505">
        <f t="shared" si="37"/>
        <v>0</v>
      </c>
      <c r="BN81" s="200">
        <f t="shared" si="38"/>
        <v>0</v>
      </c>
      <c r="BO81" s="200">
        <f t="shared" si="31"/>
        <v>0</v>
      </c>
      <c r="BP81" s="200">
        <f t="shared" si="39"/>
        <v>5265</v>
      </c>
      <c r="BQ81" s="200">
        <f t="shared" si="40"/>
        <v>195</v>
      </c>
      <c r="BR81" s="200">
        <f t="shared" si="41"/>
        <v>3120</v>
      </c>
      <c r="BS81" s="200">
        <f t="shared" si="42"/>
        <v>1560</v>
      </c>
      <c r="BT81" s="200">
        <f t="shared" si="43"/>
        <v>0</v>
      </c>
      <c r="BU81" s="200">
        <f t="shared" si="44"/>
        <v>3120</v>
      </c>
      <c r="BV81" s="200">
        <v>16</v>
      </c>
      <c r="BW81" s="200">
        <v>0</v>
      </c>
      <c r="BX81" s="200">
        <f t="shared" si="45"/>
        <v>0</v>
      </c>
      <c r="CB81" s="381">
        <f>_xlfn.IFNA(VLOOKUP(A81,'Actuals Summer'!$A:$AG,23,FALSE),0)</f>
        <v>5265</v>
      </c>
      <c r="CC81" s="381">
        <f>_xlfn.IFNA(VLOOKUP(A81,'Actuals Summer'!$A:$AG,24,FALSE),0)</f>
        <v>195</v>
      </c>
      <c r="CD81" s="381">
        <f>_xlfn.IFNA(VLOOKUP(A81,'Actuals Summer'!$A:$AG,25,FALSE),0)</f>
        <v>0</v>
      </c>
      <c r="CE81" s="381">
        <f>_xlfn.IFNA(VLOOKUP(A81,'Actuals Summer'!$A:$AG,26,FALSE),0)</f>
        <v>0</v>
      </c>
      <c r="CF81" s="381">
        <f>_xlfn.IFNA(VLOOKUP(A81,'Actuals Summer'!$A:$AG,27,FALSE),0)</f>
        <v>0</v>
      </c>
      <c r="CG81" s="381">
        <f>_xlfn.IFNA(VLOOKUP(A81,'Actuals Dep Summer'!B:O,6,FALSE)*$BN$3,0)</f>
        <v>3120</v>
      </c>
      <c r="CH81" s="381">
        <f>_xlfn.IFNA(VLOOKUP(A81,'Actuals Dep Summer'!B:O,7,FALSE)*$BN$3,0)</f>
        <v>1365</v>
      </c>
      <c r="CI81" s="381">
        <f>_xlfn.IFNA(VLOOKUP(A81,'Actuals Dep Summer'!B:O,8,FALSE)*$BN$3,0)</f>
        <v>0</v>
      </c>
      <c r="CJ81" s="381">
        <f>_xlfn.IFNA(VLOOKUP(A81,'Actuals Summer'!$A:$AG,31,FALSE),0)*$BN$3</f>
        <v>207.88556757748029</v>
      </c>
      <c r="CK81" s="381"/>
      <c r="CL81" s="381">
        <f>_xlfn.IFNA(VLOOKUP(A81,'Actuals Summer'!$A:$AG,32,FALSE),0)*$BN$3</f>
        <v>40560</v>
      </c>
      <c r="CM81" s="381">
        <f>_xlfn.IFNA(VLOOKUP(A81,'Actuals Summer'!$A:$AG,33,FALSE),0)</f>
        <v>0</v>
      </c>
      <c r="CP81" s="458">
        <f t="shared" si="46"/>
        <v>0</v>
      </c>
      <c r="CQ81" s="458">
        <f t="shared" si="47"/>
        <v>0</v>
      </c>
      <c r="CR81" s="458">
        <f t="shared" si="32"/>
        <v>0</v>
      </c>
      <c r="CS81" s="458">
        <f t="shared" si="48"/>
        <v>29799.9</v>
      </c>
      <c r="CT81" s="458">
        <f t="shared" si="49"/>
        <v>1103.7</v>
      </c>
      <c r="CU81" s="458">
        <f t="shared" si="50"/>
        <v>1903.2</v>
      </c>
      <c r="CV81" s="458">
        <f t="shared" si="51"/>
        <v>452.4</v>
      </c>
      <c r="CW81" s="458">
        <f t="shared" si="52"/>
        <v>0</v>
      </c>
      <c r="CX81" s="458">
        <f t="shared" si="53"/>
        <v>3120</v>
      </c>
      <c r="CY81" s="458">
        <f t="shared" si="54"/>
        <v>1193.2631578947367</v>
      </c>
      <c r="CZ81" s="458">
        <f t="shared" si="55"/>
        <v>0</v>
      </c>
      <c r="DA81" s="458">
        <f t="shared" si="56"/>
        <v>0</v>
      </c>
      <c r="DB81" s="458">
        <f t="shared" si="57"/>
        <v>37572.463157894745</v>
      </c>
      <c r="DC81" s="452">
        <f>_xlfn.XLOOKUP($A81,'Actuals Summer'!$A:$A,'Actuals Summer'!L:L,0,0)</f>
        <v>0</v>
      </c>
      <c r="DD81" s="452">
        <f>_xlfn.XLOOKUP($A81,'Actuals Summer'!$A:$A,'Actuals Summer'!K:K,0,0)+_xlfn.XLOOKUP($A81,'Actuals Summer'!$A:$A,'Actuals Summer'!Q:Q,0,0)</f>
        <v>0</v>
      </c>
      <c r="DE81" s="452">
        <f>_xlfn.XLOOKUP($A81,'Actuals Summer'!$A:$A,'Actuals Summer'!I:I,0,0)+_xlfn.XLOOKUP($A81,'Actuals Summer'!$A:$A,'Actuals Summer'!R:R,0,0)</f>
        <v>29799.9</v>
      </c>
      <c r="DF81" s="452">
        <f>_xlfn.XLOOKUP($A81,'Actuals Summer'!$A:$A,'Actuals Summer'!J:J,0,0)</f>
        <v>1103.7</v>
      </c>
      <c r="DG81" s="452">
        <f>_xlfn.XLOOKUP($A81,'Actuals Dep Summer'!$B:$B,'Actuals Dep Summer'!G:G,0,0)*'Actuals Dep Summer'!$F$2*'Actuals Dep Summer'!$C$2</f>
        <v>1903.2</v>
      </c>
      <c r="DH81" s="452">
        <f>_xlfn.XLOOKUP($A81,'Actuals Dep Summer'!$B:$B,'Actuals Dep Summer'!H:H,0,0)*'Actuals Dep Summer'!$F$2*'Actuals Dep Summer'!$C$3</f>
        <v>395.84999999999997</v>
      </c>
      <c r="DI81" s="452">
        <f>_xlfn.XLOOKUP($A81,'Actuals Dep Summer'!$B:$B,'Actuals Dep Summer'!I:I,0,0)*'Actuals Dep Summer'!$F$2*'Actuals Dep Summer'!$C$4</f>
        <v>0</v>
      </c>
      <c r="DJ81" s="452">
        <f>_xlfn.XLOOKUP($A81,'Actuals Summer'!$A:$A,'Actuals Summer'!P:P,0,0)</f>
        <v>3120</v>
      </c>
      <c r="DK81" s="452">
        <f>_xlfn.XLOOKUP($A81,'Actuals Summer'!$A:$A,'Actuals Summer'!O:O,0,0)</f>
        <v>1193.2631578947369</v>
      </c>
      <c r="DL81" s="452"/>
      <c r="DM81" s="452">
        <f>_xlfn.XLOOKUP($A81,'Actuals Summer'!$A:$A,'Actuals Summer'!M:M,0,0)</f>
        <v>0</v>
      </c>
      <c r="DN81" s="453">
        <f t="shared" si="33"/>
        <v>37515.913157894742</v>
      </c>
      <c r="DO81" s="453">
        <f>_xlfn.XLOOKUP(A81,'Actuals Summer'!A:A,'Actuals Summer'!S:S,0,0)-'Summer data team '!DN81</f>
        <v>0</v>
      </c>
      <c r="DP81" s="463">
        <f t="shared" si="34"/>
        <v>56.55000000000291</v>
      </c>
    </row>
    <row r="82" spans="1:120" ht="13" x14ac:dyDescent="0.3">
      <c r="A82" s="364">
        <v>2122</v>
      </c>
      <c r="B82" s="364">
        <v>3302122</v>
      </c>
      <c r="C82" s="364" t="s">
        <v>850</v>
      </c>
      <c r="D82" s="506">
        <v>0</v>
      </c>
      <c r="E82" s="506">
        <v>0</v>
      </c>
      <c r="F82" s="506">
        <v>0</v>
      </c>
      <c r="G82" s="506">
        <v>43</v>
      </c>
      <c r="H82" s="506">
        <v>22</v>
      </c>
      <c r="I82" s="507">
        <v>0</v>
      </c>
      <c r="J82" s="507">
        <v>65</v>
      </c>
      <c r="K82" s="506">
        <v>1</v>
      </c>
      <c r="L82" s="506">
        <v>3</v>
      </c>
      <c r="M82" s="507">
        <v>4</v>
      </c>
      <c r="N82" s="506">
        <v>0</v>
      </c>
      <c r="O82" s="506">
        <v>0</v>
      </c>
      <c r="P82" s="506">
        <v>645</v>
      </c>
      <c r="Q82" s="506">
        <v>330</v>
      </c>
      <c r="R82" s="507">
        <v>975</v>
      </c>
      <c r="S82" s="506">
        <v>0</v>
      </c>
      <c r="T82" s="506">
        <v>0</v>
      </c>
      <c r="U82" s="506">
        <v>15</v>
      </c>
      <c r="V82" s="506">
        <v>45</v>
      </c>
      <c r="W82" s="507">
        <v>60</v>
      </c>
      <c r="X82" s="506">
        <v>0</v>
      </c>
      <c r="Y82" s="506">
        <v>0</v>
      </c>
      <c r="Z82" s="508">
        <v>0</v>
      </c>
      <c r="AA82" s="506">
        <v>9</v>
      </c>
      <c r="AB82" s="506">
        <v>135</v>
      </c>
      <c r="AC82" s="508">
        <v>15</v>
      </c>
      <c r="AD82" s="506">
        <v>38</v>
      </c>
      <c r="AE82" s="506">
        <v>570</v>
      </c>
      <c r="AF82" s="508">
        <v>15</v>
      </c>
      <c r="AG82" s="509">
        <v>0</v>
      </c>
      <c r="AH82" s="509">
        <v>0</v>
      </c>
      <c r="AI82" s="508">
        <v>0</v>
      </c>
      <c r="AJ82" s="509">
        <v>15</v>
      </c>
      <c r="AK82" s="509">
        <v>225</v>
      </c>
      <c r="AL82" s="508">
        <v>30</v>
      </c>
      <c r="AM82" s="506">
        <v>15</v>
      </c>
      <c r="AN82" s="506">
        <v>225</v>
      </c>
      <c r="AO82" s="508">
        <v>30</v>
      </c>
      <c r="AP82" s="508"/>
      <c r="AQ82" s="508">
        <f t="shared" si="35"/>
        <v>15</v>
      </c>
      <c r="AR82" s="509">
        <v>0</v>
      </c>
      <c r="AS82" s="509">
        <v>0</v>
      </c>
      <c r="AT82" s="508">
        <v>0</v>
      </c>
      <c r="AU82" s="509">
        <v>15</v>
      </c>
      <c r="AV82" s="509">
        <v>225</v>
      </c>
      <c r="AW82" s="508">
        <v>30</v>
      </c>
      <c r="AX82" s="506">
        <v>15</v>
      </c>
      <c r="AY82" s="506">
        <v>225</v>
      </c>
      <c r="AZ82" s="508">
        <v>30</v>
      </c>
      <c r="BA82" s="508"/>
      <c r="BB82" s="508">
        <f t="shared" si="36"/>
        <v>30</v>
      </c>
      <c r="BC82" s="509">
        <v>0</v>
      </c>
      <c r="BD82" s="509">
        <v>0</v>
      </c>
      <c r="BE82" s="506">
        <v>0</v>
      </c>
      <c r="BF82" s="200"/>
      <c r="BG82" s="200"/>
      <c r="BH82" s="200"/>
      <c r="BI82" s="200"/>
      <c r="BJ82" s="200"/>
      <c r="BK82" s="200"/>
      <c r="BL82" s="200"/>
      <c r="BM82" s="505">
        <f t="shared" si="37"/>
        <v>0</v>
      </c>
      <c r="BN82" s="200">
        <f t="shared" si="38"/>
        <v>0</v>
      </c>
      <c r="BO82" s="200">
        <f t="shared" si="31"/>
        <v>0</v>
      </c>
      <c r="BP82" s="200">
        <f t="shared" si="39"/>
        <v>12675</v>
      </c>
      <c r="BQ82" s="200">
        <f t="shared" si="40"/>
        <v>780</v>
      </c>
      <c r="BR82" s="200">
        <f t="shared" si="41"/>
        <v>0</v>
      </c>
      <c r="BS82" s="200">
        <f t="shared" si="42"/>
        <v>1950</v>
      </c>
      <c r="BT82" s="200">
        <f t="shared" si="43"/>
        <v>7605</v>
      </c>
      <c r="BU82" s="200">
        <f t="shared" si="44"/>
        <v>2925</v>
      </c>
      <c r="BV82" s="200">
        <v>13</v>
      </c>
      <c r="BW82" s="200">
        <v>2</v>
      </c>
      <c r="BX82" s="200">
        <f t="shared" si="45"/>
        <v>0</v>
      </c>
      <c r="CB82" s="381">
        <f>_xlfn.IFNA(VLOOKUP(A82,'Actuals Summer'!$A:$AG,23,FALSE),0)</f>
        <v>12675</v>
      </c>
      <c r="CC82" s="381">
        <f>_xlfn.IFNA(VLOOKUP(A82,'Actuals Summer'!$A:$AG,24,FALSE),0)</f>
        <v>780</v>
      </c>
      <c r="CD82" s="381">
        <f>_xlfn.IFNA(VLOOKUP(A82,'Actuals Summer'!$A:$AG,25,FALSE),0)</f>
        <v>0</v>
      </c>
      <c r="CE82" s="381">
        <f>_xlfn.IFNA(VLOOKUP(A82,'Actuals Summer'!$A:$AG,26,FALSE),0)</f>
        <v>0</v>
      </c>
      <c r="CF82" s="381">
        <f>_xlfn.IFNA(VLOOKUP(A82,'Actuals Summer'!$A:$AG,27,FALSE),0)</f>
        <v>0</v>
      </c>
      <c r="CG82" s="381">
        <f>_xlfn.IFNA(VLOOKUP(A82,'Actuals Dep Summer'!B:O,6,FALSE)*$BN$3,0)</f>
        <v>0</v>
      </c>
      <c r="CH82" s="381">
        <f>_xlfn.IFNA(VLOOKUP(A82,'Actuals Dep Summer'!B:O,7,FALSE)*$BN$3,0)</f>
        <v>1755</v>
      </c>
      <c r="CI82" s="381">
        <f>_xlfn.IFNA(VLOOKUP(A82,'Actuals Dep Summer'!B:O,8,FALSE)*$BN$3,0)</f>
        <v>7410</v>
      </c>
      <c r="CJ82" s="381">
        <f>_xlfn.IFNA(VLOOKUP(A82,'Actuals Summer'!$A:$AG,31,FALSE),0)*$BN$3</f>
        <v>194.89271960388777</v>
      </c>
      <c r="CK82" s="381"/>
      <c r="CL82" s="381">
        <f>_xlfn.IFNA(VLOOKUP(A82,'Actuals Summer'!$A:$AG,32,FALSE),0)*$BN$3</f>
        <v>38025</v>
      </c>
      <c r="CM82" s="381">
        <f>_xlfn.IFNA(VLOOKUP(A82,'Actuals Summer'!$A:$AG,33,FALSE),0)</f>
        <v>0</v>
      </c>
      <c r="CP82" s="458">
        <f t="shared" si="46"/>
        <v>0</v>
      </c>
      <c r="CQ82" s="458">
        <f t="shared" si="47"/>
        <v>0</v>
      </c>
      <c r="CR82" s="458">
        <f t="shared" si="32"/>
        <v>0</v>
      </c>
      <c r="CS82" s="458">
        <f t="shared" si="48"/>
        <v>71740.5</v>
      </c>
      <c r="CT82" s="458">
        <f t="shared" si="49"/>
        <v>4414.8</v>
      </c>
      <c r="CU82" s="458">
        <f t="shared" si="50"/>
        <v>0</v>
      </c>
      <c r="CV82" s="458">
        <f t="shared" si="51"/>
        <v>565.5</v>
      </c>
      <c r="CW82" s="458">
        <f t="shared" si="52"/>
        <v>608.4</v>
      </c>
      <c r="CX82" s="458">
        <f t="shared" si="53"/>
        <v>2925</v>
      </c>
      <c r="CY82" s="458">
        <f t="shared" si="54"/>
        <v>969.52631578947353</v>
      </c>
      <c r="CZ82" s="458">
        <f t="shared" si="55"/>
        <v>372.89473684210526</v>
      </c>
      <c r="DA82" s="458">
        <f t="shared" si="56"/>
        <v>0</v>
      </c>
      <c r="DB82" s="458">
        <f t="shared" si="57"/>
        <v>81596.621052631584</v>
      </c>
      <c r="DC82" s="452">
        <f>_xlfn.XLOOKUP($A82,'Actuals Summer'!$A:$A,'Actuals Summer'!L:L,0,0)</f>
        <v>0</v>
      </c>
      <c r="DD82" s="452">
        <f>_xlfn.XLOOKUP($A82,'Actuals Summer'!$A:$A,'Actuals Summer'!K:K,0,0)+_xlfn.XLOOKUP($A82,'Actuals Summer'!$A:$A,'Actuals Summer'!Q:Q,0,0)</f>
        <v>0</v>
      </c>
      <c r="DE82" s="452">
        <f>_xlfn.XLOOKUP($A82,'Actuals Summer'!$A:$A,'Actuals Summer'!I:I,0,0)+_xlfn.XLOOKUP($A82,'Actuals Summer'!$A:$A,'Actuals Summer'!R:R,0,0)</f>
        <v>71740.5</v>
      </c>
      <c r="DF82" s="452">
        <f>_xlfn.XLOOKUP($A82,'Actuals Summer'!$A:$A,'Actuals Summer'!J:J,0,0)</f>
        <v>4414.8</v>
      </c>
      <c r="DG82" s="452">
        <f>_xlfn.XLOOKUP($A82,'Actuals Dep Summer'!$B:$B,'Actuals Dep Summer'!G:G,0,0)*'Actuals Dep Summer'!$F$2*'Actuals Dep Summer'!$C$2</f>
        <v>0</v>
      </c>
      <c r="DH82" s="452">
        <f>_xlfn.XLOOKUP($A82,'Actuals Dep Summer'!$B:$B,'Actuals Dep Summer'!H:H,0,0)*'Actuals Dep Summer'!$F$2*'Actuals Dep Summer'!$C$3</f>
        <v>508.95</v>
      </c>
      <c r="DI82" s="452">
        <f>_xlfn.XLOOKUP($A82,'Actuals Dep Summer'!$B:$B,'Actuals Dep Summer'!I:I,0,0)*'Actuals Dep Summer'!$F$2*'Actuals Dep Summer'!$C$4</f>
        <v>592.80000000000007</v>
      </c>
      <c r="DJ82" s="452">
        <f>_xlfn.XLOOKUP($A82,'Actuals Summer'!$A:$A,'Actuals Summer'!P:P,0,0)</f>
        <v>2925</v>
      </c>
      <c r="DK82" s="452">
        <f>_xlfn.XLOOKUP($A82,'Actuals Summer'!$A:$A,'Actuals Summer'!O:O,0,0)</f>
        <v>1118.6842105263158</v>
      </c>
      <c r="DL82" s="452"/>
      <c r="DM82" s="452">
        <f>_xlfn.XLOOKUP($A82,'Actuals Summer'!$A:$A,'Actuals Summer'!M:M,0,0)</f>
        <v>0</v>
      </c>
      <c r="DN82" s="453">
        <f t="shared" si="33"/>
        <v>81300.734210526323</v>
      </c>
      <c r="DO82" s="453">
        <f>_xlfn.XLOOKUP(A82,'Actuals Summer'!A:A,'Actuals Summer'!S:S,0,0)-'Summer data team '!DN82</f>
        <v>0</v>
      </c>
      <c r="DP82" s="463">
        <f t="shared" si="34"/>
        <v>295.88684210526117</v>
      </c>
    </row>
    <row r="83" spans="1:120" ht="13" x14ac:dyDescent="0.3">
      <c r="A83" s="364">
        <v>2127</v>
      </c>
      <c r="B83" s="364">
        <v>3302127</v>
      </c>
      <c r="C83" s="364" t="s">
        <v>292</v>
      </c>
      <c r="D83" s="506">
        <v>0</v>
      </c>
      <c r="E83" s="506">
        <v>0</v>
      </c>
      <c r="F83" s="506">
        <v>0</v>
      </c>
      <c r="G83" s="506">
        <v>15</v>
      </c>
      <c r="H83" s="506">
        <v>26</v>
      </c>
      <c r="I83" s="507">
        <v>0</v>
      </c>
      <c r="J83" s="507">
        <v>41</v>
      </c>
      <c r="K83" s="506">
        <v>1</v>
      </c>
      <c r="L83" s="506">
        <v>5</v>
      </c>
      <c r="M83" s="507">
        <v>6</v>
      </c>
      <c r="N83" s="506">
        <v>0</v>
      </c>
      <c r="O83" s="506">
        <v>0</v>
      </c>
      <c r="P83" s="506">
        <v>225</v>
      </c>
      <c r="Q83" s="506">
        <v>390</v>
      </c>
      <c r="R83" s="507">
        <v>615</v>
      </c>
      <c r="S83" s="506">
        <v>0</v>
      </c>
      <c r="T83" s="506">
        <v>0</v>
      </c>
      <c r="U83" s="506">
        <v>15</v>
      </c>
      <c r="V83" s="506">
        <v>75</v>
      </c>
      <c r="W83" s="507">
        <v>90</v>
      </c>
      <c r="X83" s="506">
        <v>7</v>
      </c>
      <c r="Y83" s="506">
        <v>105</v>
      </c>
      <c r="Z83" s="508">
        <v>0</v>
      </c>
      <c r="AA83" s="506">
        <v>19</v>
      </c>
      <c r="AB83" s="506">
        <v>285</v>
      </c>
      <c r="AC83" s="508">
        <v>30</v>
      </c>
      <c r="AD83" s="506">
        <v>14</v>
      </c>
      <c r="AE83" s="506">
        <v>210</v>
      </c>
      <c r="AF83" s="508">
        <v>45</v>
      </c>
      <c r="AG83" s="509">
        <v>0</v>
      </c>
      <c r="AH83" s="509">
        <v>0</v>
      </c>
      <c r="AI83" s="508">
        <v>0</v>
      </c>
      <c r="AJ83" s="509">
        <v>15</v>
      </c>
      <c r="AK83" s="509">
        <v>225</v>
      </c>
      <c r="AL83" s="508">
        <v>15</v>
      </c>
      <c r="AM83" s="506">
        <v>15</v>
      </c>
      <c r="AN83" s="506">
        <v>225</v>
      </c>
      <c r="AO83" s="508">
        <v>15</v>
      </c>
      <c r="AP83" s="508"/>
      <c r="AQ83" s="508">
        <f t="shared" si="35"/>
        <v>15</v>
      </c>
      <c r="AR83" s="509">
        <v>0</v>
      </c>
      <c r="AS83" s="509">
        <v>0</v>
      </c>
      <c r="AT83" s="508">
        <v>0</v>
      </c>
      <c r="AU83" s="509">
        <v>15</v>
      </c>
      <c r="AV83" s="509">
        <v>225</v>
      </c>
      <c r="AW83" s="508">
        <v>15</v>
      </c>
      <c r="AX83" s="506">
        <v>15</v>
      </c>
      <c r="AY83" s="506">
        <v>225</v>
      </c>
      <c r="AZ83" s="508">
        <v>15</v>
      </c>
      <c r="BA83" s="508"/>
      <c r="BB83" s="508">
        <f t="shared" si="36"/>
        <v>30</v>
      </c>
      <c r="BC83" s="509">
        <v>0</v>
      </c>
      <c r="BD83" s="509">
        <v>1</v>
      </c>
      <c r="BE83" s="506">
        <v>1</v>
      </c>
      <c r="BF83" s="200"/>
      <c r="BG83" s="200"/>
      <c r="BH83" s="200"/>
      <c r="BI83" s="200"/>
      <c r="BJ83" s="200"/>
      <c r="BK83" s="200"/>
      <c r="BL83" s="200"/>
      <c r="BM83" s="505">
        <f t="shared" si="37"/>
        <v>0</v>
      </c>
      <c r="BN83" s="200">
        <f t="shared" si="38"/>
        <v>0</v>
      </c>
      <c r="BO83" s="200">
        <f t="shared" si="31"/>
        <v>0</v>
      </c>
      <c r="BP83" s="200">
        <f t="shared" si="39"/>
        <v>7995</v>
      </c>
      <c r="BQ83" s="200">
        <f t="shared" si="40"/>
        <v>1170</v>
      </c>
      <c r="BR83" s="200">
        <f t="shared" si="41"/>
        <v>1365</v>
      </c>
      <c r="BS83" s="200">
        <f t="shared" si="42"/>
        <v>4095</v>
      </c>
      <c r="BT83" s="200">
        <f t="shared" si="43"/>
        <v>3315</v>
      </c>
      <c r="BU83" s="200">
        <f t="shared" si="44"/>
        <v>2925</v>
      </c>
      <c r="BV83" s="200">
        <v>14</v>
      </c>
      <c r="BW83" s="200">
        <v>1</v>
      </c>
      <c r="BX83" s="200">
        <f t="shared" si="45"/>
        <v>1</v>
      </c>
      <c r="CB83" s="381">
        <f>_xlfn.IFNA(VLOOKUP(A83,'Actuals Summer'!$A:$AG,23,FALSE),0)</f>
        <v>7995.0000000000009</v>
      </c>
      <c r="CC83" s="381">
        <f>_xlfn.IFNA(VLOOKUP(A83,'Actuals Summer'!$A:$AG,24,FALSE),0)</f>
        <v>1170</v>
      </c>
      <c r="CD83" s="381">
        <f>_xlfn.IFNA(VLOOKUP(A83,'Actuals Summer'!$A:$AG,25,FALSE),0)</f>
        <v>0</v>
      </c>
      <c r="CE83" s="381">
        <f>_xlfn.IFNA(VLOOKUP(A83,'Actuals Summer'!$A:$AG,26,FALSE),0)</f>
        <v>0</v>
      </c>
      <c r="CF83" s="381">
        <f>_xlfn.IFNA(VLOOKUP(A83,'Actuals Summer'!$A:$AG,27,FALSE),0)</f>
        <v>0</v>
      </c>
      <c r="CG83" s="381">
        <f>_xlfn.IFNA(VLOOKUP(A83,'Actuals Dep Summer'!B:O,6,FALSE)*$BN$3,0)</f>
        <v>1365</v>
      </c>
      <c r="CH83" s="381">
        <f>_xlfn.IFNA(VLOOKUP(A83,'Actuals Dep Summer'!B:O,7,FALSE)*$BN$3,0)</f>
        <v>3705</v>
      </c>
      <c r="CI83" s="381">
        <f>_xlfn.IFNA(VLOOKUP(A83,'Actuals Dep Summer'!B:O,8,FALSE)*$BN$3,0)</f>
        <v>2730</v>
      </c>
      <c r="CJ83" s="381">
        <f>_xlfn.IFNA(VLOOKUP(A83,'Actuals Summer'!$A:$AG,31,FALSE),0)*$BN$3</f>
        <v>194.89271960388777</v>
      </c>
      <c r="CK83" s="381"/>
      <c r="CL83" s="381">
        <f>_xlfn.IFNA(VLOOKUP(A83,'Actuals Summer'!$A:$AG,32,FALSE),0)*$BN$3</f>
        <v>38025</v>
      </c>
      <c r="CM83" s="381">
        <f>_xlfn.IFNA(VLOOKUP(A83,'Actuals Summer'!$A:$AG,33,FALSE),0)</f>
        <v>0.99998523864195499</v>
      </c>
      <c r="CP83" s="458">
        <f t="shared" si="46"/>
        <v>0</v>
      </c>
      <c r="CQ83" s="458">
        <f t="shared" si="47"/>
        <v>0</v>
      </c>
      <c r="CR83" s="458">
        <f t="shared" si="32"/>
        <v>0</v>
      </c>
      <c r="CS83" s="458">
        <f t="shared" si="48"/>
        <v>45251.700000000004</v>
      </c>
      <c r="CT83" s="458">
        <f t="shared" si="49"/>
        <v>6622.2</v>
      </c>
      <c r="CU83" s="458">
        <f t="shared" si="50"/>
        <v>832.65</v>
      </c>
      <c r="CV83" s="458">
        <f t="shared" si="51"/>
        <v>1187.55</v>
      </c>
      <c r="CW83" s="458">
        <f t="shared" si="52"/>
        <v>265.2</v>
      </c>
      <c r="CX83" s="458">
        <f t="shared" si="53"/>
        <v>2925</v>
      </c>
      <c r="CY83" s="458">
        <f t="shared" si="54"/>
        <v>1044.1052631578946</v>
      </c>
      <c r="CZ83" s="458">
        <f t="shared" si="55"/>
        <v>186.44736842105263</v>
      </c>
      <c r="DA83" s="458">
        <f t="shared" si="56"/>
        <v>938</v>
      </c>
      <c r="DB83" s="458">
        <f t="shared" si="57"/>
        <v>59252.85263157895</v>
      </c>
      <c r="DC83" s="452">
        <f>_xlfn.XLOOKUP($A83,'Actuals Summer'!$A:$A,'Actuals Summer'!L:L,0,0)</f>
        <v>0</v>
      </c>
      <c r="DD83" s="452">
        <f>_xlfn.XLOOKUP($A83,'Actuals Summer'!$A:$A,'Actuals Summer'!K:K,0,0)+_xlfn.XLOOKUP($A83,'Actuals Summer'!$A:$A,'Actuals Summer'!Q:Q,0,0)</f>
        <v>0</v>
      </c>
      <c r="DE83" s="452">
        <f>_xlfn.XLOOKUP($A83,'Actuals Summer'!$A:$A,'Actuals Summer'!I:I,0,0)+_xlfn.XLOOKUP($A83,'Actuals Summer'!$A:$A,'Actuals Summer'!R:R,0,0)</f>
        <v>45251.700000000004</v>
      </c>
      <c r="DF83" s="452">
        <f>_xlfn.XLOOKUP($A83,'Actuals Summer'!$A:$A,'Actuals Summer'!J:J,0,0)</f>
        <v>6622.2</v>
      </c>
      <c r="DG83" s="452">
        <f>_xlfn.XLOOKUP($A83,'Actuals Dep Summer'!$B:$B,'Actuals Dep Summer'!G:G,0,0)*'Actuals Dep Summer'!$F$2*'Actuals Dep Summer'!$C$2</f>
        <v>832.65</v>
      </c>
      <c r="DH83" s="452">
        <f>_xlfn.XLOOKUP($A83,'Actuals Dep Summer'!$B:$B,'Actuals Dep Summer'!H:H,0,0)*'Actuals Dep Summer'!$F$2*'Actuals Dep Summer'!$C$3</f>
        <v>1074.4499999999998</v>
      </c>
      <c r="DI83" s="452">
        <f>_xlfn.XLOOKUP($A83,'Actuals Dep Summer'!$B:$B,'Actuals Dep Summer'!I:I,0,0)*'Actuals Dep Summer'!$F$2*'Actuals Dep Summer'!$C$4</f>
        <v>218.4</v>
      </c>
      <c r="DJ83" s="452">
        <f>_xlfn.XLOOKUP($A83,'Actuals Summer'!$A:$A,'Actuals Summer'!P:P,0,0)</f>
        <v>2925</v>
      </c>
      <c r="DK83" s="452">
        <f>_xlfn.XLOOKUP($A83,'Actuals Summer'!$A:$A,'Actuals Summer'!O:O,0,0)</f>
        <v>1118.6842105263158</v>
      </c>
      <c r="DL83" s="452"/>
      <c r="DM83" s="452">
        <f>_xlfn.XLOOKUP($A83,'Actuals Summer'!$A:$A,'Actuals Summer'!M:M,0,0)</f>
        <v>320.89</v>
      </c>
      <c r="DN83" s="453">
        <f t="shared" si="33"/>
        <v>58363.974210526314</v>
      </c>
      <c r="DO83" s="453">
        <f>_xlfn.XLOOKUP(A83,'Actuals Summer'!A:A,'Actuals Summer'!S:S,0,0)-'Summer data team '!DN83</f>
        <v>0</v>
      </c>
      <c r="DP83" s="463">
        <f t="shared" si="34"/>
        <v>888.87842105263553</v>
      </c>
    </row>
    <row r="84" spans="1:120" ht="13" x14ac:dyDescent="0.3">
      <c r="A84" s="364">
        <v>2132</v>
      </c>
      <c r="B84" s="364">
        <v>3302132</v>
      </c>
      <c r="C84" s="364" t="s">
        <v>293</v>
      </c>
      <c r="D84" s="506">
        <v>0</v>
      </c>
      <c r="E84" s="506">
        <v>0</v>
      </c>
      <c r="F84" s="506">
        <v>0</v>
      </c>
      <c r="G84" s="506">
        <v>15</v>
      </c>
      <c r="H84" s="506">
        <v>32</v>
      </c>
      <c r="I84" s="507">
        <v>0</v>
      </c>
      <c r="J84" s="507">
        <v>47</v>
      </c>
      <c r="K84" s="506">
        <v>0</v>
      </c>
      <c r="L84" s="506">
        <v>0</v>
      </c>
      <c r="M84" s="507">
        <v>0</v>
      </c>
      <c r="N84" s="506">
        <v>0</v>
      </c>
      <c r="O84" s="506">
        <v>0</v>
      </c>
      <c r="P84" s="506">
        <v>225</v>
      </c>
      <c r="Q84" s="506">
        <v>480</v>
      </c>
      <c r="R84" s="507">
        <v>705</v>
      </c>
      <c r="S84" s="506">
        <v>0</v>
      </c>
      <c r="T84" s="506">
        <v>0</v>
      </c>
      <c r="U84" s="506">
        <v>0</v>
      </c>
      <c r="V84" s="506">
        <v>0</v>
      </c>
      <c r="W84" s="507">
        <v>0</v>
      </c>
      <c r="X84" s="506">
        <v>0</v>
      </c>
      <c r="Y84" s="506">
        <v>0</v>
      </c>
      <c r="Z84" s="508">
        <v>0</v>
      </c>
      <c r="AA84" s="506">
        <v>12</v>
      </c>
      <c r="AB84" s="506">
        <v>180</v>
      </c>
      <c r="AC84" s="508">
        <v>0</v>
      </c>
      <c r="AD84" s="506">
        <v>34</v>
      </c>
      <c r="AE84" s="506">
        <v>510</v>
      </c>
      <c r="AF84" s="508">
        <v>0</v>
      </c>
      <c r="AG84" s="509">
        <v>0</v>
      </c>
      <c r="AH84" s="509">
        <v>0</v>
      </c>
      <c r="AI84" s="508">
        <v>0</v>
      </c>
      <c r="AJ84" s="509">
        <v>16</v>
      </c>
      <c r="AK84" s="509">
        <v>240</v>
      </c>
      <c r="AL84" s="508">
        <v>0</v>
      </c>
      <c r="AM84" s="506">
        <v>16</v>
      </c>
      <c r="AN84" s="506">
        <v>240</v>
      </c>
      <c r="AO84" s="508">
        <v>0</v>
      </c>
      <c r="AP84" s="508"/>
      <c r="AQ84" s="508">
        <f t="shared" si="35"/>
        <v>16</v>
      </c>
      <c r="AR84" s="509">
        <v>0</v>
      </c>
      <c r="AS84" s="509">
        <v>0</v>
      </c>
      <c r="AT84" s="508">
        <v>0</v>
      </c>
      <c r="AU84" s="509">
        <v>0</v>
      </c>
      <c r="AV84" s="509">
        <v>0</v>
      </c>
      <c r="AW84" s="508">
        <v>0</v>
      </c>
      <c r="AX84" s="506">
        <v>0</v>
      </c>
      <c r="AY84" s="506">
        <v>0</v>
      </c>
      <c r="AZ84" s="508">
        <v>0</v>
      </c>
      <c r="BA84" s="508"/>
      <c r="BB84" s="508">
        <f t="shared" si="36"/>
        <v>0</v>
      </c>
      <c r="BC84" s="509">
        <v>0</v>
      </c>
      <c r="BD84" s="509">
        <v>0</v>
      </c>
      <c r="BE84" s="506">
        <v>0</v>
      </c>
      <c r="BF84" s="200"/>
      <c r="BG84" s="200"/>
      <c r="BH84" s="200"/>
      <c r="BI84" s="200"/>
      <c r="BJ84" s="200"/>
      <c r="BK84" s="200"/>
      <c r="BL84" s="200"/>
      <c r="BM84" s="505">
        <f t="shared" si="37"/>
        <v>0</v>
      </c>
      <c r="BN84" s="200">
        <f t="shared" si="38"/>
        <v>0</v>
      </c>
      <c r="BO84" s="200">
        <f t="shared" si="31"/>
        <v>0</v>
      </c>
      <c r="BP84" s="200">
        <f t="shared" si="39"/>
        <v>9165</v>
      </c>
      <c r="BQ84" s="200">
        <f t="shared" si="40"/>
        <v>0</v>
      </c>
      <c r="BR84" s="200">
        <f t="shared" si="41"/>
        <v>0</v>
      </c>
      <c r="BS84" s="200">
        <f t="shared" si="42"/>
        <v>2340</v>
      </c>
      <c r="BT84" s="200">
        <f t="shared" si="43"/>
        <v>6630</v>
      </c>
      <c r="BU84" s="200">
        <f t="shared" si="44"/>
        <v>3120</v>
      </c>
      <c r="BV84" s="200">
        <v>0</v>
      </c>
      <c r="BW84" s="200">
        <v>0</v>
      </c>
      <c r="BX84" s="200">
        <f t="shared" si="45"/>
        <v>0</v>
      </c>
      <c r="CB84" s="381">
        <f>_xlfn.IFNA(VLOOKUP(A84,'Actuals Summer'!$A:$AG,23,FALSE),0)</f>
        <v>9165</v>
      </c>
      <c r="CC84" s="381">
        <f>_xlfn.IFNA(VLOOKUP(A84,'Actuals Summer'!$A:$AG,24,FALSE),0)</f>
        <v>0</v>
      </c>
      <c r="CD84" s="381">
        <f>_xlfn.IFNA(VLOOKUP(A84,'Actuals Summer'!$A:$AG,25,FALSE),0)</f>
        <v>0</v>
      </c>
      <c r="CE84" s="381">
        <f>_xlfn.IFNA(VLOOKUP(A84,'Actuals Summer'!$A:$AG,26,FALSE),0)</f>
        <v>0</v>
      </c>
      <c r="CF84" s="381">
        <f>_xlfn.IFNA(VLOOKUP(A84,'Actuals Summer'!$A:$AG,27,FALSE),0)</f>
        <v>0</v>
      </c>
      <c r="CG84" s="381">
        <f>_xlfn.IFNA(VLOOKUP(A84,'Actuals Dep Summer'!B:O,6,FALSE)*$BN$3,0)</f>
        <v>0</v>
      </c>
      <c r="CH84" s="381">
        <f>_xlfn.IFNA(VLOOKUP(A84,'Actuals Dep Summer'!B:O,7,FALSE)*$BN$3,0)</f>
        <v>2340</v>
      </c>
      <c r="CI84" s="381">
        <f>_xlfn.IFNA(VLOOKUP(A84,'Actuals Dep Summer'!B:O,8,FALSE)*$BN$3,0)</f>
        <v>6630</v>
      </c>
      <c r="CJ84" s="381">
        <f>_xlfn.IFNA(VLOOKUP(A84,'Actuals Summer'!$A:$AG,31,FALSE),0)*$BN$3</f>
        <v>0</v>
      </c>
      <c r="CK84" s="381"/>
      <c r="CL84" s="381">
        <f>_xlfn.IFNA(VLOOKUP(A84,'Actuals Summer'!$A:$AG,32,FALSE),0)*$BN$3</f>
        <v>40560</v>
      </c>
      <c r="CM84" s="381">
        <f>_xlfn.IFNA(VLOOKUP(A84,'Actuals Summer'!$A:$AG,33,FALSE),0)</f>
        <v>0</v>
      </c>
      <c r="CP84" s="458">
        <f t="shared" si="46"/>
        <v>0</v>
      </c>
      <c r="CQ84" s="458">
        <f t="shared" si="47"/>
        <v>0</v>
      </c>
      <c r="CR84" s="458">
        <f t="shared" si="32"/>
        <v>0</v>
      </c>
      <c r="CS84" s="458">
        <f t="shared" si="48"/>
        <v>51873.9</v>
      </c>
      <c r="CT84" s="458">
        <f t="shared" si="49"/>
        <v>0</v>
      </c>
      <c r="CU84" s="458">
        <f t="shared" si="50"/>
        <v>0</v>
      </c>
      <c r="CV84" s="458">
        <f t="shared" si="51"/>
        <v>678.59999999999991</v>
      </c>
      <c r="CW84" s="458">
        <f t="shared" si="52"/>
        <v>530.4</v>
      </c>
      <c r="CX84" s="458">
        <f t="shared" si="53"/>
        <v>3120</v>
      </c>
      <c r="CY84" s="458">
        <f t="shared" si="54"/>
        <v>0</v>
      </c>
      <c r="CZ84" s="458">
        <f t="shared" si="55"/>
        <v>0</v>
      </c>
      <c r="DA84" s="458">
        <f t="shared" si="56"/>
        <v>0</v>
      </c>
      <c r="DB84" s="458">
        <f t="shared" si="57"/>
        <v>56202.9</v>
      </c>
      <c r="DC84" s="452">
        <f>_xlfn.XLOOKUP($A84,'Actuals Summer'!$A:$A,'Actuals Summer'!L:L,0,0)</f>
        <v>0</v>
      </c>
      <c r="DD84" s="452">
        <f>_xlfn.XLOOKUP($A84,'Actuals Summer'!$A:$A,'Actuals Summer'!K:K,0,0)+_xlfn.XLOOKUP($A84,'Actuals Summer'!$A:$A,'Actuals Summer'!Q:Q,0,0)</f>
        <v>0</v>
      </c>
      <c r="DE84" s="452">
        <f>_xlfn.XLOOKUP($A84,'Actuals Summer'!$A:$A,'Actuals Summer'!I:I,0,0)+_xlfn.XLOOKUP($A84,'Actuals Summer'!$A:$A,'Actuals Summer'!R:R,0,0)</f>
        <v>51873.9</v>
      </c>
      <c r="DF84" s="452">
        <f>_xlfn.XLOOKUP($A84,'Actuals Summer'!$A:$A,'Actuals Summer'!J:J,0,0)</f>
        <v>0</v>
      </c>
      <c r="DG84" s="452">
        <f>_xlfn.XLOOKUP($A84,'Actuals Dep Summer'!$B:$B,'Actuals Dep Summer'!G:G,0,0)*'Actuals Dep Summer'!$F$2*'Actuals Dep Summer'!$C$2</f>
        <v>0</v>
      </c>
      <c r="DH84" s="452">
        <f>_xlfn.XLOOKUP($A84,'Actuals Dep Summer'!$B:$B,'Actuals Dep Summer'!H:H,0,0)*'Actuals Dep Summer'!$F$2*'Actuals Dep Summer'!$C$3</f>
        <v>678.59999999999991</v>
      </c>
      <c r="DI84" s="452">
        <f>_xlfn.XLOOKUP($A84,'Actuals Dep Summer'!$B:$B,'Actuals Dep Summer'!I:I,0,0)*'Actuals Dep Summer'!$F$2*'Actuals Dep Summer'!$C$4</f>
        <v>530.4</v>
      </c>
      <c r="DJ84" s="452">
        <f>_xlfn.XLOOKUP($A84,'Actuals Summer'!$A:$A,'Actuals Summer'!P:P,0,0)</f>
        <v>3120</v>
      </c>
      <c r="DK84" s="452">
        <f>_xlfn.XLOOKUP($A84,'Actuals Summer'!$A:$A,'Actuals Summer'!O:O,0,0)</f>
        <v>0</v>
      </c>
      <c r="DL84" s="452"/>
      <c r="DM84" s="452">
        <f>_xlfn.XLOOKUP($A84,'Actuals Summer'!$A:$A,'Actuals Summer'!M:M,0,0)</f>
        <v>0</v>
      </c>
      <c r="DN84" s="453">
        <f t="shared" si="33"/>
        <v>56202.9</v>
      </c>
      <c r="DO84" s="453">
        <f>_xlfn.XLOOKUP(A84,'Actuals Summer'!A:A,'Actuals Summer'!S:S,0,0)-'Summer data team '!DN84</f>
        <v>0</v>
      </c>
      <c r="DP84" s="463">
        <f t="shared" si="34"/>
        <v>0</v>
      </c>
    </row>
    <row r="85" spans="1:120" ht="13" x14ac:dyDescent="0.3">
      <c r="A85" s="364">
        <v>2136</v>
      </c>
      <c r="B85" s="364">
        <v>3302136</v>
      </c>
      <c r="C85" s="364" t="s">
        <v>294</v>
      </c>
      <c r="D85" s="506">
        <v>0</v>
      </c>
      <c r="E85" s="506">
        <v>0</v>
      </c>
      <c r="F85" s="506">
        <v>0</v>
      </c>
      <c r="G85" s="506">
        <v>15</v>
      </c>
      <c r="H85" s="506">
        <v>18</v>
      </c>
      <c r="I85" s="507">
        <v>0</v>
      </c>
      <c r="J85" s="507">
        <v>33</v>
      </c>
      <c r="K85" s="506">
        <v>4</v>
      </c>
      <c r="L85" s="506">
        <v>9</v>
      </c>
      <c r="M85" s="507">
        <v>13</v>
      </c>
      <c r="N85" s="506">
        <v>0</v>
      </c>
      <c r="O85" s="506">
        <v>0</v>
      </c>
      <c r="P85" s="506">
        <v>225</v>
      </c>
      <c r="Q85" s="506">
        <v>270</v>
      </c>
      <c r="R85" s="507">
        <v>495</v>
      </c>
      <c r="S85" s="506">
        <v>0</v>
      </c>
      <c r="T85" s="506">
        <v>0</v>
      </c>
      <c r="U85" s="506">
        <v>60</v>
      </c>
      <c r="V85" s="506">
        <v>135</v>
      </c>
      <c r="W85" s="507">
        <v>195</v>
      </c>
      <c r="X85" s="506">
        <v>9</v>
      </c>
      <c r="Y85" s="506">
        <v>135</v>
      </c>
      <c r="Z85" s="508">
        <v>30</v>
      </c>
      <c r="AA85" s="506">
        <v>2</v>
      </c>
      <c r="AB85" s="506">
        <v>30</v>
      </c>
      <c r="AC85" s="508">
        <v>0</v>
      </c>
      <c r="AD85" s="506">
        <v>12</v>
      </c>
      <c r="AE85" s="506">
        <v>180</v>
      </c>
      <c r="AF85" s="508">
        <v>90</v>
      </c>
      <c r="AG85" s="509">
        <v>0</v>
      </c>
      <c r="AH85" s="509">
        <v>0</v>
      </c>
      <c r="AI85" s="508">
        <v>0</v>
      </c>
      <c r="AJ85" s="509">
        <v>11</v>
      </c>
      <c r="AK85" s="509">
        <v>165</v>
      </c>
      <c r="AL85" s="508">
        <v>45</v>
      </c>
      <c r="AM85" s="506">
        <v>11</v>
      </c>
      <c r="AN85" s="506">
        <v>165</v>
      </c>
      <c r="AO85" s="508">
        <v>45</v>
      </c>
      <c r="AP85" s="508"/>
      <c r="AQ85" s="508">
        <f t="shared" si="35"/>
        <v>11</v>
      </c>
      <c r="AR85" s="509">
        <v>0</v>
      </c>
      <c r="AS85" s="509">
        <v>0</v>
      </c>
      <c r="AT85" s="508">
        <v>0</v>
      </c>
      <c r="AU85" s="509">
        <v>11</v>
      </c>
      <c r="AV85" s="509">
        <v>165</v>
      </c>
      <c r="AW85" s="508">
        <v>45</v>
      </c>
      <c r="AX85" s="506">
        <v>11</v>
      </c>
      <c r="AY85" s="506">
        <v>165</v>
      </c>
      <c r="AZ85" s="508">
        <v>45</v>
      </c>
      <c r="BA85" s="508"/>
      <c r="BB85" s="508">
        <f t="shared" si="36"/>
        <v>22</v>
      </c>
      <c r="BC85" s="509">
        <v>0</v>
      </c>
      <c r="BD85" s="509">
        <v>0</v>
      </c>
      <c r="BE85" s="506">
        <v>0</v>
      </c>
      <c r="BF85" s="200"/>
      <c r="BG85" s="200"/>
      <c r="BH85" s="200"/>
      <c r="BI85" s="200"/>
      <c r="BJ85" s="200"/>
      <c r="BK85" s="200"/>
      <c r="BL85" s="200"/>
      <c r="BM85" s="505">
        <f t="shared" si="37"/>
        <v>0</v>
      </c>
      <c r="BN85" s="200">
        <f t="shared" si="38"/>
        <v>0</v>
      </c>
      <c r="BO85" s="200">
        <f t="shared" si="31"/>
        <v>0</v>
      </c>
      <c r="BP85" s="200">
        <f t="shared" si="39"/>
        <v>6435</v>
      </c>
      <c r="BQ85" s="200">
        <f t="shared" si="40"/>
        <v>2535</v>
      </c>
      <c r="BR85" s="200">
        <f t="shared" si="41"/>
        <v>2145</v>
      </c>
      <c r="BS85" s="200">
        <f t="shared" si="42"/>
        <v>390</v>
      </c>
      <c r="BT85" s="200">
        <f t="shared" si="43"/>
        <v>3510</v>
      </c>
      <c r="BU85" s="200">
        <f t="shared" si="44"/>
        <v>2145</v>
      </c>
      <c r="BV85" s="200">
        <v>8</v>
      </c>
      <c r="BW85" s="200">
        <v>3</v>
      </c>
      <c r="BX85" s="200">
        <f t="shared" si="45"/>
        <v>0</v>
      </c>
      <c r="CB85" s="381">
        <f>_xlfn.IFNA(VLOOKUP(A85,'Actuals Summer'!$A:$AG,23,FALSE),0)</f>
        <v>6435</v>
      </c>
      <c r="CC85" s="381">
        <f>_xlfn.IFNA(VLOOKUP(A85,'Actuals Summer'!$A:$AG,24,FALSE),0)</f>
        <v>2535</v>
      </c>
      <c r="CD85" s="381">
        <f>_xlfn.IFNA(VLOOKUP(A85,'Actuals Summer'!$A:$AG,25,FALSE),0)</f>
        <v>0</v>
      </c>
      <c r="CE85" s="381">
        <f>_xlfn.IFNA(VLOOKUP(A85,'Actuals Summer'!$A:$AG,26,FALSE),0)</f>
        <v>0</v>
      </c>
      <c r="CF85" s="381">
        <f>_xlfn.IFNA(VLOOKUP(A85,'Actuals Summer'!$A:$AG,27,FALSE),0)</f>
        <v>0</v>
      </c>
      <c r="CG85" s="381">
        <f>_xlfn.IFNA(VLOOKUP(A85,'Actuals Dep Summer'!B:O,6,FALSE)*$BN$3,0)</f>
        <v>1755</v>
      </c>
      <c r="CH85" s="381">
        <f>_xlfn.IFNA(VLOOKUP(A85,'Actuals Dep Summer'!B:O,7,FALSE)*$BN$3,0)</f>
        <v>390</v>
      </c>
      <c r="CI85" s="381">
        <f>_xlfn.IFNA(VLOOKUP(A85,'Actuals Dep Summer'!B:O,8,FALSE)*$BN$3,0)</f>
        <v>2340</v>
      </c>
      <c r="CJ85" s="381">
        <f>_xlfn.IFNA(VLOOKUP(A85,'Actuals Summer'!$A:$AG,31,FALSE),0)*$BN$3</f>
        <v>142.9213277095177</v>
      </c>
      <c r="CK85" s="381"/>
      <c r="CL85" s="381">
        <f>_xlfn.IFNA(VLOOKUP(A85,'Actuals Summer'!$A:$AG,32,FALSE),0)*$BN$3</f>
        <v>27885</v>
      </c>
      <c r="CM85" s="381">
        <f>_xlfn.IFNA(VLOOKUP(A85,'Actuals Summer'!$A:$AG,33,FALSE),0)</f>
        <v>0</v>
      </c>
      <c r="CP85" s="458">
        <f t="shared" si="46"/>
        <v>0</v>
      </c>
      <c r="CQ85" s="458">
        <f t="shared" si="47"/>
        <v>0</v>
      </c>
      <c r="CR85" s="458">
        <f t="shared" si="32"/>
        <v>0</v>
      </c>
      <c r="CS85" s="458">
        <f t="shared" si="48"/>
        <v>36422.1</v>
      </c>
      <c r="CT85" s="458">
        <f t="shared" si="49"/>
        <v>14348.1</v>
      </c>
      <c r="CU85" s="458">
        <f t="shared" si="50"/>
        <v>1308.45</v>
      </c>
      <c r="CV85" s="458">
        <f t="shared" si="51"/>
        <v>113.1</v>
      </c>
      <c r="CW85" s="458">
        <f t="shared" si="52"/>
        <v>280.8</v>
      </c>
      <c r="CX85" s="458">
        <f t="shared" si="53"/>
        <v>2145</v>
      </c>
      <c r="CY85" s="458">
        <f t="shared" si="54"/>
        <v>596.63157894736833</v>
      </c>
      <c r="CZ85" s="458">
        <f t="shared" si="55"/>
        <v>559.34210526315792</v>
      </c>
      <c r="DA85" s="458">
        <f t="shared" si="56"/>
        <v>0</v>
      </c>
      <c r="DB85" s="458">
        <f t="shared" si="57"/>
        <v>55773.523684210522</v>
      </c>
      <c r="DC85" s="452">
        <f>_xlfn.XLOOKUP($A85,'Actuals Summer'!$A:$A,'Actuals Summer'!L:L,0,0)</f>
        <v>0</v>
      </c>
      <c r="DD85" s="452">
        <f>_xlfn.XLOOKUP($A85,'Actuals Summer'!$A:$A,'Actuals Summer'!K:K,0,0)+_xlfn.XLOOKUP($A85,'Actuals Summer'!$A:$A,'Actuals Summer'!Q:Q,0,0)</f>
        <v>0</v>
      </c>
      <c r="DE85" s="452">
        <f>_xlfn.XLOOKUP($A85,'Actuals Summer'!$A:$A,'Actuals Summer'!I:I,0,0)+_xlfn.XLOOKUP($A85,'Actuals Summer'!$A:$A,'Actuals Summer'!R:R,0,0)</f>
        <v>36422.1</v>
      </c>
      <c r="DF85" s="452">
        <f>_xlfn.XLOOKUP($A85,'Actuals Summer'!$A:$A,'Actuals Summer'!J:J,0,0)</f>
        <v>14348.1</v>
      </c>
      <c r="DG85" s="452">
        <f>_xlfn.XLOOKUP($A85,'Actuals Dep Summer'!$B:$B,'Actuals Dep Summer'!G:G,0,0)*'Actuals Dep Summer'!$F$2*'Actuals Dep Summer'!$C$2</f>
        <v>1070.55</v>
      </c>
      <c r="DH85" s="452">
        <f>_xlfn.XLOOKUP($A85,'Actuals Dep Summer'!$B:$B,'Actuals Dep Summer'!H:H,0,0)*'Actuals Dep Summer'!$F$2*'Actuals Dep Summer'!$C$3</f>
        <v>113.1</v>
      </c>
      <c r="DI85" s="452">
        <f>_xlfn.XLOOKUP($A85,'Actuals Dep Summer'!$B:$B,'Actuals Dep Summer'!I:I,0,0)*'Actuals Dep Summer'!$F$2*'Actuals Dep Summer'!$C$4</f>
        <v>187.20000000000002</v>
      </c>
      <c r="DJ85" s="452">
        <f>_xlfn.XLOOKUP($A85,'Actuals Summer'!$A:$A,'Actuals Summer'!P:P,0,0)</f>
        <v>2145</v>
      </c>
      <c r="DK85" s="452">
        <f>_xlfn.XLOOKUP($A85,'Actuals Summer'!$A:$A,'Actuals Summer'!O:O,0,0)</f>
        <v>820.36842105263156</v>
      </c>
      <c r="DL85" s="452"/>
      <c r="DM85" s="452">
        <f>_xlfn.XLOOKUP($A85,'Actuals Summer'!$A:$A,'Actuals Summer'!M:M,0,0)</f>
        <v>0</v>
      </c>
      <c r="DN85" s="453">
        <f t="shared" si="33"/>
        <v>55106.418421052629</v>
      </c>
      <c r="DO85" s="453">
        <f>_xlfn.XLOOKUP(A85,'Actuals Summer'!A:A,'Actuals Summer'!S:S,0,0)-'Summer data team '!DN85</f>
        <v>0</v>
      </c>
      <c r="DP85" s="463">
        <f t="shared" si="34"/>
        <v>667.10526315789321</v>
      </c>
    </row>
    <row r="86" spans="1:120" ht="13" x14ac:dyDescent="0.3">
      <c r="A86" s="364">
        <v>2138</v>
      </c>
      <c r="B86" s="364">
        <v>3302138</v>
      </c>
      <c r="C86" s="364" t="s">
        <v>295</v>
      </c>
      <c r="D86" s="506">
        <v>0</v>
      </c>
      <c r="E86" s="506">
        <v>0</v>
      </c>
      <c r="F86" s="506">
        <v>0</v>
      </c>
      <c r="G86" s="506">
        <v>23</v>
      </c>
      <c r="H86" s="506">
        <v>16</v>
      </c>
      <c r="I86" s="507">
        <v>0</v>
      </c>
      <c r="J86" s="507">
        <v>39</v>
      </c>
      <c r="K86" s="506">
        <v>5</v>
      </c>
      <c r="L86" s="506">
        <v>3</v>
      </c>
      <c r="M86" s="507">
        <v>8</v>
      </c>
      <c r="N86" s="506">
        <v>0</v>
      </c>
      <c r="O86" s="506">
        <v>0</v>
      </c>
      <c r="P86" s="506">
        <v>345</v>
      </c>
      <c r="Q86" s="506">
        <v>240</v>
      </c>
      <c r="R86" s="507">
        <v>585</v>
      </c>
      <c r="S86" s="506">
        <v>0</v>
      </c>
      <c r="T86" s="506">
        <v>0</v>
      </c>
      <c r="U86" s="506">
        <v>75</v>
      </c>
      <c r="V86" s="506">
        <v>45</v>
      </c>
      <c r="W86" s="507">
        <v>120</v>
      </c>
      <c r="X86" s="506">
        <v>0</v>
      </c>
      <c r="Y86" s="506">
        <v>0</v>
      </c>
      <c r="Z86" s="508">
        <v>0</v>
      </c>
      <c r="AA86" s="506">
        <v>0</v>
      </c>
      <c r="AB86" s="506">
        <v>0</v>
      </c>
      <c r="AC86" s="508">
        <v>0</v>
      </c>
      <c r="AD86" s="506">
        <v>7</v>
      </c>
      <c r="AE86" s="506">
        <v>105</v>
      </c>
      <c r="AF86" s="508">
        <v>0</v>
      </c>
      <c r="AG86" s="509">
        <v>0</v>
      </c>
      <c r="AH86" s="509">
        <v>0</v>
      </c>
      <c r="AI86" s="508">
        <v>0</v>
      </c>
      <c r="AJ86" s="509">
        <v>9</v>
      </c>
      <c r="AK86" s="509">
        <v>135</v>
      </c>
      <c r="AL86" s="508">
        <v>90</v>
      </c>
      <c r="AM86" s="506">
        <v>9</v>
      </c>
      <c r="AN86" s="506">
        <v>135</v>
      </c>
      <c r="AO86" s="508">
        <v>90</v>
      </c>
      <c r="AP86" s="508"/>
      <c r="AQ86" s="508">
        <f t="shared" si="35"/>
        <v>9</v>
      </c>
      <c r="AR86" s="509">
        <v>0</v>
      </c>
      <c r="AS86" s="509">
        <v>0</v>
      </c>
      <c r="AT86" s="508">
        <v>0</v>
      </c>
      <c r="AU86" s="509">
        <v>9</v>
      </c>
      <c r="AV86" s="509">
        <v>135</v>
      </c>
      <c r="AW86" s="508">
        <v>90</v>
      </c>
      <c r="AX86" s="506">
        <v>9</v>
      </c>
      <c r="AY86" s="506">
        <v>135</v>
      </c>
      <c r="AZ86" s="508">
        <v>90</v>
      </c>
      <c r="BA86" s="508"/>
      <c r="BB86" s="508">
        <f t="shared" si="36"/>
        <v>18</v>
      </c>
      <c r="BC86" s="509">
        <v>0</v>
      </c>
      <c r="BD86" s="509">
        <v>0</v>
      </c>
      <c r="BE86" s="506">
        <v>0</v>
      </c>
      <c r="BF86" s="200"/>
      <c r="BG86" s="200"/>
      <c r="BH86" s="200"/>
      <c r="BI86" s="200"/>
      <c r="BJ86" s="200"/>
      <c r="BK86" s="200"/>
      <c r="BL86" s="200"/>
      <c r="BM86" s="505">
        <f t="shared" si="37"/>
        <v>0</v>
      </c>
      <c r="BN86" s="200">
        <f t="shared" si="38"/>
        <v>0</v>
      </c>
      <c r="BO86" s="200">
        <f t="shared" si="31"/>
        <v>0</v>
      </c>
      <c r="BP86" s="200">
        <f t="shared" si="39"/>
        <v>7605</v>
      </c>
      <c r="BQ86" s="200">
        <f t="shared" si="40"/>
        <v>1560</v>
      </c>
      <c r="BR86" s="200">
        <f t="shared" si="41"/>
        <v>0</v>
      </c>
      <c r="BS86" s="200">
        <f t="shared" si="42"/>
        <v>0</v>
      </c>
      <c r="BT86" s="200">
        <f t="shared" si="43"/>
        <v>1365</v>
      </c>
      <c r="BU86" s="200">
        <f t="shared" si="44"/>
        <v>1755</v>
      </c>
      <c r="BV86" s="200">
        <v>3</v>
      </c>
      <c r="BW86" s="200">
        <v>6</v>
      </c>
      <c r="BX86" s="200">
        <f t="shared" si="45"/>
        <v>0</v>
      </c>
      <c r="CB86" s="381">
        <f>_xlfn.IFNA(VLOOKUP(A86,'Actuals Summer'!$A:$AG,23,FALSE),0)</f>
        <v>7605</v>
      </c>
      <c r="CC86" s="381">
        <f>_xlfn.IFNA(VLOOKUP(A86,'Actuals Summer'!$A:$AG,24,FALSE),0)</f>
        <v>1560</v>
      </c>
      <c r="CD86" s="381">
        <f>_xlfn.IFNA(VLOOKUP(A86,'Actuals Summer'!$A:$AG,25,FALSE),0)</f>
        <v>0</v>
      </c>
      <c r="CE86" s="381">
        <f>_xlfn.IFNA(VLOOKUP(A86,'Actuals Summer'!$A:$AG,26,FALSE),0)</f>
        <v>0</v>
      </c>
      <c r="CF86" s="381">
        <f>_xlfn.IFNA(VLOOKUP(A86,'Actuals Summer'!$A:$AG,27,FALSE),0)</f>
        <v>0</v>
      </c>
      <c r="CG86" s="381">
        <f>_xlfn.IFNA(VLOOKUP(A86,'Actuals Dep Summer'!B:O,6,FALSE)*$BN$3,0)</f>
        <v>0</v>
      </c>
      <c r="CH86" s="381">
        <f>_xlfn.IFNA(VLOOKUP(A86,'Actuals Dep Summer'!B:O,7,FALSE)*$BN$3,0)</f>
        <v>0</v>
      </c>
      <c r="CI86" s="381">
        <f>_xlfn.IFNA(VLOOKUP(A86,'Actuals Dep Summer'!B:O,8,FALSE)*$BN$3,0)</f>
        <v>1365</v>
      </c>
      <c r="CJ86" s="381">
        <f>_xlfn.IFNA(VLOOKUP(A86,'Actuals Summer'!$A:$AG,31,FALSE),0)*$BN$3</f>
        <v>116.93563176233266</v>
      </c>
      <c r="CK86" s="381"/>
      <c r="CL86" s="381">
        <f>_xlfn.IFNA(VLOOKUP(A86,'Actuals Summer'!$A:$AG,32,FALSE),0)*$BN$3</f>
        <v>22815</v>
      </c>
      <c r="CM86" s="381">
        <f>_xlfn.IFNA(VLOOKUP(A86,'Actuals Summer'!$A:$AG,33,FALSE),0)</f>
        <v>0</v>
      </c>
      <c r="CP86" s="458">
        <f t="shared" si="46"/>
        <v>0</v>
      </c>
      <c r="CQ86" s="458">
        <f t="shared" si="47"/>
        <v>0</v>
      </c>
      <c r="CR86" s="458">
        <f t="shared" si="32"/>
        <v>0</v>
      </c>
      <c r="CS86" s="458">
        <f t="shared" si="48"/>
        <v>43044.3</v>
      </c>
      <c r="CT86" s="458">
        <f t="shared" si="49"/>
        <v>8829.6</v>
      </c>
      <c r="CU86" s="458">
        <f t="shared" si="50"/>
        <v>0</v>
      </c>
      <c r="CV86" s="458">
        <f t="shared" si="51"/>
        <v>0</v>
      </c>
      <c r="CW86" s="458">
        <f t="shared" si="52"/>
        <v>109.2</v>
      </c>
      <c r="CX86" s="458">
        <f t="shared" si="53"/>
        <v>1755</v>
      </c>
      <c r="CY86" s="458">
        <f t="shared" si="54"/>
        <v>223.73684210526315</v>
      </c>
      <c r="CZ86" s="458">
        <f t="shared" si="55"/>
        <v>1118.6842105263158</v>
      </c>
      <c r="DA86" s="458">
        <f t="shared" si="56"/>
        <v>0</v>
      </c>
      <c r="DB86" s="458">
        <f t="shared" si="57"/>
        <v>55080.521052631571</v>
      </c>
      <c r="DC86" s="452">
        <f>_xlfn.XLOOKUP($A86,'Actuals Summer'!$A:$A,'Actuals Summer'!L:L,0,0)</f>
        <v>0</v>
      </c>
      <c r="DD86" s="452">
        <f>_xlfn.XLOOKUP($A86,'Actuals Summer'!$A:$A,'Actuals Summer'!K:K,0,0)+_xlfn.XLOOKUP($A86,'Actuals Summer'!$A:$A,'Actuals Summer'!Q:Q,0,0)</f>
        <v>0</v>
      </c>
      <c r="DE86" s="452">
        <f>_xlfn.XLOOKUP($A86,'Actuals Summer'!$A:$A,'Actuals Summer'!I:I,0,0)+_xlfn.XLOOKUP($A86,'Actuals Summer'!$A:$A,'Actuals Summer'!R:R,0,0)</f>
        <v>43044.3</v>
      </c>
      <c r="DF86" s="452">
        <f>_xlfn.XLOOKUP($A86,'Actuals Summer'!$A:$A,'Actuals Summer'!J:J,0,0)</f>
        <v>8829.6</v>
      </c>
      <c r="DG86" s="452">
        <f>_xlfn.XLOOKUP($A86,'Actuals Dep Summer'!$B:$B,'Actuals Dep Summer'!G:G,0,0)*'Actuals Dep Summer'!$F$2*'Actuals Dep Summer'!$C$2</f>
        <v>0</v>
      </c>
      <c r="DH86" s="452">
        <f>_xlfn.XLOOKUP($A86,'Actuals Dep Summer'!$B:$B,'Actuals Dep Summer'!H:H,0,0)*'Actuals Dep Summer'!$F$2*'Actuals Dep Summer'!$C$3</f>
        <v>0</v>
      </c>
      <c r="DI86" s="452">
        <f>_xlfn.XLOOKUP($A86,'Actuals Dep Summer'!$B:$B,'Actuals Dep Summer'!I:I,0,0)*'Actuals Dep Summer'!$F$2*'Actuals Dep Summer'!$C$4</f>
        <v>109.2</v>
      </c>
      <c r="DJ86" s="452">
        <f>_xlfn.XLOOKUP($A86,'Actuals Summer'!$A:$A,'Actuals Summer'!P:P,0,0)</f>
        <v>1755</v>
      </c>
      <c r="DK86" s="452">
        <f>_xlfn.XLOOKUP($A86,'Actuals Summer'!$A:$A,'Actuals Summer'!O:O,0,0)</f>
        <v>671.21052631578948</v>
      </c>
      <c r="DL86" s="452"/>
      <c r="DM86" s="452">
        <f>_xlfn.XLOOKUP($A86,'Actuals Summer'!$A:$A,'Actuals Summer'!M:M,0,0)</f>
        <v>0</v>
      </c>
      <c r="DN86" s="453">
        <f t="shared" si="33"/>
        <v>54409.310526315785</v>
      </c>
      <c r="DO86" s="453">
        <f>_xlfn.XLOOKUP(A86,'Actuals Summer'!A:A,'Actuals Summer'!S:S,0,0)-'Summer data team '!DN86</f>
        <v>0</v>
      </c>
      <c r="DP86" s="463">
        <f t="shared" si="34"/>
        <v>671.21052631578641</v>
      </c>
    </row>
    <row r="87" spans="1:120" ht="13" x14ac:dyDescent="0.3">
      <c r="A87" s="364">
        <v>2141</v>
      </c>
      <c r="B87" s="364">
        <v>3302141</v>
      </c>
      <c r="C87" s="364" t="s">
        <v>296</v>
      </c>
      <c r="D87" s="506">
        <v>0</v>
      </c>
      <c r="E87" s="506">
        <v>0</v>
      </c>
      <c r="F87" s="506">
        <v>0</v>
      </c>
      <c r="G87" s="506">
        <v>11</v>
      </c>
      <c r="H87" s="506">
        <v>7</v>
      </c>
      <c r="I87" s="507">
        <v>0</v>
      </c>
      <c r="J87" s="507">
        <v>18</v>
      </c>
      <c r="K87" s="506">
        <v>0</v>
      </c>
      <c r="L87" s="506">
        <v>0</v>
      </c>
      <c r="M87" s="507">
        <v>0</v>
      </c>
      <c r="N87" s="506">
        <v>0</v>
      </c>
      <c r="O87" s="506">
        <v>0</v>
      </c>
      <c r="P87" s="506">
        <v>165</v>
      </c>
      <c r="Q87" s="506">
        <v>105</v>
      </c>
      <c r="R87" s="507">
        <v>270</v>
      </c>
      <c r="S87" s="506">
        <v>0</v>
      </c>
      <c r="T87" s="506">
        <v>0</v>
      </c>
      <c r="U87" s="506">
        <v>0</v>
      </c>
      <c r="V87" s="506">
        <v>0</v>
      </c>
      <c r="W87" s="507">
        <v>0</v>
      </c>
      <c r="X87" s="506">
        <v>17</v>
      </c>
      <c r="Y87" s="506">
        <v>255</v>
      </c>
      <c r="Z87" s="508">
        <v>0</v>
      </c>
      <c r="AA87" s="506">
        <v>0</v>
      </c>
      <c r="AB87" s="506">
        <v>0</v>
      </c>
      <c r="AC87" s="508">
        <v>0</v>
      </c>
      <c r="AD87" s="506">
        <v>0</v>
      </c>
      <c r="AE87" s="506">
        <v>0</v>
      </c>
      <c r="AF87" s="508">
        <v>0</v>
      </c>
      <c r="AG87" s="509">
        <v>0</v>
      </c>
      <c r="AH87" s="509">
        <v>0</v>
      </c>
      <c r="AI87" s="508">
        <v>0</v>
      </c>
      <c r="AJ87" s="509">
        <v>0</v>
      </c>
      <c r="AK87" s="509">
        <v>0</v>
      </c>
      <c r="AL87" s="508">
        <v>0</v>
      </c>
      <c r="AM87" s="506">
        <v>0</v>
      </c>
      <c r="AN87" s="506">
        <v>0</v>
      </c>
      <c r="AO87" s="508">
        <v>0</v>
      </c>
      <c r="AP87" s="508"/>
      <c r="AQ87" s="508">
        <f t="shared" si="35"/>
        <v>0</v>
      </c>
      <c r="AR87" s="509">
        <v>0</v>
      </c>
      <c r="AS87" s="509">
        <v>0</v>
      </c>
      <c r="AT87" s="508">
        <v>0</v>
      </c>
      <c r="AU87" s="509">
        <v>0</v>
      </c>
      <c r="AV87" s="509">
        <v>0</v>
      </c>
      <c r="AW87" s="508">
        <v>0</v>
      </c>
      <c r="AX87" s="506">
        <v>0</v>
      </c>
      <c r="AY87" s="506">
        <v>0</v>
      </c>
      <c r="AZ87" s="508">
        <v>0</v>
      </c>
      <c r="BA87" s="508"/>
      <c r="BB87" s="508">
        <f t="shared" si="36"/>
        <v>0</v>
      </c>
      <c r="BC87" s="509">
        <v>0</v>
      </c>
      <c r="BD87" s="509">
        <v>0</v>
      </c>
      <c r="BE87" s="506">
        <v>0</v>
      </c>
      <c r="BF87" s="200"/>
      <c r="BG87" s="200"/>
      <c r="BH87" s="200"/>
      <c r="BI87" s="200"/>
      <c r="BJ87" s="200"/>
      <c r="BK87" s="200"/>
      <c r="BL87" s="200"/>
      <c r="BM87" s="505">
        <f t="shared" si="37"/>
        <v>0</v>
      </c>
      <c r="BN87" s="200">
        <f t="shared" si="38"/>
        <v>0</v>
      </c>
      <c r="BO87" s="200">
        <f t="shared" si="31"/>
        <v>0</v>
      </c>
      <c r="BP87" s="200">
        <f t="shared" si="39"/>
        <v>3510</v>
      </c>
      <c r="BQ87" s="200">
        <f t="shared" si="40"/>
        <v>0</v>
      </c>
      <c r="BR87" s="200">
        <f t="shared" si="41"/>
        <v>3315</v>
      </c>
      <c r="BS87" s="200">
        <f t="shared" si="42"/>
        <v>0</v>
      </c>
      <c r="BT87" s="200">
        <f t="shared" si="43"/>
        <v>0</v>
      </c>
      <c r="BU87" s="200">
        <f t="shared" si="44"/>
        <v>0</v>
      </c>
      <c r="BV87" s="200">
        <v>0</v>
      </c>
      <c r="BW87" s="200">
        <v>0</v>
      </c>
      <c r="BX87" s="200">
        <f t="shared" si="45"/>
        <v>0</v>
      </c>
      <c r="CB87" s="381">
        <f>_xlfn.IFNA(VLOOKUP(A87,'Actuals Summer'!$A:$AG,23,FALSE),0)</f>
        <v>3510.0000000000005</v>
      </c>
      <c r="CC87" s="381">
        <f>_xlfn.IFNA(VLOOKUP(A87,'Actuals Summer'!$A:$AG,24,FALSE),0)</f>
        <v>0</v>
      </c>
      <c r="CD87" s="381">
        <f>_xlfn.IFNA(VLOOKUP(A87,'Actuals Summer'!$A:$AG,25,FALSE),0)</f>
        <v>0</v>
      </c>
      <c r="CE87" s="381">
        <f>_xlfn.IFNA(VLOOKUP(A87,'Actuals Summer'!$A:$AG,26,FALSE),0)</f>
        <v>0</v>
      </c>
      <c r="CF87" s="381">
        <f>_xlfn.IFNA(VLOOKUP(A87,'Actuals Summer'!$A:$AG,27,FALSE),0)</f>
        <v>0</v>
      </c>
      <c r="CG87" s="381">
        <f>_xlfn.IFNA(VLOOKUP(A87,'Actuals Dep Summer'!B:O,6,FALSE)*$BN$3,0)</f>
        <v>3315</v>
      </c>
      <c r="CH87" s="381">
        <f>_xlfn.IFNA(VLOOKUP(A87,'Actuals Dep Summer'!B:O,7,FALSE)*$BN$3,0)</f>
        <v>0</v>
      </c>
      <c r="CI87" s="381">
        <f>_xlfn.IFNA(VLOOKUP(A87,'Actuals Dep Summer'!B:O,8,FALSE)*$BN$3,0)</f>
        <v>0</v>
      </c>
      <c r="CJ87" s="381">
        <f>_xlfn.IFNA(VLOOKUP(A87,'Actuals Summer'!$A:$AG,31,FALSE),0)*$BN$3</f>
        <v>0</v>
      </c>
      <c r="CK87" s="381"/>
      <c r="CL87" s="381">
        <f>_xlfn.IFNA(VLOOKUP(A87,'Actuals Summer'!$A:$AG,32,FALSE),0)*$BN$3</f>
        <v>0</v>
      </c>
      <c r="CM87" s="381">
        <f>_xlfn.IFNA(VLOOKUP(A87,'Actuals Summer'!$A:$AG,33,FALSE),0)</f>
        <v>0</v>
      </c>
      <c r="CP87" s="458">
        <f t="shared" si="46"/>
        <v>0</v>
      </c>
      <c r="CQ87" s="458">
        <f t="shared" si="47"/>
        <v>0</v>
      </c>
      <c r="CR87" s="458">
        <f t="shared" si="32"/>
        <v>0</v>
      </c>
      <c r="CS87" s="458">
        <f t="shared" si="48"/>
        <v>19866.600000000002</v>
      </c>
      <c r="CT87" s="458">
        <f t="shared" si="49"/>
        <v>0</v>
      </c>
      <c r="CU87" s="458">
        <f t="shared" si="50"/>
        <v>2022.1499999999999</v>
      </c>
      <c r="CV87" s="458">
        <f t="shared" si="51"/>
        <v>0</v>
      </c>
      <c r="CW87" s="458">
        <f t="shared" si="52"/>
        <v>0</v>
      </c>
      <c r="CX87" s="458">
        <f t="shared" si="53"/>
        <v>0</v>
      </c>
      <c r="CY87" s="458">
        <f t="shared" si="54"/>
        <v>0</v>
      </c>
      <c r="CZ87" s="458">
        <f t="shared" si="55"/>
        <v>0</v>
      </c>
      <c r="DA87" s="458">
        <f t="shared" si="56"/>
        <v>0</v>
      </c>
      <c r="DB87" s="458">
        <f t="shared" si="57"/>
        <v>21888.750000000004</v>
      </c>
      <c r="DC87" s="452">
        <f>_xlfn.XLOOKUP($A87,'Actuals Summer'!$A:$A,'Actuals Summer'!L:L,0,0)</f>
        <v>0</v>
      </c>
      <c r="DD87" s="452">
        <f>_xlfn.XLOOKUP($A87,'Actuals Summer'!$A:$A,'Actuals Summer'!K:K,0,0)+_xlfn.XLOOKUP($A87,'Actuals Summer'!$A:$A,'Actuals Summer'!Q:Q,0,0)</f>
        <v>0</v>
      </c>
      <c r="DE87" s="452">
        <f>_xlfn.XLOOKUP($A87,'Actuals Summer'!$A:$A,'Actuals Summer'!I:I,0,0)+_xlfn.XLOOKUP($A87,'Actuals Summer'!$A:$A,'Actuals Summer'!R:R,0,0)</f>
        <v>19866.600000000002</v>
      </c>
      <c r="DF87" s="452">
        <f>_xlfn.XLOOKUP($A87,'Actuals Summer'!$A:$A,'Actuals Summer'!J:J,0,0)</f>
        <v>0</v>
      </c>
      <c r="DG87" s="452">
        <f>_xlfn.XLOOKUP($A87,'Actuals Dep Summer'!$B:$B,'Actuals Dep Summer'!G:G,0,0)*'Actuals Dep Summer'!$F$2*'Actuals Dep Summer'!$C$2</f>
        <v>2022.1499999999999</v>
      </c>
      <c r="DH87" s="452">
        <f>_xlfn.XLOOKUP($A87,'Actuals Dep Summer'!$B:$B,'Actuals Dep Summer'!H:H,0,0)*'Actuals Dep Summer'!$F$2*'Actuals Dep Summer'!$C$3</f>
        <v>0</v>
      </c>
      <c r="DI87" s="452">
        <f>_xlfn.XLOOKUP($A87,'Actuals Dep Summer'!$B:$B,'Actuals Dep Summer'!I:I,0,0)*'Actuals Dep Summer'!$F$2*'Actuals Dep Summer'!$C$4</f>
        <v>0</v>
      </c>
      <c r="DJ87" s="452">
        <f>_xlfn.XLOOKUP($A87,'Actuals Summer'!$A:$A,'Actuals Summer'!P:P,0,0)</f>
        <v>0</v>
      </c>
      <c r="DK87" s="452">
        <f>_xlfn.XLOOKUP($A87,'Actuals Summer'!$A:$A,'Actuals Summer'!O:O,0,0)</f>
        <v>0</v>
      </c>
      <c r="DL87" s="452"/>
      <c r="DM87" s="452">
        <f>_xlfn.XLOOKUP($A87,'Actuals Summer'!$A:$A,'Actuals Summer'!M:M,0,0)</f>
        <v>0</v>
      </c>
      <c r="DN87" s="453">
        <f t="shared" si="33"/>
        <v>21888.750000000004</v>
      </c>
      <c r="DO87" s="453">
        <f>_xlfn.XLOOKUP(A87,'Actuals Summer'!A:A,'Actuals Summer'!S:S,0,0)-'Summer data team '!DN87</f>
        <v>0</v>
      </c>
      <c r="DP87" s="463">
        <f t="shared" si="34"/>
        <v>0</v>
      </c>
    </row>
    <row r="88" spans="1:120" ht="13" x14ac:dyDescent="0.3">
      <c r="A88" s="364">
        <v>2142</v>
      </c>
      <c r="B88" s="364">
        <v>3302142</v>
      </c>
      <c r="C88" s="364" t="s">
        <v>297</v>
      </c>
      <c r="D88" s="506">
        <v>0</v>
      </c>
      <c r="E88" s="506">
        <v>0</v>
      </c>
      <c r="F88" s="506">
        <v>0</v>
      </c>
      <c r="G88" s="506">
        <v>8</v>
      </c>
      <c r="H88" s="506">
        <v>16</v>
      </c>
      <c r="I88" s="507">
        <v>0</v>
      </c>
      <c r="J88" s="507">
        <v>24</v>
      </c>
      <c r="K88" s="506">
        <v>0</v>
      </c>
      <c r="L88" s="506">
        <v>0</v>
      </c>
      <c r="M88" s="507">
        <v>0</v>
      </c>
      <c r="N88" s="506">
        <v>0</v>
      </c>
      <c r="O88" s="506">
        <v>0</v>
      </c>
      <c r="P88" s="506">
        <v>120</v>
      </c>
      <c r="Q88" s="506">
        <v>240</v>
      </c>
      <c r="R88" s="507">
        <v>360</v>
      </c>
      <c r="S88" s="506">
        <v>0</v>
      </c>
      <c r="T88" s="506">
        <v>0</v>
      </c>
      <c r="U88" s="506">
        <v>0</v>
      </c>
      <c r="V88" s="506">
        <v>0</v>
      </c>
      <c r="W88" s="507">
        <v>0</v>
      </c>
      <c r="X88" s="506">
        <v>14</v>
      </c>
      <c r="Y88" s="506">
        <v>210</v>
      </c>
      <c r="Z88" s="508">
        <v>0</v>
      </c>
      <c r="AA88" s="506">
        <v>0</v>
      </c>
      <c r="AB88" s="506">
        <v>0</v>
      </c>
      <c r="AC88" s="508">
        <v>0</v>
      </c>
      <c r="AD88" s="506">
        <v>2</v>
      </c>
      <c r="AE88" s="506">
        <v>30</v>
      </c>
      <c r="AF88" s="508">
        <v>0</v>
      </c>
      <c r="AG88" s="509">
        <v>0</v>
      </c>
      <c r="AH88" s="509">
        <v>0</v>
      </c>
      <c r="AI88" s="508">
        <v>0</v>
      </c>
      <c r="AJ88" s="509">
        <v>18</v>
      </c>
      <c r="AK88" s="509">
        <v>270</v>
      </c>
      <c r="AL88" s="508">
        <v>0</v>
      </c>
      <c r="AM88" s="506">
        <v>18</v>
      </c>
      <c r="AN88" s="506">
        <v>270</v>
      </c>
      <c r="AO88" s="508">
        <v>0</v>
      </c>
      <c r="AP88" s="508"/>
      <c r="AQ88" s="508">
        <f t="shared" si="35"/>
        <v>18</v>
      </c>
      <c r="AR88" s="509">
        <v>0</v>
      </c>
      <c r="AS88" s="509">
        <v>0</v>
      </c>
      <c r="AT88" s="508">
        <v>0</v>
      </c>
      <c r="AU88" s="509">
        <v>18</v>
      </c>
      <c r="AV88" s="509">
        <v>270</v>
      </c>
      <c r="AW88" s="508">
        <v>0</v>
      </c>
      <c r="AX88" s="506">
        <v>18</v>
      </c>
      <c r="AY88" s="506">
        <v>270</v>
      </c>
      <c r="AZ88" s="508">
        <v>0</v>
      </c>
      <c r="BA88" s="508"/>
      <c r="BB88" s="508">
        <f t="shared" si="36"/>
        <v>36</v>
      </c>
      <c r="BC88" s="509">
        <v>0</v>
      </c>
      <c r="BD88" s="509">
        <v>0</v>
      </c>
      <c r="BE88" s="506">
        <v>0</v>
      </c>
      <c r="BF88" s="200"/>
      <c r="BG88" s="200"/>
      <c r="BH88" s="200"/>
      <c r="BI88" s="200"/>
      <c r="BJ88" s="200"/>
      <c r="BK88" s="200"/>
      <c r="BL88" s="200"/>
      <c r="BM88" s="505">
        <f t="shared" si="37"/>
        <v>0</v>
      </c>
      <c r="BN88" s="200">
        <f t="shared" si="38"/>
        <v>0</v>
      </c>
      <c r="BO88" s="200">
        <f t="shared" si="31"/>
        <v>0</v>
      </c>
      <c r="BP88" s="200">
        <f t="shared" si="39"/>
        <v>4680</v>
      </c>
      <c r="BQ88" s="200">
        <f t="shared" si="40"/>
        <v>0</v>
      </c>
      <c r="BR88" s="200">
        <f t="shared" si="41"/>
        <v>2730</v>
      </c>
      <c r="BS88" s="200">
        <f t="shared" si="42"/>
        <v>0</v>
      </c>
      <c r="BT88" s="200">
        <f t="shared" si="43"/>
        <v>390</v>
      </c>
      <c r="BU88" s="200">
        <f t="shared" si="44"/>
        <v>3510</v>
      </c>
      <c r="BV88" s="200">
        <v>18</v>
      </c>
      <c r="BW88" s="200">
        <v>0</v>
      </c>
      <c r="BX88" s="200">
        <f t="shared" si="45"/>
        <v>0</v>
      </c>
      <c r="CB88" s="381">
        <f>_xlfn.IFNA(VLOOKUP(A88,'Actuals Summer'!$A:$AG,23,FALSE),0)</f>
        <v>4680</v>
      </c>
      <c r="CC88" s="381">
        <f>_xlfn.IFNA(VLOOKUP(A88,'Actuals Summer'!$A:$AG,24,FALSE),0)</f>
        <v>0</v>
      </c>
      <c r="CD88" s="381">
        <f>_xlfn.IFNA(VLOOKUP(A88,'Actuals Summer'!$A:$AG,25,FALSE),0)</f>
        <v>0</v>
      </c>
      <c r="CE88" s="381">
        <f>_xlfn.IFNA(VLOOKUP(A88,'Actuals Summer'!$A:$AG,26,FALSE),0)</f>
        <v>0</v>
      </c>
      <c r="CF88" s="381">
        <f>_xlfn.IFNA(VLOOKUP(A88,'Actuals Summer'!$A:$AG,27,FALSE),0)</f>
        <v>0</v>
      </c>
      <c r="CG88" s="381">
        <f>_xlfn.IFNA(VLOOKUP(A88,'Actuals Dep Summer'!B:O,6,FALSE)*$BN$3,0)</f>
        <v>2730</v>
      </c>
      <c r="CH88" s="381">
        <f>_xlfn.IFNA(VLOOKUP(A88,'Actuals Dep Summer'!B:O,7,FALSE)*$BN$3,0)</f>
        <v>0</v>
      </c>
      <c r="CI88" s="381">
        <f>_xlfn.IFNA(VLOOKUP(A88,'Actuals Dep Summer'!B:O,8,FALSE)*$BN$3,0)</f>
        <v>390</v>
      </c>
      <c r="CJ88" s="381">
        <f>_xlfn.IFNA(VLOOKUP(A88,'Actuals Summer'!$A:$AG,31,FALSE),0)*$BN$3</f>
        <v>233.87126352466532</v>
      </c>
      <c r="CK88" s="381"/>
      <c r="CL88" s="381">
        <f>_xlfn.IFNA(VLOOKUP(A88,'Actuals Summer'!$A:$AG,32,FALSE),0)*$BN$3</f>
        <v>45630</v>
      </c>
      <c r="CM88" s="381">
        <f>_xlfn.IFNA(VLOOKUP(A88,'Actuals Summer'!$A:$AG,33,FALSE),0)</f>
        <v>0</v>
      </c>
      <c r="CP88" s="458">
        <f t="shared" si="46"/>
        <v>0</v>
      </c>
      <c r="CQ88" s="458">
        <f t="shared" si="47"/>
        <v>0</v>
      </c>
      <c r="CR88" s="458">
        <f t="shared" si="32"/>
        <v>0</v>
      </c>
      <c r="CS88" s="458">
        <f t="shared" si="48"/>
        <v>26488.799999999999</v>
      </c>
      <c r="CT88" s="458">
        <f t="shared" si="49"/>
        <v>0</v>
      </c>
      <c r="CU88" s="458">
        <f t="shared" si="50"/>
        <v>1665.3</v>
      </c>
      <c r="CV88" s="458">
        <f t="shared" si="51"/>
        <v>0</v>
      </c>
      <c r="CW88" s="458">
        <f t="shared" si="52"/>
        <v>31.2</v>
      </c>
      <c r="CX88" s="458">
        <f t="shared" si="53"/>
        <v>3510</v>
      </c>
      <c r="CY88" s="458">
        <f t="shared" si="54"/>
        <v>1342.421052631579</v>
      </c>
      <c r="CZ88" s="458">
        <f t="shared" si="55"/>
        <v>0</v>
      </c>
      <c r="DA88" s="458">
        <f t="shared" si="56"/>
        <v>0</v>
      </c>
      <c r="DB88" s="458">
        <f t="shared" si="57"/>
        <v>33037.721052631576</v>
      </c>
      <c r="DC88" s="452">
        <f>_xlfn.XLOOKUP($A88,'Actuals Summer'!$A:$A,'Actuals Summer'!L:L,0,0)</f>
        <v>0</v>
      </c>
      <c r="DD88" s="452">
        <f>_xlfn.XLOOKUP($A88,'Actuals Summer'!$A:$A,'Actuals Summer'!K:K,0,0)+_xlfn.XLOOKUP($A88,'Actuals Summer'!$A:$A,'Actuals Summer'!Q:Q,0,0)</f>
        <v>0</v>
      </c>
      <c r="DE88" s="452">
        <f>_xlfn.XLOOKUP($A88,'Actuals Summer'!$A:$A,'Actuals Summer'!I:I,0,0)+_xlfn.XLOOKUP($A88,'Actuals Summer'!$A:$A,'Actuals Summer'!R:R,0,0)</f>
        <v>26488.799999999999</v>
      </c>
      <c r="DF88" s="452">
        <f>_xlfn.XLOOKUP($A88,'Actuals Summer'!$A:$A,'Actuals Summer'!J:J,0,0)</f>
        <v>0</v>
      </c>
      <c r="DG88" s="452">
        <f>_xlfn.XLOOKUP($A88,'Actuals Dep Summer'!$B:$B,'Actuals Dep Summer'!G:G,0,0)*'Actuals Dep Summer'!$F$2*'Actuals Dep Summer'!$C$2</f>
        <v>1665.3</v>
      </c>
      <c r="DH88" s="452">
        <f>_xlfn.XLOOKUP($A88,'Actuals Dep Summer'!$B:$B,'Actuals Dep Summer'!H:H,0,0)*'Actuals Dep Summer'!$F$2*'Actuals Dep Summer'!$C$3</f>
        <v>0</v>
      </c>
      <c r="DI88" s="452">
        <f>_xlfn.XLOOKUP($A88,'Actuals Dep Summer'!$B:$B,'Actuals Dep Summer'!I:I,0,0)*'Actuals Dep Summer'!$F$2*'Actuals Dep Summer'!$C$4</f>
        <v>31.2</v>
      </c>
      <c r="DJ88" s="452">
        <f>_xlfn.XLOOKUP($A88,'Actuals Summer'!$A:$A,'Actuals Summer'!P:P,0,0)</f>
        <v>3510</v>
      </c>
      <c r="DK88" s="452">
        <f>_xlfn.XLOOKUP($A88,'Actuals Summer'!$A:$A,'Actuals Summer'!O:O,0,0)</f>
        <v>1342.421052631579</v>
      </c>
      <c r="DL88" s="452"/>
      <c r="DM88" s="452">
        <f>_xlfn.XLOOKUP($A88,'Actuals Summer'!$A:$A,'Actuals Summer'!M:M,0,0)</f>
        <v>0</v>
      </c>
      <c r="DN88" s="453">
        <f t="shared" si="33"/>
        <v>33037.721052631576</v>
      </c>
      <c r="DO88" s="453">
        <f>_xlfn.XLOOKUP(A88,'Actuals Summer'!A:A,'Actuals Summer'!S:S,0,0)-'Summer data team '!DN88</f>
        <v>0</v>
      </c>
      <c r="DP88" s="463">
        <f t="shared" si="34"/>
        <v>0</v>
      </c>
    </row>
    <row r="89" spans="1:120" ht="13" x14ac:dyDescent="0.3">
      <c r="A89" s="364">
        <v>2144</v>
      </c>
      <c r="B89" s="364">
        <v>3302144</v>
      </c>
      <c r="C89" s="364" t="s">
        <v>298</v>
      </c>
      <c r="D89" s="506">
        <v>0</v>
      </c>
      <c r="E89" s="506">
        <v>0</v>
      </c>
      <c r="F89" s="506">
        <v>0</v>
      </c>
      <c r="G89" s="506">
        <v>14</v>
      </c>
      <c r="H89" s="506">
        <v>34</v>
      </c>
      <c r="I89" s="507">
        <v>0</v>
      </c>
      <c r="J89" s="507">
        <v>48</v>
      </c>
      <c r="K89" s="506">
        <v>2</v>
      </c>
      <c r="L89" s="506">
        <v>1</v>
      </c>
      <c r="M89" s="507">
        <v>3</v>
      </c>
      <c r="N89" s="506">
        <v>0</v>
      </c>
      <c r="O89" s="506">
        <v>0</v>
      </c>
      <c r="P89" s="506">
        <v>210</v>
      </c>
      <c r="Q89" s="506">
        <v>510</v>
      </c>
      <c r="R89" s="507">
        <v>720</v>
      </c>
      <c r="S89" s="506">
        <v>0</v>
      </c>
      <c r="T89" s="506">
        <v>0</v>
      </c>
      <c r="U89" s="506">
        <v>30</v>
      </c>
      <c r="V89" s="506">
        <v>15</v>
      </c>
      <c r="W89" s="507">
        <v>45</v>
      </c>
      <c r="X89" s="506">
        <v>1</v>
      </c>
      <c r="Y89" s="506">
        <v>15</v>
      </c>
      <c r="Z89" s="508">
        <v>15</v>
      </c>
      <c r="AA89" s="506">
        <v>15</v>
      </c>
      <c r="AB89" s="506">
        <v>225</v>
      </c>
      <c r="AC89" s="508">
        <v>0</v>
      </c>
      <c r="AD89" s="506">
        <v>29</v>
      </c>
      <c r="AE89" s="506">
        <v>435</v>
      </c>
      <c r="AF89" s="508">
        <v>30</v>
      </c>
      <c r="AG89" s="509">
        <v>0</v>
      </c>
      <c r="AH89" s="509">
        <v>0</v>
      </c>
      <c r="AI89" s="508">
        <v>0</v>
      </c>
      <c r="AJ89" s="509">
        <v>23</v>
      </c>
      <c r="AK89" s="509">
        <v>345</v>
      </c>
      <c r="AL89" s="508">
        <v>0</v>
      </c>
      <c r="AM89" s="506">
        <v>23</v>
      </c>
      <c r="AN89" s="506">
        <v>345</v>
      </c>
      <c r="AO89" s="508">
        <v>0</v>
      </c>
      <c r="AP89" s="508"/>
      <c r="AQ89" s="508">
        <f t="shared" si="35"/>
        <v>23</v>
      </c>
      <c r="AR89" s="509">
        <v>0</v>
      </c>
      <c r="AS89" s="509">
        <v>0</v>
      </c>
      <c r="AT89" s="508">
        <v>0</v>
      </c>
      <c r="AU89" s="509">
        <v>23</v>
      </c>
      <c r="AV89" s="509">
        <v>345</v>
      </c>
      <c r="AW89" s="508">
        <v>0</v>
      </c>
      <c r="AX89" s="506">
        <v>23</v>
      </c>
      <c r="AY89" s="506">
        <v>345</v>
      </c>
      <c r="AZ89" s="508">
        <v>0</v>
      </c>
      <c r="BA89" s="508"/>
      <c r="BB89" s="508">
        <f t="shared" si="36"/>
        <v>46</v>
      </c>
      <c r="BC89" s="509">
        <v>0</v>
      </c>
      <c r="BD89" s="509">
        <v>0</v>
      </c>
      <c r="BE89" s="506">
        <v>0</v>
      </c>
      <c r="BF89" s="200"/>
      <c r="BG89" s="200"/>
      <c r="BH89" s="200"/>
      <c r="BI89" s="200"/>
      <c r="BJ89" s="200"/>
      <c r="BK89" s="200"/>
      <c r="BL89" s="200"/>
      <c r="BM89" s="505">
        <f t="shared" si="37"/>
        <v>0</v>
      </c>
      <c r="BN89" s="200">
        <f t="shared" si="38"/>
        <v>0</v>
      </c>
      <c r="BO89" s="200">
        <f t="shared" si="31"/>
        <v>0</v>
      </c>
      <c r="BP89" s="200">
        <f t="shared" si="39"/>
        <v>9360</v>
      </c>
      <c r="BQ89" s="200">
        <f t="shared" si="40"/>
        <v>585</v>
      </c>
      <c r="BR89" s="200">
        <f t="shared" si="41"/>
        <v>390</v>
      </c>
      <c r="BS89" s="200">
        <f t="shared" si="42"/>
        <v>2925</v>
      </c>
      <c r="BT89" s="200">
        <f t="shared" si="43"/>
        <v>6045</v>
      </c>
      <c r="BU89" s="200">
        <f t="shared" si="44"/>
        <v>4485</v>
      </c>
      <c r="BV89" s="200">
        <v>23</v>
      </c>
      <c r="BW89" s="200">
        <v>0</v>
      </c>
      <c r="BX89" s="200">
        <f t="shared" si="45"/>
        <v>0</v>
      </c>
      <c r="CB89" s="381">
        <f>_xlfn.IFNA(VLOOKUP(A89,'Actuals Summer'!$A:$AG,23,FALSE),0)</f>
        <v>9360</v>
      </c>
      <c r="CC89" s="381">
        <f>_xlfn.IFNA(VLOOKUP(A89,'Actuals Summer'!$A:$AG,24,FALSE),0)</f>
        <v>585</v>
      </c>
      <c r="CD89" s="381">
        <f>_xlfn.IFNA(VLOOKUP(A89,'Actuals Summer'!$A:$AG,25,FALSE),0)</f>
        <v>0</v>
      </c>
      <c r="CE89" s="381">
        <f>_xlfn.IFNA(VLOOKUP(A89,'Actuals Summer'!$A:$AG,26,FALSE),0)</f>
        <v>0</v>
      </c>
      <c r="CF89" s="381">
        <f>_xlfn.IFNA(VLOOKUP(A89,'Actuals Summer'!$A:$AG,27,FALSE),0)</f>
        <v>0</v>
      </c>
      <c r="CG89" s="381">
        <f>_xlfn.IFNA(VLOOKUP(A89,'Actuals Dep Summer'!B:O,6,FALSE)*$BN$3,0)</f>
        <v>195</v>
      </c>
      <c r="CH89" s="381">
        <f>_xlfn.IFNA(VLOOKUP(A89,'Actuals Dep Summer'!B:O,7,FALSE)*$BN$3,0)</f>
        <v>2925</v>
      </c>
      <c r="CI89" s="381">
        <f>_xlfn.IFNA(VLOOKUP(A89,'Actuals Dep Summer'!B:O,8,FALSE)*$BN$3,0)</f>
        <v>5655</v>
      </c>
      <c r="CJ89" s="381">
        <f>_xlfn.IFNA(VLOOKUP(A89,'Actuals Summer'!$A:$AG,31,FALSE),0)*$BN$3</f>
        <v>298.83550339262791</v>
      </c>
      <c r="CK89" s="381"/>
      <c r="CL89" s="381">
        <f>_xlfn.IFNA(VLOOKUP(A89,'Actuals Summer'!$A:$AG,32,FALSE),0)*$BN$3</f>
        <v>58305</v>
      </c>
      <c r="CM89" s="381">
        <f>_xlfn.IFNA(VLOOKUP(A89,'Actuals Summer'!$A:$AG,33,FALSE),0)</f>
        <v>0</v>
      </c>
      <c r="CP89" s="458">
        <f t="shared" si="46"/>
        <v>0</v>
      </c>
      <c r="CQ89" s="458">
        <f t="shared" si="47"/>
        <v>0</v>
      </c>
      <c r="CR89" s="458">
        <f t="shared" si="32"/>
        <v>0</v>
      </c>
      <c r="CS89" s="458">
        <f t="shared" si="48"/>
        <v>52977.599999999999</v>
      </c>
      <c r="CT89" s="458">
        <f t="shared" si="49"/>
        <v>3311.1</v>
      </c>
      <c r="CU89" s="458">
        <f t="shared" si="50"/>
        <v>237.9</v>
      </c>
      <c r="CV89" s="458">
        <f t="shared" si="51"/>
        <v>848.24999999999989</v>
      </c>
      <c r="CW89" s="458">
        <f t="shared" si="52"/>
        <v>483.6</v>
      </c>
      <c r="CX89" s="458">
        <f t="shared" si="53"/>
        <v>4485</v>
      </c>
      <c r="CY89" s="458">
        <f t="shared" si="54"/>
        <v>1715.3157894736842</v>
      </c>
      <c r="CZ89" s="458">
        <f t="shared" si="55"/>
        <v>0</v>
      </c>
      <c r="DA89" s="458">
        <f t="shared" si="56"/>
        <v>0</v>
      </c>
      <c r="DB89" s="458">
        <f t="shared" si="57"/>
        <v>64058.765789473684</v>
      </c>
      <c r="DC89" s="452">
        <f>_xlfn.XLOOKUP($A89,'Actuals Summer'!$A:$A,'Actuals Summer'!L:L,0,0)</f>
        <v>0</v>
      </c>
      <c r="DD89" s="452">
        <f>_xlfn.XLOOKUP($A89,'Actuals Summer'!$A:$A,'Actuals Summer'!K:K,0,0)+_xlfn.XLOOKUP($A89,'Actuals Summer'!$A:$A,'Actuals Summer'!Q:Q,0,0)</f>
        <v>0</v>
      </c>
      <c r="DE89" s="452">
        <f>_xlfn.XLOOKUP($A89,'Actuals Summer'!$A:$A,'Actuals Summer'!I:I,0,0)+_xlfn.XLOOKUP($A89,'Actuals Summer'!$A:$A,'Actuals Summer'!R:R,0,0)</f>
        <v>52977.599999999999</v>
      </c>
      <c r="DF89" s="452">
        <f>_xlfn.XLOOKUP($A89,'Actuals Summer'!$A:$A,'Actuals Summer'!J:J,0,0)</f>
        <v>3311.1</v>
      </c>
      <c r="DG89" s="452">
        <f>_xlfn.XLOOKUP($A89,'Actuals Dep Summer'!$B:$B,'Actuals Dep Summer'!G:G,0,0)*'Actuals Dep Summer'!$F$2*'Actuals Dep Summer'!$C$2</f>
        <v>118.95</v>
      </c>
      <c r="DH89" s="452">
        <f>_xlfn.XLOOKUP($A89,'Actuals Dep Summer'!$B:$B,'Actuals Dep Summer'!H:H,0,0)*'Actuals Dep Summer'!$F$2*'Actuals Dep Summer'!$C$3</f>
        <v>848.24999999999989</v>
      </c>
      <c r="DI89" s="452">
        <f>_xlfn.XLOOKUP($A89,'Actuals Dep Summer'!$B:$B,'Actuals Dep Summer'!I:I,0,0)*'Actuals Dep Summer'!$F$2*'Actuals Dep Summer'!$C$4</f>
        <v>452.40000000000003</v>
      </c>
      <c r="DJ89" s="452">
        <f>_xlfn.XLOOKUP($A89,'Actuals Summer'!$A:$A,'Actuals Summer'!P:P,0,0)</f>
        <v>4485</v>
      </c>
      <c r="DK89" s="452">
        <f>_xlfn.XLOOKUP($A89,'Actuals Summer'!$A:$A,'Actuals Summer'!O:O,0,0)</f>
        <v>1715.3157894736842</v>
      </c>
      <c r="DL89" s="452"/>
      <c r="DM89" s="452">
        <f>_xlfn.XLOOKUP($A89,'Actuals Summer'!$A:$A,'Actuals Summer'!M:M,0,0)</f>
        <v>0</v>
      </c>
      <c r="DN89" s="453">
        <f t="shared" si="33"/>
        <v>63908.615789473683</v>
      </c>
      <c r="DO89" s="453">
        <f>_xlfn.XLOOKUP(A89,'Actuals Summer'!A:A,'Actuals Summer'!S:S,0,0)-'Summer data team '!DN89</f>
        <v>0</v>
      </c>
      <c r="DP89" s="463">
        <f t="shared" si="34"/>
        <v>150.15000000000146</v>
      </c>
    </row>
    <row r="90" spans="1:120" ht="13" x14ac:dyDescent="0.3">
      <c r="A90" s="364">
        <v>2146</v>
      </c>
      <c r="B90" s="364">
        <v>3302146</v>
      </c>
      <c r="C90" s="364" t="s">
        <v>299</v>
      </c>
      <c r="D90" s="506">
        <v>0</v>
      </c>
      <c r="E90" s="506">
        <v>0</v>
      </c>
      <c r="F90" s="506">
        <v>0</v>
      </c>
      <c r="G90" s="506">
        <v>19</v>
      </c>
      <c r="H90" s="506">
        <v>30</v>
      </c>
      <c r="I90" s="507">
        <v>0</v>
      </c>
      <c r="J90" s="507">
        <v>49</v>
      </c>
      <c r="K90" s="506">
        <v>0</v>
      </c>
      <c r="L90" s="506">
        <v>0</v>
      </c>
      <c r="M90" s="507">
        <v>0</v>
      </c>
      <c r="N90" s="506">
        <v>0</v>
      </c>
      <c r="O90" s="506">
        <v>0</v>
      </c>
      <c r="P90" s="506">
        <v>285</v>
      </c>
      <c r="Q90" s="506">
        <v>450</v>
      </c>
      <c r="R90" s="507">
        <v>735</v>
      </c>
      <c r="S90" s="506">
        <v>0</v>
      </c>
      <c r="T90" s="506">
        <v>0</v>
      </c>
      <c r="U90" s="506">
        <v>0</v>
      </c>
      <c r="V90" s="506">
        <v>0</v>
      </c>
      <c r="W90" s="507">
        <v>0</v>
      </c>
      <c r="X90" s="506">
        <v>2</v>
      </c>
      <c r="Y90" s="506">
        <v>30</v>
      </c>
      <c r="Z90" s="508">
        <v>0</v>
      </c>
      <c r="AA90" s="506">
        <v>3</v>
      </c>
      <c r="AB90" s="506">
        <v>45</v>
      </c>
      <c r="AC90" s="508">
        <v>0</v>
      </c>
      <c r="AD90" s="506">
        <v>39</v>
      </c>
      <c r="AE90" s="506">
        <v>585</v>
      </c>
      <c r="AF90" s="508">
        <v>0</v>
      </c>
      <c r="AG90" s="509">
        <v>0</v>
      </c>
      <c r="AH90" s="509">
        <v>0</v>
      </c>
      <c r="AI90" s="508">
        <v>0</v>
      </c>
      <c r="AJ90" s="509">
        <v>28</v>
      </c>
      <c r="AK90" s="509">
        <v>420</v>
      </c>
      <c r="AL90" s="508">
        <v>0</v>
      </c>
      <c r="AM90" s="506">
        <v>28</v>
      </c>
      <c r="AN90" s="506">
        <v>420</v>
      </c>
      <c r="AO90" s="508">
        <v>0</v>
      </c>
      <c r="AP90" s="508"/>
      <c r="AQ90" s="508">
        <f t="shared" si="35"/>
        <v>28</v>
      </c>
      <c r="AR90" s="509">
        <v>0</v>
      </c>
      <c r="AS90" s="509">
        <v>0</v>
      </c>
      <c r="AT90" s="508">
        <v>0</v>
      </c>
      <c r="AU90" s="509">
        <v>28</v>
      </c>
      <c r="AV90" s="509">
        <v>420</v>
      </c>
      <c r="AW90" s="508">
        <v>0</v>
      </c>
      <c r="AX90" s="506">
        <v>28</v>
      </c>
      <c r="AY90" s="506">
        <v>420</v>
      </c>
      <c r="AZ90" s="508">
        <v>0</v>
      </c>
      <c r="BA90" s="508"/>
      <c r="BB90" s="508">
        <f t="shared" si="36"/>
        <v>56</v>
      </c>
      <c r="BC90" s="509">
        <v>0</v>
      </c>
      <c r="BD90" s="509">
        <v>0</v>
      </c>
      <c r="BE90" s="506">
        <v>0</v>
      </c>
      <c r="BF90" s="200"/>
      <c r="BG90" s="200"/>
      <c r="BH90" s="200"/>
      <c r="BI90" s="200"/>
      <c r="BJ90" s="200"/>
      <c r="BK90" s="200"/>
      <c r="BL90" s="200"/>
      <c r="BM90" s="505">
        <f t="shared" si="37"/>
        <v>0</v>
      </c>
      <c r="BN90" s="200">
        <f t="shared" si="38"/>
        <v>0</v>
      </c>
      <c r="BO90" s="200">
        <f t="shared" si="31"/>
        <v>0</v>
      </c>
      <c r="BP90" s="200">
        <f t="shared" si="39"/>
        <v>9555</v>
      </c>
      <c r="BQ90" s="200">
        <f t="shared" si="40"/>
        <v>0</v>
      </c>
      <c r="BR90" s="200">
        <f t="shared" si="41"/>
        <v>390</v>
      </c>
      <c r="BS90" s="200">
        <f t="shared" si="42"/>
        <v>585</v>
      </c>
      <c r="BT90" s="200">
        <f t="shared" si="43"/>
        <v>7605</v>
      </c>
      <c r="BU90" s="200">
        <f t="shared" si="44"/>
        <v>5460</v>
      </c>
      <c r="BV90" s="200">
        <v>28</v>
      </c>
      <c r="BW90" s="200">
        <v>0</v>
      </c>
      <c r="BX90" s="200">
        <f t="shared" si="45"/>
        <v>0</v>
      </c>
      <c r="CB90" s="381">
        <f>_xlfn.IFNA(VLOOKUP(A90,'Actuals Summer'!$A:$AG,23,FALSE),0)</f>
        <v>9555</v>
      </c>
      <c r="CC90" s="381">
        <f>_xlfn.IFNA(VLOOKUP(A90,'Actuals Summer'!$A:$AG,24,FALSE),0)</f>
        <v>0</v>
      </c>
      <c r="CD90" s="381">
        <f>_xlfn.IFNA(VLOOKUP(A90,'Actuals Summer'!$A:$AG,25,FALSE),0)</f>
        <v>0</v>
      </c>
      <c r="CE90" s="381">
        <f>_xlfn.IFNA(VLOOKUP(A90,'Actuals Summer'!$A:$AG,26,FALSE),0)</f>
        <v>0</v>
      </c>
      <c r="CF90" s="381">
        <f>_xlfn.IFNA(VLOOKUP(A90,'Actuals Summer'!$A:$AG,27,FALSE),0)</f>
        <v>0</v>
      </c>
      <c r="CG90" s="381">
        <f>_xlfn.IFNA(VLOOKUP(A90,'Actuals Dep Summer'!B:O,6,FALSE)*$BN$3,0)</f>
        <v>390</v>
      </c>
      <c r="CH90" s="381">
        <f>_xlfn.IFNA(VLOOKUP(A90,'Actuals Dep Summer'!B:O,7,FALSE)*$BN$3,0)</f>
        <v>585</v>
      </c>
      <c r="CI90" s="381">
        <f>_xlfn.IFNA(VLOOKUP(A90,'Actuals Dep Summer'!B:O,8,FALSE)*$BN$3,0)</f>
        <v>7605</v>
      </c>
      <c r="CJ90" s="381">
        <f>_xlfn.IFNA(VLOOKUP(A90,'Actuals Summer'!$A:$AG,31,FALSE),0)*$BN$3</f>
        <v>363.7997432605905</v>
      </c>
      <c r="CK90" s="381"/>
      <c r="CL90" s="381">
        <f>_xlfn.IFNA(VLOOKUP(A90,'Actuals Summer'!$A:$AG,32,FALSE),0)*$BN$3</f>
        <v>70980</v>
      </c>
      <c r="CM90" s="381">
        <f>_xlfn.IFNA(VLOOKUP(A90,'Actuals Summer'!$A:$AG,33,FALSE),0)</f>
        <v>0</v>
      </c>
      <c r="CP90" s="458">
        <f t="shared" si="46"/>
        <v>0</v>
      </c>
      <c r="CQ90" s="458">
        <f t="shared" si="47"/>
        <v>0</v>
      </c>
      <c r="CR90" s="458">
        <f t="shared" si="32"/>
        <v>0</v>
      </c>
      <c r="CS90" s="458">
        <f t="shared" si="48"/>
        <v>54081.3</v>
      </c>
      <c r="CT90" s="458">
        <f t="shared" si="49"/>
        <v>0</v>
      </c>
      <c r="CU90" s="458">
        <f t="shared" si="50"/>
        <v>237.9</v>
      </c>
      <c r="CV90" s="458">
        <f t="shared" si="51"/>
        <v>169.64999999999998</v>
      </c>
      <c r="CW90" s="458">
        <f t="shared" si="52"/>
        <v>608.4</v>
      </c>
      <c r="CX90" s="458">
        <f t="shared" si="53"/>
        <v>5460</v>
      </c>
      <c r="CY90" s="458">
        <f t="shared" si="54"/>
        <v>2088.2105263157891</v>
      </c>
      <c r="CZ90" s="458">
        <f t="shared" si="55"/>
        <v>0</v>
      </c>
      <c r="DA90" s="458">
        <f t="shared" si="56"/>
        <v>0</v>
      </c>
      <c r="DB90" s="458">
        <f t="shared" si="57"/>
        <v>62645.460526315794</v>
      </c>
      <c r="DC90" s="452">
        <f>_xlfn.XLOOKUP($A90,'Actuals Summer'!$A:$A,'Actuals Summer'!L:L,0,0)</f>
        <v>0</v>
      </c>
      <c r="DD90" s="452">
        <f>_xlfn.XLOOKUP($A90,'Actuals Summer'!$A:$A,'Actuals Summer'!K:K,0,0)+_xlfn.XLOOKUP($A90,'Actuals Summer'!$A:$A,'Actuals Summer'!Q:Q,0,0)</f>
        <v>0</v>
      </c>
      <c r="DE90" s="452">
        <f>_xlfn.XLOOKUP($A90,'Actuals Summer'!$A:$A,'Actuals Summer'!I:I,0,0)+_xlfn.XLOOKUP($A90,'Actuals Summer'!$A:$A,'Actuals Summer'!R:R,0,0)</f>
        <v>54081.3</v>
      </c>
      <c r="DF90" s="452">
        <f>_xlfn.XLOOKUP($A90,'Actuals Summer'!$A:$A,'Actuals Summer'!J:J,0,0)</f>
        <v>0</v>
      </c>
      <c r="DG90" s="452">
        <f>_xlfn.XLOOKUP($A90,'Actuals Dep Summer'!$B:$B,'Actuals Dep Summer'!G:G,0,0)*'Actuals Dep Summer'!$F$2*'Actuals Dep Summer'!$C$2</f>
        <v>237.9</v>
      </c>
      <c r="DH90" s="452">
        <f>_xlfn.XLOOKUP($A90,'Actuals Dep Summer'!$B:$B,'Actuals Dep Summer'!H:H,0,0)*'Actuals Dep Summer'!$F$2*'Actuals Dep Summer'!$C$3</f>
        <v>169.64999999999998</v>
      </c>
      <c r="DI90" s="452">
        <f>_xlfn.XLOOKUP($A90,'Actuals Dep Summer'!$B:$B,'Actuals Dep Summer'!I:I,0,0)*'Actuals Dep Summer'!$F$2*'Actuals Dep Summer'!$C$4</f>
        <v>608.4</v>
      </c>
      <c r="DJ90" s="452">
        <f>_xlfn.XLOOKUP($A90,'Actuals Summer'!$A:$A,'Actuals Summer'!P:P,0,0)</f>
        <v>5460</v>
      </c>
      <c r="DK90" s="452">
        <f>_xlfn.XLOOKUP($A90,'Actuals Summer'!$A:$A,'Actuals Summer'!O:O,0,0)</f>
        <v>2088.2105263157896</v>
      </c>
      <c r="DL90" s="452"/>
      <c r="DM90" s="452">
        <f>_xlfn.XLOOKUP($A90,'Actuals Summer'!$A:$A,'Actuals Summer'!M:M,0,0)</f>
        <v>0</v>
      </c>
      <c r="DN90" s="453">
        <f t="shared" si="33"/>
        <v>62645.460526315794</v>
      </c>
      <c r="DO90" s="453">
        <f>_xlfn.XLOOKUP(A90,'Actuals Summer'!A:A,'Actuals Summer'!S:S,0,0)-'Summer data team '!DN90</f>
        <v>0</v>
      </c>
      <c r="DP90" s="463">
        <f t="shared" si="34"/>
        <v>0</v>
      </c>
    </row>
    <row r="91" spans="1:120" ht="13" x14ac:dyDescent="0.3">
      <c r="A91" s="364">
        <v>2149</v>
      </c>
      <c r="B91" s="364">
        <v>3302149</v>
      </c>
      <c r="C91" s="364" t="s">
        <v>300</v>
      </c>
      <c r="D91" s="506">
        <v>0</v>
      </c>
      <c r="E91" s="506">
        <v>0</v>
      </c>
      <c r="F91" s="506">
        <v>0</v>
      </c>
      <c r="G91" s="506">
        <v>8</v>
      </c>
      <c r="H91" s="506">
        <v>16</v>
      </c>
      <c r="I91" s="507">
        <v>0</v>
      </c>
      <c r="J91" s="507">
        <v>24</v>
      </c>
      <c r="K91" s="506">
        <v>0</v>
      </c>
      <c r="L91" s="506">
        <v>0</v>
      </c>
      <c r="M91" s="507">
        <v>0</v>
      </c>
      <c r="N91" s="506">
        <v>0</v>
      </c>
      <c r="O91" s="506">
        <v>0</v>
      </c>
      <c r="P91" s="506">
        <v>120</v>
      </c>
      <c r="Q91" s="506">
        <v>240</v>
      </c>
      <c r="R91" s="507">
        <v>360</v>
      </c>
      <c r="S91" s="506">
        <v>0</v>
      </c>
      <c r="T91" s="506">
        <v>0</v>
      </c>
      <c r="U91" s="506">
        <v>0</v>
      </c>
      <c r="V91" s="506">
        <v>0</v>
      </c>
      <c r="W91" s="507">
        <v>0</v>
      </c>
      <c r="X91" s="506">
        <v>0</v>
      </c>
      <c r="Y91" s="506">
        <v>0</v>
      </c>
      <c r="Z91" s="508">
        <v>0</v>
      </c>
      <c r="AA91" s="506">
        <v>5</v>
      </c>
      <c r="AB91" s="506">
        <v>75</v>
      </c>
      <c r="AC91" s="508">
        <v>0</v>
      </c>
      <c r="AD91" s="506">
        <v>7</v>
      </c>
      <c r="AE91" s="506">
        <v>105</v>
      </c>
      <c r="AF91" s="508">
        <v>0</v>
      </c>
      <c r="AG91" s="509">
        <v>0</v>
      </c>
      <c r="AH91" s="509">
        <v>0</v>
      </c>
      <c r="AI91" s="508">
        <v>0</v>
      </c>
      <c r="AJ91" s="509">
        <v>7</v>
      </c>
      <c r="AK91" s="509">
        <v>105</v>
      </c>
      <c r="AL91" s="508">
        <v>0</v>
      </c>
      <c r="AM91" s="506">
        <v>7</v>
      </c>
      <c r="AN91" s="506">
        <v>105</v>
      </c>
      <c r="AO91" s="508">
        <v>0</v>
      </c>
      <c r="AP91" s="508"/>
      <c r="AQ91" s="508">
        <f t="shared" si="35"/>
        <v>7</v>
      </c>
      <c r="AR91" s="509">
        <v>0</v>
      </c>
      <c r="AS91" s="509">
        <v>0</v>
      </c>
      <c r="AT91" s="508">
        <v>0</v>
      </c>
      <c r="AU91" s="509">
        <v>7</v>
      </c>
      <c r="AV91" s="509">
        <v>105</v>
      </c>
      <c r="AW91" s="508">
        <v>0</v>
      </c>
      <c r="AX91" s="506">
        <v>7</v>
      </c>
      <c r="AY91" s="506">
        <v>105</v>
      </c>
      <c r="AZ91" s="508">
        <v>0</v>
      </c>
      <c r="BA91" s="508"/>
      <c r="BB91" s="508">
        <f t="shared" si="36"/>
        <v>14</v>
      </c>
      <c r="BC91" s="509">
        <v>0</v>
      </c>
      <c r="BD91" s="509">
        <v>0</v>
      </c>
      <c r="BE91" s="506">
        <v>0</v>
      </c>
      <c r="BF91" s="200"/>
      <c r="BG91" s="200"/>
      <c r="BH91" s="200"/>
      <c r="BI91" s="200"/>
      <c r="BJ91" s="200"/>
      <c r="BK91" s="200"/>
      <c r="BL91" s="200"/>
      <c r="BM91" s="505">
        <f t="shared" si="37"/>
        <v>0</v>
      </c>
      <c r="BN91" s="200">
        <f t="shared" si="38"/>
        <v>0</v>
      </c>
      <c r="BO91" s="200">
        <f t="shared" si="31"/>
        <v>0</v>
      </c>
      <c r="BP91" s="200">
        <f t="shared" si="39"/>
        <v>4680</v>
      </c>
      <c r="BQ91" s="200">
        <f t="shared" si="40"/>
        <v>0</v>
      </c>
      <c r="BR91" s="200">
        <f t="shared" si="41"/>
        <v>0</v>
      </c>
      <c r="BS91" s="200">
        <f t="shared" si="42"/>
        <v>975</v>
      </c>
      <c r="BT91" s="200">
        <f t="shared" si="43"/>
        <v>1365</v>
      </c>
      <c r="BU91" s="200">
        <f t="shared" si="44"/>
        <v>1365</v>
      </c>
      <c r="BV91" s="200">
        <v>7</v>
      </c>
      <c r="BW91" s="200">
        <v>0</v>
      </c>
      <c r="BX91" s="200">
        <f t="shared" si="45"/>
        <v>0</v>
      </c>
      <c r="CB91" s="381">
        <f>_xlfn.IFNA(VLOOKUP(A91,'Actuals Summer'!$A:$AG,23,FALSE),0)</f>
        <v>4680</v>
      </c>
      <c r="CC91" s="381">
        <f>_xlfn.IFNA(VLOOKUP(A91,'Actuals Summer'!$A:$AG,24,FALSE),0)</f>
        <v>0</v>
      </c>
      <c r="CD91" s="381">
        <f>_xlfn.IFNA(VLOOKUP(A91,'Actuals Summer'!$A:$AG,25,FALSE),0)</f>
        <v>0</v>
      </c>
      <c r="CE91" s="381">
        <f>_xlfn.IFNA(VLOOKUP(A91,'Actuals Summer'!$A:$AG,26,FALSE),0)</f>
        <v>0</v>
      </c>
      <c r="CF91" s="381">
        <f>_xlfn.IFNA(VLOOKUP(A91,'Actuals Summer'!$A:$AG,27,FALSE),0)</f>
        <v>0</v>
      </c>
      <c r="CG91" s="381">
        <f>_xlfn.IFNA(VLOOKUP(A91,'Actuals Dep Summer'!B:O,6,FALSE)*$BN$3,0)</f>
        <v>0</v>
      </c>
      <c r="CH91" s="381">
        <f>_xlfn.IFNA(VLOOKUP(A91,'Actuals Dep Summer'!B:O,7,FALSE)*$BN$3,0)</f>
        <v>975</v>
      </c>
      <c r="CI91" s="381">
        <f>_xlfn.IFNA(VLOOKUP(A91,'Actuals Dep Summer'!B:O,8,FALSE)*$BN$3,0)</f>
        <v>1365</v>
      </c>
      <c r="CJ91" s="381">
        <f>_xlfn.IFNA(VLOOKUP(A91,'Actuals Summer'!$A:$AG,31,FALSE),0)*$BN$3</f>
        <v>90.949935815147626</v>
      </c>
      <c r="CK91" s="381"/>
      <c r="CL91" s="381">
        <f>_xlfn.IFNA(VLOOKUP(A91,'Actuals Summer'!$A:$AG,32,FALSE),0)*$BN$3</f>
        <v>17745</v>
      </c>
      <c r="CM91" s="381">
        <f>_xlfn.IFNA(VLOOKUP(A91,'Actuals Summer'!$A:$AG,33,FALSE),0)</f>
        <v>0</v>
      </c>
      <c r="CP91" s="458">
        <f t="shared" si="46"/>
        <v>0</v>
      </c>
      <c r="CQ91" s="458">
        <f t="shared" si="47"/>
        <v>0</v>
      </c>
      <c r="CR91" s="458">
        <f t="shared" si="32"/>
        <v>0</v>
      </c>
      <c r="CS91" s="458">
        <f t="shared" si="48"/>
        <v>26488.799999999999</v>
      </c>
      <c r="CT91" s="458">
        <f t="shared" si="49"/>
        <v>0</v>
      </c>
      <c r="CU91" s="458">
        <f t="shared" si="50"/>
        <v>0</v>
      </c>
      <c r="CV91" s="458">
        <f t="shared" si="51"/>
        <v>282.75</v>
      </c>
      <c r="CW91" s="458">
        <f t="shared" si="52"/>
        <v>109.2</v>
      </c>
      <c r="CX91" s="458">
        <f t="shared" si="53"/>
        <v>1365</v>
      </c>
      <c r="CY91" s="458">
        <f t="shared" si="54"/>
        <v>522.05263157894728</v>
      </c>
      <c r="CZ91" s="458">
        <f t="shared" si="55"/>
        <v>0</v>
      </c>
      <c r="DA91" s="458">
        <f t="shared" si="56"/>
        <v>0</v>
      </c>
      <c r="DB91" s="458">
        <f t="shared" si="57"/>
        <v>28767.802631578947</v>
      </c>
      <c r="DC91" s="452">
        <f>_xlfn.XLOOKUP($A91,'Actuals Summer'!$A:$A,'Actuals Summer'!L:L,0,0)</f>
        <v>0</v>
      </c>
      <c r="DD91" s="452">
        <f>_xlfn.XLOOKUP($A91,'Actuals Summer'!$A:$A,'Actuals Summer'!K:K,0,0)+_xlfn.XLOOKUP($A91,'Actuals Summer'!$A:$A,'Actuals Summer'!Q:Q,0,0)</f>
        <v>0</v>
      </c>
      <c r="DE91" s="452">
        <f>_xlfn.XLOOKUP($A91,'Actuals Summer'!$A:$A,'Actuals Summer'!I:I,0,0)+_xlfn.XLOOKUP($A91,'Actuals Summer'!$A:$A,'Actuals Summer'!R:R,0,0)</f>
        <v>26488.799999999999</v>
      </c>
      <c r="DF91" s="452">
        <f>_xlfn.XLOOKUP($A91,'Actuals Summer'!$A:$A,'Actuals Summer'!J:J,0,0)</f>
        <v>0</v>
      </c>
      <c r="DG91" s="452">
        <f>_xlfn.XLOOKUP($A91,'Actuals Dep Summer'!$B:$B,'Actuals Dep Summer'!G:G,0,0)*'Actuals Dep Summer'!$F$2*'Actuals Dep Summer'!$C$2</f>
        <v>0</v>
      </c>
      <c r="DH91" s="452">
        <f>_xlfn.XLOOKUP($A91,'Actuals Dep Summer'!$B:$B,'Actuals Dep Summer'!H:H,0,0)*'Actuals Dep Summer'!$F$2*'Actuals Dep Summer'!$C$3</f>
        <v>282.75</v>
      </c>
      <c r="DI91" s="452">
        <f>_xlfn.XLOOKUP($A91,'Actuals Dep Summer'!$B:$B,'Actuals Dep Summer'!I:I,0,0)*'Actuals Dep Summer'!$F$2*'Actuals Dep Summer'!$C$4</f>
        <v>109.2</v>
      </c>
      <c r="DJ91" s="452">
        <f>_xlfn.XLOOKUP($A91,'Actuals Summer'!$A:$A,'Actuals Summer'!P:P,0,0)</f>
        <v>1365</v>
      </c>
      <c r="DK91" s="452">
        <f>_xlfn.XLOOKUP($A91,'Actuals Summer'!$A:$A,'Actuals Summer'!O:O,0,0)</f>
        <v>522.0526315789474</v>
      </c>
      <c r="DL91" s="452"/>
      <c r="DM91" s="452">
        <f>_xlfn.XLOOKUP($A91,'Actuals Summer'!$A:$A,'Actuals Summer'!M:M,0,0)</f>
        <v>0</v>
      </c>
      <c r="DN91" s="453">
        <f t="shared" si="33"/>
        <v>28767.802631578947</v>
      </c>
      <c r="DO91" s="453">
        <f>_xlfn.XLOOKUP(A91,'Actuals Summer'!A:A,'Actuals Summer'!S:S,0,0)-'Summer data team '!DN91</f>
        <v>0</v>
      </c>
      <c r="DP91" s="463">
        <f t="shared" si="34"/>
        <v>0</v>
      </c>
    </row>
    <row r="92" spans="1:120" ht="13" x14ac:dyDescent="0.3">
      <c r="A92" s="364">
        <v>2150</v>
      </c>
      <c r="B92" s="364">
        <v>3302150</v>
      </c>
      <c r="C92" s="364" t="s">
        <v>203</v>
      </c>
      <c r="D92" s="506">
        <v>0</v>
      </c>
      <c r="E92" s="506">
        <v>0</v>
      </c>
      <c r="F92" s="506">
        <v>0</v>
      </c>
      <c r="G92" s="506">
        <v>5</v>
      </c>
      <c r="H92" s="506">
        <v>6</v>
      </c>
      <c r="I92" s="507">
        <v>0</v>
      </c>
      <c r="J92" s="507">
        <v>11</v>
      </c>
      <c r="K92" s="506">
        <v>0</v>
      </c>
      <c r="L92" s="506">
        <v>0</v>
      </c>
      <c r="M92" s="507">
        <v>0</v>
      </c>
      <c r="N92" s="506">
        <v>0</v>
      </c>
      <c r="O92" s="506">
        <v>0</v>
      </c>
      <c r="P92" s="506">
        <v>75</v>
      </c>
      <c r="Q92" s="506">
        <v>90</v>
      </c>
      <c r="R92" s="507">
        <v>165</v>
      </c>
      <c r="S92" s="506">
        <v>0</v>
      </c>
      <c r="T92" s="506">
        <v>0</v>
      </c>
      <c r="U92" s="506">
        <v>0</v>
      </c>
      <c r="V92" s="506">
        <v>0</v>
      </c>
      <c r="W92" s="507">
        <v>0</v>
      </c>
      <c r="X92" s="506">
        <v>1</v>
      </c>
      <c r="Y92" s="506">
        <v>15</v>
      </c>
      <c r="Z92" s="508">
        <v>0</v>
      </c>
      <c r="AA92" s="506">
        <v>6</v>
      </c>
      <c r="AB92" s="506">
        <v>90</v>
      </c>
      <c r="AC92" s="508">
        <v>0</v>
      </c>
      <c r="AD92" s="506">
        <v>1</v>
      </c>
      <c r="AE92" s="506">
        <v>15</v>
      </c>
      <c r="AF92" s="508">
        <v>0</v>
      </c>
      <c r="AG92" s="509">
        <v>0</v>
      </c>
      <c r="AH92" s="509">
        <v>0</v>
      </c>
      <c r="AI92" s="508">
        <v>0</v>
      </c>
      <c r="AJ92" s="509">
        <v>3</v>
      </c>
      <c r="AK92" s="509">
        <v>45</v>
      </c>
      <c r="AL92" s="508">
        <v>0</v>
      </c>
      <c r="AM92" s="506">
        <v>3</v>
      </c>
      <c r="AN92" s="506">
        <v>45</v>
      </c>
      <c r="AO92" s="508">
        <v>0</v>
      </c>
      <c r="AP92" s="508"/>
      <c r="AQ92" s="508">
        <f t="shared" si="35"/>
        <v>3</v>
      </c>
      <c r="AR92" s="509">
        <v>0</v>
      </c>
      <c r="AS92" s="509">
        <v>0</v>
      </c>
      <c r="AT92" s="508">
        <v>0</v>
      </c>
      <c r="AU92" s="509">
        <v>3</v>
      </c>
      <c r="AV92" s="509">
        <v>45</v>
      </c>
      <c r="AW92" s="508">
        <v>0</v>
      </c>
      <c r="AX92" s="506">
        <v>3</v>
      </c>
      <c r="AY92" s="506">
        <v>45</v>
      </c>
      <c r="AZ92" s="508">
        <v>0</v>
      </c>
      <c r="BA92" s="508"/>
      <c r="BB92" s="508">
        <f t="shared" si="36"/>
        <v>6</v>
      </c>
      <c r="BC92" s="509">
        <v>0</v>
      </c>
      <c r="BD92" s="509">
        <v>0</v>
      </c>
      <c r="BE92" s="506">
        <v>0</v>
      </c>
      <c r="BF92" s="200"/>
      <c r="BG92" s="200"/>
      <c r="BH92" s="200"/>
      <c r="BI92" s="200"/>
      <c r="BJ92" s="200"/>
      <c r="BK92" s="200"/>
      <c r="BL92" s="200"/>
      <c r="BM92" s="505">
        <f t="shared" si="37"/>
        <v>0</v>
      </c>
      <c r="BN92" s="200">
        <f t="shared" si="38"/>
        <v>0</v>
      </c>
      <c r="BO92" s="200">
        <f t="shared" si="31"/>
        <v>0</v>
      </c>
      <c r="BP92" s="200">
        <f t="shared" si="39"/>
        <v>2145</v>
      </c>
      <c r="BQ92" s="200">
        <f t="shared" si="40"/>
        <v>0</v>
      </c>
      <c r="BR92" s="200">
        <f t="shared" si="41"/>
        <v>195</v>
      </c>
      <c r="BS92" s="200">
        <f t="shared" si="42"/>
        <v>1170</v>
      </c>
      <c r="BT92" s="200">
        <f t="shared" si="43"/>
        <v>195</v>
      </c>
      <c r="BU92" s="200">
        <f t="shared" si="44"/>
        <v>585</v>
      </c>
      <c r="BV92" s="200">
        <v>3</v>
      </c>
      <c r="BW92" s="200">
        <v>0</v>
      </c>
      <c r="BX92" s="200">
        <f t="shared" si="45"/>
        <v>0</v>
      </c>
      <c r="CB92" s="381">
        <f>_xlfn.IFNA(VLOOKUP(A92,'Actuals Summer'!$A:$AG,23,FALSE),0)</f>
        <v>2145</v>
      </c>
      <c r="CC92" s="381">
        <f>_xlfn.IFNA(VLOOKUP(A92,'Actuals Summer'!$A:$AG,24,FALSE),0)</f>
        <v>0</v>
      </c>
      <c r="CD92" s="381">
        <f>_xlfn.IFNA(VLOOKUP(A92,'Actuals Summer'!$A:$AG,25,FALSE),0)</f>
        <v>0</v>
      </c>
      <c r="CE92" s="381">
        <f>_xlfn.IFNA(VLOOKUP(A92,'Actuals Summer'!$A:$AG,26,FALSE),0)</f>
        <v>0</v>
      </c>
      <c r="CF92" s="381">
        <f>_xlfn.IFNA(VLOOKUP(A92,'Actuals Summer'!$A:$AG,27,FALSE),0)</f>
        <v>0</v>
      </c>
      <c r="CG92" s="381">
        <f>_xlfn.IFNA(VLOOKUP(A92,'Actuals Dep Summer'!B:O,6,FALSE)*$BN$3,0)</f>
        <v>195</v>
      </c>
      <c r="CH92" s="381">
        <f>_xlfn.IFNA(VLOOKUP(A92,'Actuals Dep Summer'!B:O,7,FALSE)*$BN$3,0)</f>
        <v>1170</v>
      </c>
      <c r="CI92" s="381">
        <f>_xlfn.IFNA(VLOOKUP(A92,'Actuals Dep Summer'!B:O,8,FALSE)*$BN$3,0)</f>
        <v>195</v>
      </c>
      <c r="CJ92" s="381">
        <f>_xlfn.IFNA(VLOOKUP(A92,'Actuals Summer'!$A:$AG,31,FALSE),0)*$BN$3</f>
        <v>38.978543920777561</v>
      </c>
      <c r="CK92" s="381"/>
      <c r="CL92" s="381">
        <f>_xlfn.IFNA(VLOOKUP(A92,'Actuals Summer'!$A:$AG,32,FALSE),0)*$BN$3</f>
        <v>7605</v>
      </c>
      <c r="CM92" s="381">
        <f>_xlfn.IFNA(VLOOKUP(A92,'Actuals Summer'!$A:$AG,33,FALSE),0)</f>
        <v>0</v>
      </c>
      <c r="CP92" s="458">
        <f t="shared" si="46"/>
        <v>0</v>
      </c>
      <c r="CQ92" s="458">
        <f t="shared" si="47"/>
        <v>0</v>
      </c>
      <c r="CR92" s="458">
        <f t="shared" si="32"/>
        <v>0</v>
      </c>
      <c r="CS92" s="458">
        <f t="shared" si="48"/>
        <v>12140.7</v>
      </c>
      <c r="CT92" s="458">
        <f t="shared" si="49"/>
        <v>0</v>
      </c>
      <c r="CU92" s="458">
        <f t="shared" si="50"/>
        <v>118.95</v>
      </c>
      <c r="CV92" s="458">
        <f t="shared" si="51"/>
        <v>339.29999999999995</v>
      </c>
      <c r="CW92" s="458">
        <f t="shared" si="52"/>
        <v>15.6</v>
      </c>
      <c r="CX92" s="458">
        <f t="shared" si="53"/>
        <v>585</v>
      </c>
      <c r="CY92" s="458">
        <f t="shared" si="54"/>
        <v>223.73684210526315</v>
      </c>
      <c r="CZ92" s="458">
        <f t="shared" si="55"/>
        <v>0</v>
      </c>
      <c r="DA92" s="458">
        <f t="shared" si="56"/>
        <v>0</v>
      </c>
      <c r="DB92" s="458">
        <f t="shared" si="57"/>
        <v>13423.286842105264</v>
      </c>
      <c r="DC92" s="452">
        <f>_xlfn.XLOOKUP($A92,'Actuals Summer'!$A:$A,'Actuals Summer'!L:L,0,0)</f>
        <v>0</v>
      </c>
      <c r="DD92" s="452">
        <f>_xlfn.XLOOKUP($A92,'Actuals Summer'!$A:$A,'Actuals Summer'!K:K,0,0)+_xlfn.XLOOKUP($A92,'Actuals Summer'!$A:$A,'Actuals Summer'!Q:Q,0,0)</f>
        <v>0</v>
      </c>
      <c r="DE92" s="452">
        <f>_xlfn.XLOOKUP($A92,'Actuals Summer'!$A:$A,'Actuals Summer'!I:I,0,0)+_xlfn.XLOOKUP($A92,'Actuals Summer'!$A:$A,'Actuals Summer'!R:R,0,0)</f>
        <v>12140.7</v>
      </c>
      <c r="DF92" s="452">
        <f>_xlfn.XLOOKUP($A92,'Actuals Summer'!$A:$A,'Actuals Summer'!J:J,0,0)</f>
        <v>0</v>
      </c>
      <c r="DG92" s="452">
        <f>_xlfn.XLOOKUP($A92,'Actuals Dep Summer'!$B:$B,'Actuals Dep Summer'!G:G,0,0)*'Actuals Dep Summer'!$F$2*'Actuals Dep Summer'!$C$2</f>
        <v>118.95</v>
      </c>
      <c r="DH92" s="452">
        <f>_xlfn.XLOOKUP($A92,'Actuals Dep Summer'!$B:$B,'Actuals Dep Summer'!H:H,0,0)*'Actuals Dep Summer'!$F$2*'Actuals Dep Summer'!$C$3</f>
        <v>339.29999999999995</v>
      </c>
      <c r="DI92" s="452">
        <f>_xlfn.XLOOKUP($A92,'Actuals Dep Summer'!$B:$B,'Actuals Dep Summer'!I:I,0,0)*'Actuals Dep Summer'!$F$2*'Actuals Dep Summer'!$C$4</f>
        <v>15.6</v>
      </c>
      <c r="DJ92" s="452">
        <f>_xlfn.XLOOKUP($A92,'Actuals Summer'!$A:$A,'Actuals Summer'!P:P,0,0)</f>
        <v>585</v>
      </c>
      <c r="DK92" s="452">
        <f>_xlfn.XLOOKUP($A92,'Actuals Summer'!$A:$A,'Actuals Summer'!O:O,0,0)</f>
        <v>223.73684210526318</v>
      </c>
      <c r="DL92" s="452"/>
      <c r="DM92" s="452">
        <f>_xlfn.XLOOKUP($A92,'Actuals Summer'!$A:$A,'Actuals Summer'!M:M,0,0)</f>
        <v>0</v>
      </c>
      <c r="DN92" s="453">
        <f t="shared" si="33"/>
        <v>13423.286842105264</v>
      </c>
      <c r="DO92" s="453">
        <f>_xlfn.XLOOKUP(A92,'Actuals Summer'!A:A,'Actuals Summer'!S:S,0,0)-'Summer data team '!DN92</f>
        <v>0</v>
      </c>
      <c r="DP92" s="463">
        <f t="shared" si="34"/>
        <v>0</v>
      </c>
    </row>
    <row r="93" spans="1:120" ht="13" x14ac:dyDescent="0.3">
      <c r="A93" s="364">
        <v>2156</v>
      </c>
      <c r="B93" s="364">
        <v>3302156</v>
      </c>
      <c r="C93" s="364" t="s">
        <v>301</v>
      </c>
      <c r="D93" s="506">
        <v>0</v>
      </c>
      <c r="E93" s="506">
        <v>0</v>
      </c>
      <c r="F93" s="506">
        <v>0</v>
      </c>
      <c r="G93" s="506">
        <v>9</v>
      </c>
      <c r="H93" s="506">
        <v>16</v>
      </c>
      <c r="I93" s="507">
        <v>0</v>
      </c>
      <c r="J93" s="507">
        <v>25</v>
      </c>
      <c r="K93" s="506">
        <v>0</v>
      </c>
      <c r="L93" s="506">
        <v>0</v>
      </c>
      <c r="M93" s="507">
        <v>0</v>
      </c>
      <c r="N93" s="506">
        <v>0</v>
      </c>
      <c r="O93" s="506">
        <v>0</v>
      </c>
      <c r="P93" s="506">
        <v>135</v>
      </c>
      <c r="Q93" s="506">
        <v>240</v>
      </c>
      <c r="R93" s="507">
        <v>375</v>
      </c>
      <c r="S93" s="506">
        <v>0</v>
      </c>
      <c r="T93" s="506">
        <v>0</v>
      </c>
      <c r="U93" s="506">
        <v>0</v>
      </c>
      <c r="V93" s="506">
        <v>0</v>
      </c>
      <c r="W93" s="507">
        <v>0</v>
      </c>
      <c r="X93" s="506">
        <v>5</v>
      </c>
      <c r="Y93" s="506">
        <v>75</v>
      </c>
      <c r="Z93" s="508">
        <v>0</v>
      </c>
      <c r="AA93" s="506">
        <v>13</v>
      </c>
      <c r="AB93" s="506">
        <v>195</v>
      </c>
      <c r="AC93" s="508">
        <v>0</v>
      </c>
      <c r="AD93" s="506">
        <v>3</v>
      </c>
      <c r="AE93" s="506">
        <v>45</v>
      </c>
      <c r="AF93" s="508">
        <v>0</v>
      </c>
      <c r="AG93" s="509">
        <v>0</v>
      </c>
      <c r="AH93" s="509">
        <v>0</v>
      </c>
      <c r="AI93" s="508">
        <v>0</v>
      </c>
      <c r="AJ93" s="509">
        <v>14</v>
      </c>
      <c r="AK93" s="509">
        <v>210</v>
      </c>
      <c r="AL93" s="508">
        <v>0</v>
      </c>
      <c r="AM93" s="506">
        <v>14</v>
      </c>
      <c r="AN93" s="506">
        <v>210</v>
      </c>
      <c r="AO93" s="508">
        <v>0</v>
      </c>
      <c r="AP93" s="508"/>
      <c r="AQ93" s="508">
        <f t="shared" si="35"/>
        <v>14</v>
      </c>
      <c r="AR93" s="509">
        <v>0</v>
      </c>
      <c r="AS93" s="509">
        <v>0</v>
      </c>
      <c r="AT93" s="508">
        <v>0</v>
      </c>
      <c r="AU93" s="509">
        <v>14</v>
      </c>
      <c r="AV93" s="509">
        <v>210</v>
      </c>
      <c r="AW93" s="508">
        <v>0</v>
      </c>
      <c r="AX93" s="506">
        <v>14</v>
      </c>
      <c r="AY93" s="506">
        <v>210</v>
      </c>
      <c r="AZ93" s="508">
        <v>0</v>
      </c>
      <c r="BA93" s="508"/>
      <c r="BB93" s="508">
        <f t="shared" si="36"/>
        <v>28</v>
      </c>
      <c r="BC93" s="509">
        <v>0</v>
      </c>
      <c r="BD93" s="509">
        <v>0</v>
      </c>
      <c r="BE93" s="506">
        <v>0</v>
      </c>
      <c r="BF93" s="200"/>
      <c r="BG93" s="200"/>
      <c r="BH93" s="200"/>
      <c r="BI93" s="200"/>
      <c r="BJ93" s="200"/>
      <c r="BK93" s="200"/>
      <c r="BL93" s="200"/>
      <c r="BM93" s="505">
        <f t="shared" si="37"/>
        <v>0</v>
      </c>
      <c r="BN93" s="200">
        <f t="shared" si="38"/>
        <v>0</v>
      </c>
      <c r="BO93" s="200">
        <f t="shared" si="31"/>
        <v>0</v>
      </c>
      <c r="BP93" s="200">
        <f t="shared" si="39"/>
        <v>4875</v>
      </c>
      <c r="BQ93" s="200">
        <f t="shared" si="40"/>
        <v>0</v>
      </c>
      <c r="BR93" s="200">
        <f t="shared" si="41"/>
        <v>975</v>
      </c>
      <c r="BS93" s="200">
        <f t="shared" si="42"/>
        <v>2535</v>
      </c>
      <c r="BT93" s="200">
        <f t="shared" si="43"/>
        <v>585</v>
      </c>
      <c r="BU93" s="200">
        <f t="shared" si="44"/>
        <v>2730</v>
      </c>
      <c r="BV93" s="200">
        <v>14</v>
      </c>
      <c r="BW93" s="200">
        <v>0</v>
      </c>
      <c r="BX93" s="200">
        <f t="shared" si="45"/>
        <v>0</v>
      </c>
      <c r="CB93" s="381">
        <f>_xlfn.IFNA(VLOOKUP(A93,'Actuals Summer'!$A:$AG,23,FALSE),0)</f>
        <v>4875</v>
      </c>
      <c r="CC93" s="381">
        <f>_xlfn.IFNA(VLOOKUP(A93,'Actuals Summer'!$A:$AG,24,FALSE),0)</f>
        <v>0</v>
      </c>
      <c r="CD93" s="381">
        <f>_xlfn.IFNA(VLOOKUP(A93,'Actuals Summer'!$A:$AG,25,FALSE),0)</f>
        <v>0</v>
      </c>
      <c r="CE93" s="381">
        <f>_xlfn.IFNA(VLOOKUP(A93,'Actuals Summer'!$A:$AG,26,FALSE),0)</f>
        <v>0</v>
      </c>
      <c r="CF93" s="381">
        <f>_xlfn.IFNA(VLOOKUP(A93,'Actuals Summer'!$A:$AG,27,FALSE),0)</f>
        <v>0</v>
      </c>
      <c r="CG93" s="381">
        <f>_xlfn.IFNA(VLOOKUP(A93,'Actuals Dep Summer'!B:O,6,FALSE)*$BN$3,0)</f>
        <v>975</v>
      </c>
      <c r="CH93" s="381">
        <f>_xlfn.IFNA(VLOOKUP(A93,'Actuals Dep Summer'!B:O,7,FALSE)*$BN$3,0)</f>
        <v>2535</v>
      </c>
      <c r="CI93" s="381">
        <f>_xlfn.IFNA(VLOOKUP(A93,'Actuals Dep Summer'!B:O,8,FALSE)*$BN$3,0)</f>
        <v>585</v>
      </c>
      <c r="CJ93" s="381">
        <f>_xlfn.IFNA(VLOOKUP(A93,'Actuals Summer'!$A:$AG,31,FALSE),0)*$BN$3</f>
        <v>181.89987163029525</v>
      </c>
      <c r="CK93" s="381"/>
      <c r="CL93" s="381">
        <f>_xlfn.IFNA(VLOOKUP(A93,'Actuals Summer'!$A:$AG,32,FALSE),0)*$BN$3</f>
        <v>35490</v>
      </c>
      <c r="CM93" s="381">
        <f>_xlfn.IFNA(VLOOKUP(A93,'Actuals Summer'!$A:$AG,33,FALSE),0)</f>
        <v>0</v>
      </c>
      <c r="CP93" s="458">
        <f t="shared" si="46"/>
        <v>0</v>
      </c>
      <c r="CQ93" s="458">
        <f t="shared" si="47"/>
        <v>0</v>
      </c>
      <c r="CR93" s="458">
        <f t="shared" si="32"/>
        <v>0</v>
      </c>
      <c r="CS93" s="458">
        <f t="shared" si="48"/>
        <v>27592.5</v>
      </c>
      <c r="CT93" s="458">
        <f t="shared" si="49"/>
        <v>0</v>
      </c>
      <c r="CU93" s="458">
        <f t="shared" si="50"/>
        <v>594.75</v>
      </c>
      <c r="CV93" s="458">
        <f t="shared" si="51"/>
        <v>735.15</v>
      </c>
      <c r="CW93" s="458">
        <f t="shared" si="52"/>
        <v>46.800000000000004</v>
      </c>
      <c r="CX93" s="458">
        <f t="shared" si="53"/>
        <v>2730</v>
      </c>
      <c r="CY93" s="458">
        <f t="shared" si="54"/>
        <v>1044.1052631578946</v>
      </c>
      <c r="CZ93" s="458">
        <f t="shared" si="55"/>
        <v>0</v>
      </c>
      <c r="DA93" s="458">
        <f t="shared" si="56"/>
        <v>0</v>
      </c>
      <c r="DB93" s="458">
        <f t="shared" si="57"/>
        <v>32743.305263157894</v>
      </c>
      <c r="DC93" s="452">
        <f>_xlfn.XLOOKUP($A93,'Actuals Summer'!$A:$A,'Actuals Summer'!L:L,0,0)</f>
        <v>0</v>
      </c>
      <c r="DD93" s="452">
        <f>_xlfn.XLOOKUP($A93,'Actuals Summer'!$A:$A,'Actuals Summer'!K:K,0,0)+_xlfn.XLOOKUP($A93,'Actuals Summer'!$A:$A,'Actuals Summer'!Q:Q,0,0)</f>
        <v>0</v>
      </c>
      <c r="DE93" s="452">
        <f>_xlfn.XLOOKUP($A93,'Actuals Summer'!$A:$A,'Actuals Summer'!I:I,0,0)+_xlfn.XLOOKUP($A93,'Actuals Summer'!$A:$A,'Actuals Summer'!R:R,0,0)</f>
        <v>27592.5</v>
      </c>
      <c r="DF93" s="452">
        <f>_xlfn.XLOOKUP($A93,'Actuals Summer'!$A:$A,'Actuals Summer'!J:J,0,0)</f>
        <v>0</v>
      </c>
      <c r="DG93" s="452">
        <f>_xlfn.XLOOKUP($A93,'Actuals Dep Summer'!$B:$B,'Actuals Dep Summer'!G:G,0,0)*'Actuals Dep Summer'!$F$2*'Actuals Dep Summer'!$C$2</f>
        <v>594.75</v>
      </c>
      <c r="DH93" s="452">
        <f>_xlfn.XLOOKUP($A93,'Actuals Dep Summer'!$B:$B,'Actuals Dep Summer'!H:H,0,0)*'Actuals Dep Summer'!$F$2*'Actuals Dep Summer'!$C$3</f>
        <v>735.15</v>
      </c>
      <c r="DI93" s="452">
        <f>_xlfn.XLOOKUP($A93,'Actuals Dep Summer'!$B:$B,'Actuals Dep Summer'!I:I,0,0)*'Actuals Dep Summer'!$F$2*'Actuals Dep Summer'!$C$4</f>
        <v>46.800000000000004</v>
      </c>
      <c r="DJ93" s="452">
        <f>_xlfn.XLOOKUP($A93,'Actuals Summer'!$A:$A,'Actuals Summer'!P:P,0,0)</f>
        <v>2730</v>
      </c>
      <c r="DK93" s="452">
        <f>_xlfn.XLOOKUP($A93,'Actuals Summer'!$A:$A,'Actuals Summer'!O:O,0,0)</f>
        <v>1044.1052631578948</v>
      </c>
      <c r="DL93" s="452"/>
      <c r="DM93" s="452">
        <f>_xlfn.XLOOKUP($A93,'Actuals Summer'!$A:$A,'Actuals Summer'!M:M,0,0)</f>
        <v>0</v>
      </c>
      <c r="DN93" s="453">
        <f t="shared" si="33"/>
        <v>32743.305263157894</v>
      </c>
      <c r="DO93" s="453">
        <f>_xlfn.XLOOKUP(A93,'Actuals Summer'!A:A,'Actuals Summer'!S:S,0,0)-'Summer data team '!DN93</f>
        <v>0</v>
      </c>
      <c r="DP93" s="463">
        <f t="shared" si="34"/>
        <v>0</v>
      </c>
    </row>
    <row r="94" spans="1:120" ht="13" x14ac:dyDescent="0.3">
      <c r="A94" s="364">
        <v>2157</v>
      </c>
      <c r="B94" s="364">
        <v>3302157</v>
      </c>
      <c r="C94" s="364" t="s">
        <v>205</v>
      </c>
      <c r="D94" s="506">
        <v>0</v>
      </c>
      <c r="E94" s="506">
        <v>0</v>
      </c>
      <c r="F94" s="506">
        <v>0</v>
      </c>
      <c r="G94" s="506">
        <v>11</v>
      </c>
      <c r="H94" s="506">
        <v>8</v>
      </c>
      <c r="I94" s="507">
        <v>0</v>
      </c>
      <c r="J94" s="507">
        <v>19</v>
      </c>
      <c r="K94" s="506">
        <v>5</v>
      </c>
      <c r="L94" s="506">
        <v>4</v>
      </c>
      <c r="M94" s="507">
        <v>9</v>
      </c>
      <c r="N94" s="506">
        <v>0</v>
      </c>
      <c r="O94" s="506">
        <v>0</v>
      </c>
      <c r="P94" s="506">
        <v>165</v>
      </c>
      <c r="Q94" s="506">
        <v>120</v>
      </c>
      <c r="R94" s="507">
        <v>285</v>
      </c>
      <c r="S94" s="506">
        <v>0</v>
      </c>
      <c r="T94" s="506">
        <v>0</v>
      </c>
      <c r="U94" s="506">
        <v>75</v>
      </c>
      <c r="V94" s="506">
        <v>60</v>
      </c>
      <c r="W94" s="507">
        <v>135</v>
      </c>
      <c r="X94" s="506">
        <v>1</v>
      </c>
      <c r="Y94" s="506">
        <v>15</v>
      </c>
      <c r="Z94" s="508">
        <v>0</v>
      </c>
      <c r="AA94" s="506">
        <v>0</v>
      </c>
      <c r="AB94" s="506">
        <v>0</v>
      </c>
      <c r="AC94" s="508">
        <v>0</v>
      </c>
      <c r="AD94" s="506">
        <v>0</v>
      </c>
      <c r="AE94" s="506">
        <v>0</v>
      </c>
      <c r="AF94" s="508">
        <v>0</v>
      </c>
      <c r="AG94" s="509">
        <v>0</v>
      </c>
      <c r="AH94" s="509">
        <v>0</v>
      </c>
      <c r="AI94" s="508">
        <v>0</v>
      </c>
      <c r="AJ94" s="509">
        <v>0</v>
      </c>
      <c r="AK94" s="509">
        <v>0</v>
      </c>
      <c r="AL94" s="508">
        <v>0</v>
      </c>
      <c r="AM94" s="506">
        <v>0</v>
      </c>
      <c r="AN94" s="506">
        <v>0</v>
      </c>
      <c r="AO94" s="508">
        <v>0</v>
      </c>
      <c r="AP94" s="508"/>
      <c r="AQ94" s="508">
        <f t="shared" si="35"/>
        <v>0</v>
      </c>
      <c r="AR94" s="509">
        <v>0</v>
      </c>
      <c r="AS94" s="509">
        <v>0</v>
      </c>
      <c r="AT94" s="508">
        <v>0</v>
      </c>
      <c r="AU94" s="509">
        <v>0</v>
      </c>
      <c r="AV94" s="509">
        <v>0</v>
      </c>
      <c r="AW94" s="508">
        <v>0</v>
      </c>
      <c r="AX94" s="506">
        <v>0</v>
      </c>
      <c r="AY94" s="506">
        <v>0</v>
      </c>
      <c r="AZ94" s="508">
        <v>0</v>
      </c>
      <c r="BA94" s="508"/>
      <c r="BB94" s="508">
        <f t="shared" si="36"/>
        <v>0</v>
      </c>
      <c r="BC94" s="509">
        <v>0</v>
      </c>
      <c r="BD94" s="509">
        <v>0</v>
      </c>
      <c r="BE94" s="506">
        <v>0</v>
      </c>
      <c r="BF94" s="200"/>
      <c r="BG94" s="200"/>
      <c r="BH94" s="200"/>
      <c r="BI94" s="200"/>
      <c r="BJ94" s="200"/>
      <c r="BK94" s="200"/>
      <c r="BL94" s="200"/>
      <c r="BM94" s="505">
        <f t="shared" si="37"/>
        <v>0</v>
      </c>
      <c r="BN94" s="200">
        <f t="shared" si="38"/>
        <v>0</v>
      </c>
      <c r="BO94" s="200">
        <f t="shared" si="31"/>
        <v>0</v>
      </c>
      <c r="BP94" s="200">
        <f t="shared" si="39"/>
        <v>3705</v>
      </c>
      <c r="BQ94" s="200">
        <f t="shared" si="40"/>
        <v>1755</v>
      </c>
      <c r="BR94" s="200">
        <f t="shared" si="41"/>
        <v>195</v>
      </c>
      <c r="BS94" s="200">
        <f t="shared" si="42"/>
        <v>0</v>
      </c>
      <c r="BT94" s="200">
        <f t="shared" si="43"/>
        <v>0</v>
      </c>
      <c r="BU94" s="200">
        <f t="shared" si="44"/>
        <v>0</v>
      </c>
      <c r="BV94" s="200">
        <v>0</v>
      </c>
      <c r="BW94" s="200">
        <v>0</v>
      </c>
      <c r="BX94" s="200">
        <f t="shared" si="45"/>
        <v>0</v>
      </c>
      <c r="CB94" s="381">
        <f>_xlfn.IFNA(VLOOKUP(A94,'Actuals Summer'!$A:$AG,23,FALSE),0)</f>
        <v>3705</v>
      </c>
      <c r="CC94" s="381">
        <f>_xlfn.IFNA(VLOOKUP(A94,'Actuals Summer'!$A:$AG,24,FALSE),0)</f>
        <v>1755.0000000000002</v>
      </c>
      <c r="CD94" s="381">
        <f>_xlfn.IFNA(VLOOKUP(A94,'Actuals Summer'!$A:$AG,25,FALSE),0)</f>
        <v>0</v>
      </c>
      <c r="CE94" s="381">
        <f>_xlfn.IFNA(VLOOKUP(A94,'Actuals Summer'!$A:$AG,26,FALSE),0)</f>
        <v>0</v>
      </c>
      <c r="CF94" s="381">
        <f>_xlfn.IFNA(VLOOKUP(A94,'Actuals Summer'!$A:$AG,27,FALSE),0)</f>
        <v>0</v>
      </c>
      <c r="CG94" s="381">
        <f>_xlfn.IFNA(VLOOKUP(A94,'Actuals Dep Summer'!B:O,6,FALSE)*$BN$3,0)</f>
        <v>195</v>
      </c>
      <c r="CH94" s="381">
        <f>_xlfn.IFNA(VLOOKUP(A94,'Actuals Dep Summer'!B:O,7,FALSE)*$BN$3,0)</f>
        <v>0</v>
      </c>
      <c r="CI94" s="381">
        <f>_xlfn.IFNA(VLOOKUP(A94,'Actuals Dep Summer'!B:O,8,FALSE)*$BN$3,0)</f>
        <v>0</v>
      </c>
      <c r="CJ94" s="381">
        <f>_xlfn.IFNA(VLOOKUP(A94,'Actuals Summer'!$A:$AG,31,FALSE),0)*$BN$3</f>
        <v>0</v>
      </c>
      <c r="CK94" s="381"/>
      <c r="CL94" s="381">
        <f>_xlfn.IFNA(VLOOKUP(A94,'Actuals Summer'!$A:$AG,32,FALSE),0)*$BN$3</f>
        <v>0</v>
      </c>
      <c r="CM94" s="381">
        <f>_xlfn.IFNA(VLOOKUP(A94,'Actuals Summer'!$A:$AG,33,FALSE),0)</f>
        <v>0</v>
      </c>
      <c r="CP94" s="458">
        <f t="shared" si="46"/>
        <v>0</v>
      </c>
      <c r="CQ94" s="458">
        <f t="shared" si="47"/>
        <v>0</v>
      </c>
      <c r="CR94" s="458">
        <f t="shared" si="32"/>
        <v>0</v>
      </c>
      <c r="CS94" s="458">
        <f t="shared" si="48"/>
        <v>20970.3</v>
      </c>
      <c r="CT94" s="458">
        <f t="shared" si="49"/>
        <v>9933.3000000000011</v>
      </c>
      <c r="CU94" s="458">
        <f t="shared" si="50"/>
        <v>118.95</v>
      </c>
      <c r="CV94" s="458">
        <f t="shared" si="51"/>
        <v>0</v>
      </c>
      <c r="CW94" s="458">
        <f t="shared" si="52"/>
        <v>0</v>
      </c>
      <c r="CX94" s="458">
        <f t="shared" si="53"/>
        <v>0</v>
      </c>
      <c r="CY94" s="458">
        <f t="shared" si="54"/>
        <v>0</v>
      </c>
      <c r="CZ94" s="458">
        <f t="shared" si="55"/>
        <v>0</v>
      </c>
      <c r="DA94" s="458">
        <f t="shared" si="56"/>
        <v>0</v>
      </c>
      <c r="DB94" s="458">
        <f t="shared" si="57"/>
        <v>31022.55</v>
      </c>
      <c r="DC94" s="452">
        <f>_xlfn.XLOOKUP($A94,'Actuals Summer'!$A:$A,'Actuals Summer'!L:L,0,0)</f>
        <v>0</v>
      </c>
      <c r="DD94" s="452">
        <f>_xlfn.XLOOKUP($A94,'Actuals Summer'!$A:$A,'Actuals Summer'!K:K,0,0)+_xlfn.XLOOKUP($A94,'Actuals Summer'!$A:$A,'Actuals Summer'!Q:Q,0,0)</f>
        <v>0</v>
      </c>
      <c r="DE94" s="452">
        <f>_xlfn.XLOOKUP($A94,'Actuals Summer'!$A:$A,'Actuals Summer'!I:I,0,0)+_xlfn.XLOOKUP($A94,'Actuals Summer'!$A:$A,'Actuals Summer'!R:R,0,0)</f>
        <v>20970.3</v>
      </c>
      <c r="DF94" s="452">
        <f>_xlfn.XLOOKUP($A94,'Actuals Summer'!$A:$A,'Actuals Summer'!J:J,0,0)</f>
        <v>9933.3000000000011</v>
      </c>
      <c r="DG94" s="452">
        <f>_xlfn.XLOOKUP($A94,'Actuals Dep Summer'!$B:$B,'Actuals Dep Summer'!G:G,0,0)*'Actuals Dep Summer'!$F$2*'Actuals Dep Summer'!$C$2</f>
        <v>118.95</v>
      </c>
      <c r="DH94" s="452">
        <f>_xlfn.XLOOKUP($A94,'Actuals Dep Summer'!$B:$B,'Actuals Dep Summer'!H:H,0,0)*'Actuals Dep Summer'!$F$2*'Actuals Dep Summer'!$C$3</f>
        <v>0</v>
      </c>
      <c r="DI94" s="452">
        <f>_xlfn.XLOOKUP($A94,'Actuals Dep Summer'!$B:$B,'Actuals Dep Summer'!I:I,0,0)*'Actuals Dep Summer'!$F$2*'Actuals Dep Summer'!$C$4</f>
        <v>0</v>
      </c>
      <c r="DJ94" s="452">
        <f>_xlfn.XLOOKUP($A94,'Actuals Summer'!$A:$A,'Actuals Summer'!P:P,0,0)</f>
        <v>0</v>
      </c>
      <c r="DK94" s="452">
        <f>_xlfn.XLOOKUP($A94,'Actuals Summer'!$A:$A,'Actuals Summer'!O:O,0,0)</f>
        <v>0</v>
      </c>
      <c r="DL94" s="452"/>
      <c r="DM94" s="452">
        <f>_xlfn.XLOOKUP($A94,'Actuals Summer'!$A:$A,'Actuals Summer'!M:M,0,0)</f>
        <v>0</v>
      </c>
      <c r="DN94" s="453">
        <f t="shared" si="33"/>
        <v>31022.55</v>
      </c>
      <c r="DO94" s="453">
        <f>_xlfn.XLOOKUP(A94,'Actuals Summer'!A:A,'Actuals Summer'!S:S,0,0)-'Summer data team '!DN94</f>
        <v>0</v>
      </c>
      <c r="DP94" s="463">
        <f t="shared" si="34"/>
        <v>0</v>
      </c>
    </row>
    <row r="95" spans="1:120" ht="13" x14ac:dyDescent="0.3">
      <c r="A95" s="364">
        <v>2161</v>
      </c>
      <c r="B95" s="364">
        <v>3302161</v>
      </c>
      <c r="C95" s="364" t="s">
        <v>302</v>
      </c>
      <c r="D95" s="506">
        <v>0</v>
      </c>
      <c r="E95" s="506">
        <v>0</v>
      </c>
      <c r="F95" s="506">
        <v>0</v>
      </c>
      <c r="G95" s="506">
        <v>18</v>
      </c>
      <c r="H95" s="506">
        <v>22</v>
      </c>
      <c r="I95" s="507">
        <v>0</v>
      </c>
      <c r="J95" s="507">
        <v>40</v>
      </c>
      <c r="K95" s="506">
        <v>5</v>
      </c>
      <c r="L95" s="506">
        <v>7</v>
      </c>
      <c r="M95" s="507">
        <v>12</v>
      </c>
      <c r="N95" s="506">
        <v>0</v>
      </c>
      <c r="O95" s="506">
        <v>0</v>
      </c>
      <c r="P95" s="506">
        <v>270</v>
      </c>
      <c r="Q95" s="506">
        <v>330</v>
      </c>
      <c r="R95" s="507">
        <v>600</v>
      </c>
      <c r="S95" s="506">
        <v>0</v>
      </c>
      <c r="T95" s="506">
        <v>0</v>
      </c>
      <c r="U95" s="506">
        <v>75</v>
      </c>
      <c r="V95" s="506">
        <v>105</v>
      </c>
      <c r="W95" s="507">
        <v>180</v>
      </c>
      <c r="X95" s="506">
        <v>9</v>
      </c>
      <c r="Y95" s="506">
        <v>135</v>
      </c>
      <c r="Z95" s="508">
        <v>30</v>
      </c>
      <c r="AA95" s="506">
        <v>0</v>
      </c>
      <c r="AB95" s="506">
        <v>0</v>
      </c>
      <c r="AC95" s="508">
        <v>0</v>
      </c>
      <c r="AD95" s="506">
        <v>8</v>
      </c>
      <c r="AE95" s="506">
        <v>120</v>
      </c>
      <c r="AF95" s="508">
        <v>15</v>
      </c>
      <c r="AG95" s="509">
        <v>0</v>
      </c>
      <c r="AH95" s="509">
        <v>0</v>
      </c>
      <c r="AI95" s="508">
        <v>0</v>
      </c>
      <c r="AJ95" s="509">
        <v>20</v>
      </c>
      <c r="AK95" s="509">
        <v>300</v>
      </c>
      <c r="AL95" s="508">
        <v>0</v>
      </c>
      <c r="AM95" s="506">
        <v>20</v>
      </c>
      <c r="AN95" s="506">
        <v>300</v>
      </c>
      <c r="AO95" s="508">
        <v>0</v>
      </c>
      <c r="AP95" s="508"/>
      <c r="AQ95" s="508">
        <f t="shared" si="35"/>
        <v>20</v>
      </c>
      <c r="AR95" s="509">
        <v>0</v>
      </c>
      <c r="AS95" s="509">
        <v>0</v>
      </c>
      <c r="AT95" s="508">
        <v>0</v>
      </c>
      <c r="AU95" s="509">
        <v>0</v>
      </c>
      <c r="AV95" s="509">
        <v>0</v>
      </c>
      <c r="AW95" s="508">
        <v>0</v>
      </c>
      <c r="AX95" s="506">
        <v>0</v>
      </c>
      <c r="AY95" s="506">
        <v>0</v>
      </c>
      <c r="AZ95" s="508">
        <v>0</v>
      </c>
      <c r="BA95" s="508"/>
      <c r="BB95" s="508">
        <f t="shared" si="36"/>
        <v>0</v>
      </c>
      <c r="BC95" s="509">
        <v>0</v>
      </c>
      <c r="BD95" s="509">
        <v>0</v>
      </c>
      <c r="BE95" s="506">
        <v>0</v>
      </c>
      <c r="BF95" s="200"/>
      <c r="BG95" s="200"/>
      <c r="BH95" s="200"/>
      <c r="BI95" s="200"/>
      <c r="BJ95" s="200"/>
      <c r="BK95" s="200"/>
      <c r="BL95" s="200"/>
      <c r="BM95" s="505">
        <f t="shared" si="37"/>
        <v>0</v>
      </c>
      <c r="BN95" s="200">
        <f t="shared" si="38"/>
        <v>0</v>
      </c>
      <c r="BO95" s="200">
        <f t="shared" si="31"/>
        <v>0</v>
      </c>
      <c r="BP95" s="200">
        <f t="shared" si="39"/>
        <v>7800</v>
      </c>
      <c r="BQ95" s="200">
        <f t="shared" si="40"/>
        <v>2340</v>
      </c>
      <c r="BR95" s="200">
        <f t="shared" si="41"/>
        <v>2145</v>
      </c>
      <c r="BS95" s="200">
        <f t="shared" si="42"/>
        <v>0</v>
      </c>
      <c r="BT95" s="200">
        <f t="shared" si="43"/>
        <v>1755</v>
      </c>
      <c r="BU95" s="200">
        <f t="shared" si="44"/>
        <v>3900</v>
      </c>
      <c r="BV95" s="200">
        <v>0</v>
      </c>
      <c r="BW95" s="200">
        <v>0</v>
      </c>
      <c r="BX95" s="200">
        <f t="shared" si="45"/>
        <v>0</v>
      </c>
      <c r="CB95" s="381">
        <f>_xlfn.IFNA(VLOOKUP(A95,'Actuals Summer'!$A:$AG,23,FALSE),0)</f>
        <v>7800</v>
      </c>
      <c r="CC95" s="381">
        <f>_xlfn.IFNA(VLOOKUP(A95,'Actuals Summer'!$A:$AG,24,FALSE),0)</f>
        <v>2340</v>
      </c>
      <c r="CD95" s="381">
        <f>_xlfn.IFNA(VLOOKUP(A95,'Actuals Summer'!$A:$AG,25,FALSE),0)</f>
        <v>0</v>
      </c>
      <c r="CE95" s="381">
        <f>_xlfn.IFNA(VLOOKUP(A95,'Actuals Summer'!$A:$AG,26,FALSE),0)</f>
        <v>0</v>
      </c>
      <c r="CF95" s="381">
        <f>_xlfn.IFNA(VLOOKUP(A95,'Actuals Summer'!$A:$AG,27,FALSE),0)</f>
        <v>0</v>
      </c>
      <c r="CG95" s="381">
        <f>_xlfn.IFNA(VLOOKUP(A95,'Actuals Dep Summer'!B:O,6,FALSE)*$BN$3,0)</f>
        <v>1755</v>
      </c>
      <c r="CH95" s="381">
        <f>_xlfn.IFNA(VLOOKUP(A95,'Actuals Dep Summer'!B:O,7,FALSE)*$BN$3,0)</f>
        <v>0</v>
      </c>
      <c r="CI95" s="381">
        <f>_xlfn.IFNA(VLOOKUP(A95,'Actuals Dep Summer'!B:O,8,FALSE)*$BN$3,0)</f>
        <v>1560</v>
      </c>
      <c r="CJ95" s="381">
        <f>_xlfn.IFNA(VLOOKUP(A95,'Actuals Summer'!$A:$AG,31,FALSE),0)*$BN$3</f>
        <v>0</v>
      </c>
      <c r="CK95" s="381"/>
      <c r="CL95" s="381">
        <f>_xlfn.IFNA(VLOOKUP(A95,'Actuals Summer'!$A:$AG,32,FALSE),0)*$BN$3</f>
        <v>50700</v>
      </c>
      <c r="CM95" s="381">
        <f>_xlfn.IFNA(VLOOKUP(A95,'Actuals Summer'!$A:$AG,33,FALSE),0)</f>
        <v>0</v>
      </c>
      <c r="CP95" s="458">
        <f t="shared" si="46"/>
        <v>0</v>
      </c>
      <c r="CQ95" s="458">
        <f t="shared" si="47"/>
        <v>0</v>
      </c>
      <c r="CR95" s="458">
        <f t="shared" si="32"/>
        <v>0</v>
      </c>
      <c r="CS95" s="458">
        <f t="shared" si="48"/>
        <v>44148</v>
      </c>
      <c r="CT95" s="458">
        <f t="shared" si="49"/>
        <v>13244.4</v>
      </c>
      <c r="CU95" s="458">
        <f t="shared" si="50"/>
        <v>1308.45</v>
      </c>
      <c r="CV95" s="458">
        <f t="shared" si="51"/>
        <v>0</v>
      </c>
      <c r="CW95" s="458">
        <f t="shared" si="52"/>
        <v>140.4</v>
      </c>
      <c r="CX95" s="458">
        <f t="shared" si="53"/>
        <v>3900</v>
      </c>
      <c r="CY95" s="458">
        <f t="shared" si="54"/>
        <v>0</v>
      </c>
      <c r="CZ95" s="458">
        <f t="shared" si="55"/>
        <v>0</v>
      </c>
      <c r="DA95" s="458">
        <f t="shared" si="56"/>
        <v>0</v>
      </c>
      <c r="DB95" s="458">
        <f t="shared" si="57"/>
        <v>62741.25</v>
      </c>
      <c r="DC95" s="452">
        <f>_xlfn.XLOOKUP($A95,'Actuals Summer'!$A:$A,'Actuals Summer'!L:L,0,0)</f>
        <v>0</v>
      </c>
      <c r="DD95" s="452">
        <f>_xlfn.XLOOKUP($A95,'Actuals Summer'!$A:$A,'Actuals Summer'!K:K,0,0)+_xlfn.XLOOKUP($A95,'Actuals Summer'!$A:$A,'Actuals Summer'!Q:Q,0,0)</f>
        <v>0</v>
      </c>
      <c r="DE95" s="452">
        <f>_xlfn.XLOOKUP($A95,'Actuals Summer'!$A:$A,'Actuals Summer'!I:I,0,0)+_xlfn.XLOOKUP($A95,'Actuals Summer'!$A:$A,'Actuals Summer'!R:R,0,0)</f>
        <v>44148</v>
      </c>
      <c r="DF95" s="452">
        <f>_xlfn.XLOOKUP($A95,'Actuals Summer'!$A:$A,'Actuals Summer'!J:J,0,0)</f>
        <v>13244.4</v>
      </c>
      <c r="DG95" s="452">
        <f>_xlfn.XLOOKUP($A95,'Actuals Dep Summer'!$B:$B,'Actuals Dep Summer'!G:G,0,0)*'Actuals Dep Summer'!$F$2*'Actuals Dep Summer'!$C$2</f>
        <v>1070.55</v>
      </c>
      <c r="DH95" s="452">
        <f>_xlfn.XLOOKUP($A95,'Actuals Dep Summer'!$B:$B,'Actuals Dep Summer'!H:H,0,0)*'Actuals Dep Summer'!$F$2*'Actuals Dep Summer'!$C$3</f>
        <v>0</v>
      </c>
      <c r="DI95" s="452">
        <f>_xlfn.XLOOKUP($A95,'Actuals Dep Summer'!$B:$B,'Actuals Dep Summer'!I:I,0,0)*'Actuals Dep Summer'!$F$2*'Actuals Dep Summer'!$C$4</f>
        <v>124.8</v>
      </c>
      <c r="DJ95" s="452">
        <f>_xlfn.XLOOKUP($A95,'Actuals Summer'!$A:$A,'Actuals Summer'!P:P,0,0)</f>
        <v>3900</v>
      </c>
      <c r="DK95" s="452">
        <f>_xlfn.XLOOKUP($A95,'Actuals Summer'!$A:$A,'Actuals Summer'!O:O,0,0)</f>
        <v>0</v>
      </c>
      <c r="DL95" s="452"/>
      <c r="DM95" s="452">
        <f>_xlfn.XLOOKUP($A95,'Actuals Summer'!$A:$A,'Actuals Summer'!M:M,0,0)</f>
        <v>0</v>
      </c>
      <c r="DN95" s="453">
        <f t="shared" si="33"/>
        <v>62487.750000000007</v>
      </c>
      <c r="DO95" s="453">
        <f>_xlfn.XLOOKUP(A95,'Actuals Summer'!A:A,'Actuals Summer'!S:S,0,0)-'Summer data team '!DN95</f>
        <v>0</v>
      </c>
      <c r="DP95" s="463">
        <f t="shared" si="34"/>
        <v>253.49999999999272</v>
      </c>
    </row>
    <row r="96" spans="1:120" ht="13" x14ac:dyDescent="0.3">
      <c r="A96" s="364">
        <v>2162</v>
      </c>
      <c r="B96" s="364">
        <v>3302162</v>
      </c>
      <c r="C96" s="364" t="s">
        <v>303</v>
      </c>
      <c r="D96" s="506">
        <v>0</v>
      </c>
      <c r="E96" s="506">
        <v>0</v>
      </c>
      <c r="F96" s="506">
        <v>0</v>
      </c>
      <c r="G96" s="506">
        <v>13</v>
      </c>
      <c r="H96" s="506">
        <v>8</v>
      </c>
      <c r="I96" s="507">
        <v>0</v>
      </c>
      <c r="J96" s="507">
        <v>21</v>
      </c>
      <c r="K96" s="506">
        <v>0</v>
      </c>
      <c r="L96" s="506">
        <v>0</v>
      </c>
      <c r="M96" s="507">
        <v>0</v>
      </c>
      <c r="N96" s="506">
        <v>0</v>
      </c>
      <c r="O96" s="506">
        <v>0</v>
      </c>
      <c r="P96" s="506">
        <v>195</v>
      </c>
      <c r="Q96" s="506">
        <v>120</v>
      </c>
      <c r="R96" s="507">
        <v>315</v>
      </c>
      <c r="S96" s="506">
        <v>0</v>
      </c>
      <c r="T96" s="506">
        <v>0</v>
      </c>
      <c r="U96" s="506">
        <v>0</v>
      </c>
      <c r="V96" s="506">
        <v>0</v>
      </c>
      <c r="W96" s="507">
        <v>0</v>
      </c>
      <c r="X96" s="506">
        <v>1</v>
      </c>
      <c r="Y96" s="506">
        <v>15</v>
      </c>
      <c r="Z96" s="508">
        <v>0</v>
      </c>
      <c r="AA96" s="506">
        <v>11</v>
      </c>
      <c r="AB96" s="506">
        <v>165</v>
      </c>
      <c r="AC96" s="508">
        <v>0</v>
      </c>
      <c r="AD96" s="506">
        <v>5</v>
      </c>
      <c r="AE96" s="506">
        <v>75</v>
      </c>
      <c r="AF96" s="508">
        <v>0</v>
      </c>
      <c r="AG96" s="509">
        <v>0</v>
      </c>
      <c r="AH96" s="509">
        <v>0</v>
      </c>
      <c r="AI96" s="508">
        <v>0</v>
      </c>
      <c r="AJ96" s="509">
        <v>0</v>
      </c>
      <c r="AK96" s="509">
        <v>0</v>
      </c>
      <c r="AL96" s="508">
        <v>0</v>
      </c>
      <c r="AM96" s="506">
        <v>0</v>
      </c>
      <c r="AN96" s="506">
        <v>0</v>
      </c>
      <c r="AO96" s="508">
        <v>0</v>
      </c>
      <c r="AP96" s="508"/>
      <c r="AQ96" s="508">
        <f t="shared" si="35"/>
        <v>0</v>
      </c>
      <c r="AR96" s="509">
        <v>0</v>
      </c>
      <c r="AS96" s="509">
        <v>0</v>
      </c>
      <c r="AT96" s="508">
        <v>0</v>
      </c>
      <c r="AU96" s="509">
        <v>0</v>
      </c>
      <c r="AV96" s="509">
        <v>0</v>
      </c>
      <c r="AW96" s="508">
        <v>0</v>
      </c>
      <c r="AX96" s="506">
        <v>0</v>
      </c>
      <c r="AY96" s="506">
        <v>0</v>
      </c>
      <c r="AZ96" s="508">
        <v>0</v>
      </c>
      <c r="BA96" s="508"/>
      <c r="BB96" s="508">
        <f t="shared" si="36"/>
        <v>0</v>
      </c>
      <c r="BC96" s="509">
        <v>0</v>
      </c>
      <c r="BD96" s="509">
        <v>0</v>
      </c>
      <c r="BE96" s="506">
        <v>0</v>
      </c>
      <c r="BF96" s="200"/>
      <c r="BG96" s="200"/>
      <c r="BH96" s="200"/>
      <c r="BI96" s="200"/>
      <c r="BJ96" s="200"/>
      <c r="BK96" s="200"/>
      <c r="BL96" s="200"/>
      <c r="BM96" s="505">
        <f t="shared" si="37"/>
        <v>0</v>
      </c>
      <c r="BN96" s="200">
        <f t="shared" si="38"/>
        <v>0</v>
      </c>
      <c r="BO96" s="200">
        <f t="shared" si="31"/>
        <v>0</v>
      </c>
      <c r="BP96" s="200">
        <f t="shared" si="39"/>
        <v>4095</v>
      </c>
      <c r="BQ96" s="200">
        <f t="shared" si="40"/>
        <v>0</v>
      </c>
      <c r="BR96" s="200">
        <f t="shared" si="41"/>
        <v>195</v>
      </c>
      <c r="BS96" s="200">
        <f t="shared" si="42"/>
        <v>2145</v>
      </c>
      <c r="BT96" s="200">
        <f t="shared" si="43"/>
        <v>975</v>
      </c>
      <c r="BU96" s="200">
        <f t="shared" si="44"/>
        <v>0</v>
      </c>
      <c r="BV96" s="200">
        <v>0</v>
      </c>
      <c r="BW96" s="200">
        <v>0</v>
      </c>
      <c r="BX96" s="200">
        <f t="shared" si="45"/>
        <v>0</v>
      </c>
      <c r="CB96" s="381">
        <f>_xlfn.IFNA(VLOOKUP(A96,'Actuals Summer'!$A:$AG,23,FALSE),0)</f>
        <v>4095</v>
      </c>
      <c r="CC96" s="381">
        <f>_xlfn.IFNA(VLOOKUP(A96,'Actuals Summer'!$A:$AG,24,FALSE),0)</f>
        <v>0</v>
      </c>
      <c r="CD96" s="381">
        <f>_xlfn.IFNA(VLOOKUP(A96,'Actuals Summer'!$A:$AG,25,FALSE),0)</f>
        <v>0</v>
      </c>
      <c r="CE96" s="381">
        <f>_xlfn.IFNA(VLOOKUP(A96,'Actuals Summer'!$A:$AG,26,FALSE),0)</f>
        <v>0</v>
      </c>
      <c r="CF96" s="381">
        <f>_xlfn.IFNA(VLOOKUP(A96,'Actuals Summer'!$A:$AG,27,FALSE),0)</f>
        <v>0</v>
      </c>
      <c r="CG96" s="381">
        <f>_xlfn.IFNA(VLOOKUP(A96,'Actuals Dep Summer'!B:O,6,FALSE)*$BN$3,0)</f>
        <v>195</v>
      </c>
      <c r="CH96" s="381">
        <f>_xlfn.IFNA(VLOOKUP(A96,'Actuals Dep Summer'!B:O,7,FALSE)*$BN$3,0)</f>
        <v>2145</v>
      </c>
      <c r="CI96" s="381">
        <f>_xlfn.IFNA(VLOOKUP(A96,'Actuals Dep Summer'!B:O,8,FALSE)*$BN$3,0)</f>
        <v>975</v>
      </c>
      <c r="CJ96" s="381">
        <f>_xlfn.IFNA(VLOOKUP(A96,'Actuals Summer'!$A:$AG,31,FALSE),0)*$BN$3</f>
        <v>0</v>
      </c>
      <c r="CK96" s="381"/>
      <c r="CL96" s="381">
        <f>_xlfn.IFNA(VLOOKUP(A96,'Actuals Summer'!$A:$AG,32,FALSE),0)*$BN$3</f>
        <v>0</v>
      </c>
      <c r="CM96" s="381">
        <f>_xlfn.IFNA(VLOOKUP(A96,'Actuals Summer'!$A:$AG,33,FALSE),0)</f>
        <v>0</v>
      </c>
      <c r="CP96" s="458">
        <f t="shared" si="46"/>
        <v>0</v>
      </c>
      <c r="CQ96" s="458">
        <f t="shared" si="47"/>
        <v>0</v>
      </c>
      <c r="CR96" s="458">
        <f t="shared" si="32"/>
        <v>0</v>
      </c>
      <c r="CS96" s="458">
        <f t="shared" si="48"/>
        <v>23177.7</v>
      </c>
      <c r="CT96" s="458">
        <f t="shared" si="49"/>
        <v>0</v>
      </c>
      <c r="CU96" s="458">
        <f t="shared" si="50"/>
        <v>118.95</v>
      </c>
      <c r="CV96" s="458">
        <f t="shared" si="51"/>
        <v>622.04999999999995</v>
      </c>
      <c r="CW96" s="458">
        <f t="shared" si="52"/>
        <v>78</v>
      </c>
      <c r="CX96" s="458">
        <f t="shared" si="53"/>
        <v>0</v>
      </c>
      <c r="CY96" s="458">
        <f t="shared" si="54"/>
        <v>0</v>
      </c>
      <c r="CZ96" s="458">
        <f t="shared" si="55"/>
        <v>0</v>
      </c>
      <c r="DA96" s="458">
        <f t="shared" si="56"/>
        <v>0</v>
      </c>
      <c r="DB96" s="458">
        <f t="shared" si="57"/>
        <v>23996.7</v>
      </c>
      <c r="DC96" s="452">
        <f>_xlfn.XLOOKUP($A96,'Actuals Summer'!$A:$A,'Actuals Summer'!L:L,0,0)</f>
        <v>0</v>
      </c>
      <c r="DD96" s="452">
        <f>_xlfn.XLOOKUP($A96,'Actuals Summer'!$A:$A,'Actuals Summer'!K:K,0,0)+_xlfn.XLOOKUP($A96,'Actuals Summer'!$A:$A,'Actuals Summer'!Q:Q,0,0)</f>
        <v>0</v>
      </c>
      <c r="DE96" s="452">
        <f>_xlfn.XLOOKUP($A96,'Actuals Summer'!$A:$A,'Actuals Summer'!I:I,0,0)+_xlfn.XLOOKUP($A96,'Actuals Summer'!$A:$A,'Actuals Summer'!R:R,0,0)</f>
        <v>23177.7</v>
      </c>
      <c r="DF96" s="452">
        <f>_xlfn.XLOOKUP($A96,'Actuals Summer'!$A:$A,'Actuals Summer'!J:J,0,0)</f>
        <v>0</v>
      </c>
      <c r="DG96" s="452">
        <f>_xlfn.XLOOKUP($A96,'Actuals Dep Summer'!$B:$B,'Actuals Dep Summer'!G:G,0,0)*'Actuals Dep Summer'!$F$2*'Actuals Dep Summer'!$C$2</f>
        <v>118.95</v>
      </c>
      <c r="DH96" s="452">
        <f>_xlfn.XLOOKUP($A96,'Actuals Dep Summer'!$B:$B,'Actuals Dep Summer'!H:H,0,0)*'Actuals Dep Summer'!$F$2*'Actuals Dep Summer'!$C$3</f>
        <v>622.04999999999995</v>
      </c>
      <c r="DI96" s="452">
        <f>_xlfn.XLOOKUP($A96,'Actuals Dep Summer'!$B:$B,'Actuals Dep Summer'!I:I,0,0)*'Actuals Dep Summer'!$F$2*'Actuals Dep Summer'!$C$4</f>
        <v>78</v>
      </c>
      <c r="DJ96" s="452">
        <f>_xlfn.XLOOKUP($A96,'Actuals Summer'!$A:$A,'Actuals Summer'!P:P,0,0)</f>
        <v>0</v>
      </c>
      <c r="DK96" s="452">
        <f>_xlfn.XLOOKUP($A96,'Actuals Summer'!$A:$A,'Actuals Summer'!O:O,0,0)</f>
        <v>0</v>
      </c>
      <c r="DL96" s="452"/>
      <c r="DM96" s="452">
        <f>_xlfn.XLOOKUP($A96,'Actuals Summer'!$A:$A,'Actuals Summer'!M:M,0,0)</f>
        <v>0</v>
      </c>
      <c r="DN96" s="453">
        <f t="shared" si="33"/>
        <v>23996.7</v>
      </c>
      <c r="DO96" s="453">
        <f>_xlfn.XLOOKUP(A96,'Actuals Summer'!A:A,'Actuals Summer'!S:S,0,0)-'Summer data team '!DN96</f>
        <v>0</v>
      </c>
      <c r="DP96" s="463">
        <f t="shared" si="34"/>
        <v>0</v>
      </c>
    </row>
    <row r="97" spans="1:120" ht="13" x14ac:dyDescent="0.3">
      <c r="A97" s="364">
        <v>2169</v>
      </c>
      <c r="B97" s="364">
        <v>3302169</v>
      </c>
      <c r="C97" s="364" t="s">
        <v>304</v>
      </c>
      <c r="D97" s="506">
        <v>0</v>
      </c>
      <c r="E97" s="506">
        <v>0</v>
      </c>
      <c r="F97" s="506">
        <v>0</v>
      </c>
      <c r="G97" s="506">
        <v>22</v>
      </c>
      <c r="H97" s="506">
        <v>14</v>
      </c>
      <c r="I97" s="507">
        <v>0</v>
      </c>
      <c r="J97" s="507">
        <v>36</v>
      </c>
      <c r="K97" s="506">
        <v>2</v>
      </c>
      <c r="L97" s="506">
        <v>2</v>
      </c>
      <c r="M97" s="507">
        <v>4</v>
      </c>
      <c r="N97" s="506">
        <v>0</v>
      </c>
      <c r="O97" s="506">
        <v>0</v>
      </c>
      <c r="P97" s="506">
        <v>330</v>
      </c>
      <c r="Q97" s="506">
        <v>210</v>
      </c>
      <c r="R97" s="507">
        <v>540</v>
      </c>
      <c r="S97" s="506">
        <v>0</v>
      </c>
      <c r="T97" s="506">
        <v>0</v>
      </c>
      <c r="U97" s="506">
        <v>30</v>
      </c>
      <c r="V97" s="506">
        <v>30</v>
      </c>
      <c r="W97" s="507">
        <v>60</v>
      </c>
      <c r="X97" s="506">
        <v>13</v>
      </c>
      <c r="Y97" s="506">
        <v>195</v>
      </c>
      <c r="Z97" s="508">
        <v>30</v>
      </c>
      <c r="AA97" s="506">
        <v>15</v>
      </c>
      <c r="AB97" s="506">
        <v>225</v>
      </c>
      <c r="AC97" s="508">
        <v>0</v>
      </c>
      <c r="AD97" s="506">
        <v>5</v>
      </c>
      <c r="AE97" s="506">
        <v>75</v>
      </c>
      <c r="AF97" s="508">
        <v>15</v>
      </c>
      <c r="AG97" s="509">
        <v>0</v>
      </c>
      <c r="AH97" s="509">
        <v>0</v>
      </c>
      <c r="AI97" s="508">
        <v>0</v>
      </c>
      <c r="AJ97" s="509">
        <v>17</v>
      </c>
      <c r="AK97" s="509">
        <v>255</v>
      </c>
      <c r="AL97" s="508">
        <v>15</v>
      </c>
      <c r="AM97" s="506">
        <v>17</v>
      </c>
      <c r="AN97" s="506">
        <v>255</v>
      </c>
      <c r="AO97" s="508">
        <v>15</v>
      </c>
      <c r="AP97" s="508"/>
      <c r="AQ97" s="508">
        <f t="shared" si="35"/>
        <v>17</v>
      </c>
      <c r="AR97" s="509">
        <v>0</v>
      </c>
      <c r="AS97" s="509">
        <v>0</v>
      </c>
      <c r="AT97" s="508">
        <v>0</v>
      </c>
      <c r="AU97" s="509">
        <v>17</v>
      </c>
      <c r="AV97" s="509">
        <v>255</v>
      </c>
      <c r="AW97" s="508">
        <v>15</v>
      </c>
      <c r="AX97" s="506">
        <v>17</v>
      </c>
      <c r="AY97" s="506">
        <v>255</v>
      </c>
      <c r="AZ97" s="508">
        <v>15</v>
      </c>
      <c r="BA97" s="508"/>
      <c r="BB97" s="508">
        <f t="shared" si="36"/>
        <v>34</v>
      </c>
      <c r="BC97" s="509">
        <v>0</v>
      </c>
      <c r="BD97" s="509">
        <v>0</v>
      </c>
      <c r="BE97" s="506">
        <v>0</v>
      </c>
      <c r="BF97" s="200"/>
      <c r="BG97" s="200"/>
      <c r="BH97" s="200"/>
      <c r="BI97" s="200"/>
      <c r="BJ97" s="200"/>
      <c r="BK97" s="200"/>
      <c r="BL97" s="200"/>
      <c r="BM97" s="505">
        <f t="shared" si="37"/>
        <v>0</v>
      </c>
      <c r="BN97" s="200">
        <f t="shared" si="38"/>
        <v>0</v>
      </c>
      <c r="BO97" s="200">
        <f t="shared" si="31"/>
        <v>0</v>
      </c>
      <c r="BP97" s="200">
        <f t="shared" si="39"/>
        <v>7020</v>
      </c>
      <c r="BQ97" s="200">
        <f t="shared" si="40"/>
        <v>780</v>
      </c>
      <c r="BR97" s="200">
        <f t="shared" si="41"/>
        <v>2925</v>
      </c>
      <c r="BS97" s="200">
        <f t="shared" si="42"/>
        <v>2925</v>
      </c>
      <c r="BT97" s="200">
        <f t="shared" si="43"/>
        <v>1170</v>
      </c>
      <c r="BU97" s="200">
        <f t="shared" si="44"/>
        <v>3315</v>
      </c>
      <c r="BV97" s="200">
        <v>16</v>
      </c>
      <c r="BW97" s="200">
        <v>1</v>
      </c>
      <c r="BX97" s="200">
        <f t="shared" si="45"/>
        <v>0</v>
      </c>
      <c r="CB97" s="381">
        <f>_xlfn.IFNA(VLOOKUP(A97,'Actuals Summer'!$A:$AG,23,FALSE),0)</f>
        <v>7020.0000000000009</v>
      </c>
      <c r="CC97" s="381">
        <f>_xlfn.IFNA(VLOOKUP(A97,'Actuals Summer'!$A:$AG,24,FALSE),0)</f>
        <v>780</v>
      </c>
      <c r="CD97" s="381">
        <f>_xlfn.IFNA(VLOOKUP(A97,'Actuals Summer'!$A:$AG,25,FALSE),0)</f>
        <v>0</v>
      </c>
      <c r="CE97" s="381">
        <f>_xlfn.IFNA(VLOOKUP(A97,'Actuals Summer'!$A:$AG,26,FALSE),0)</f>
        <v>0</v>
      </c>
      <c r="CF97" s="381">
        <f>_xlfn.IFNA(VLOOKUP(A97,'Actuals Summer'!$A:$AG,27,FALSE),0)</f>
        <v>0</v>
      </c>
      <c r="CG97" s="381">
        <f>_xlfn.IFNA(VLOOKUP(A97,'Actuals Dep Summer'!B:O,6,FALSE)*$BN$3,0)</f>
        <v>2535</v>
      </c>
      <c r="CH97" s="381">
        <f>_xlfn.IFNA(VLOOKUP(A97,'Actuals Dep Summer'!B:O,7,FALSE)*$BN$3,0)</f>
        <v>2925</v>
      </c>
      <c r="CI97" s="381">
        <f>_xlfn.IFNA(VLOOKUP(A97,'Actuals Dep Summer'!B:O,8,FALSE)*$BN$3,0)</f>
        <v>975</v>
      </c>
      <c r="CJ97" s="381">
        <f>_xlfn.IFNA(VLOOKUP(A97,'Actuals Summer'!$A:$AG,31,FALSE),0)*$BN$3</f>
        <v>220.87841555107278</v>
      </c>
      <c r="CK97" s="381"/>
      <c r="CL97" s="381">
        <f>_xlfn.IFNA(VLOOKUP(A97,'Actuals Summer'!$A:$AG,32,FALSE),0)*$BN$3</f>
        <v>43095</v>
      </c>
      <c r="CM97" s="381">
        <f>_xlfn.IFNA(VLOOKUP(A97,'Actuals Summer'!$A:$AG,33,FALSE),0)</f>
        <v>0</v>
      </c>
      <c r="CP97" s="458">
        <f t="shared" si="46"/>
        <v>0</v>
      </c>
      <c r="CQ97" s="458">
        <f t="shared" si="47"/>
        <v>0</v>
      </c>
      <c r="CR97" s="458">
        <f t="shared" si="32"/>
        <v>0</v>
      </c>
      <c r="CS97" s="458">
        <f t="shared" si="48"/>
        <v>39733.200000000004</v>
      </c>
      <c r="CT97" s="458">
        <f t="shared" si="49"/>
        <v>4414.8</v>
      </c>
      <c r="CU97" s="458">
        <f t="shared" si="50"/>
        <v>1784.25</v>
      </c>
      <c r="CV97" s="458">
        <f t="shared" si="51"/>
        <v>848.24999999999989</v>
      </c>
      <c r="CW97" s="458">
        <f t="shared" si="52"/>
        <v>93.600000000000009</v>
      </c>
      <c r="CX97" s="458">
        <f t="shared" si="53"/>
        <v>3315</v>
      </c>
      <c r="CY97" s="458">
        <f t="shared" si="54"/>
        <v>1193.2631578947367</v>
      </c>
      <c r="CZ97" s="458">
        <f t="shared" si="55"/>
        <v>186.44736842105263</v>
      </c>
      <c r="DA97" s="458">
        <f t="shared" si="56"/>
        <v>0</v>
      </c>
      <c r="DB97" s="458">
        <f t="shared" si="57"/>
        <v>51568.810526315792</v>
      </c>
      <c r="DC97" s="452">
        <f>_xlfn.XLOOKUP($A97,'Actuals Summer'!$A:$A,'Actuals Summer'!L:L,0,0)</f>
        <v>0</v>
      </c>
      <c r="DD97" s="452">
        <f>_xlfn.XLOOKUP($A97,'Actuals Summer'!$A:$A,'Actuals Summer'!K:K,0,0)+_xlfn.XLOOKUP($A97,'Actuals Summer'!$A:$A,'Actuals Summer'!Q:Q,0,0)</f>
        <v>0</v>
      </c>
      <c r="DE97" s="452">
        <f>_xlfn.XLOOKUP($A97,'Actuals Summer'!$A:$A,'Actuals Summer'!I:I,0,0)+_xlfn.XLOOKUP($A97,'Actuals Summer'!$A:$A,'Actuals Summer'!R:R,0,0)</f>
        <v>39733.200000000004</v>
      </c>
      <c r="DF97" s="452">
        <f>_xlfn.XLOOKUP($A97,'Actuals Summer'!$A:$A,'Actuals Summer'!J:J,0,0)</f>
        <v>4414.8</v>
      </c>
      <c r="DG97" s="452">
        <f>_xlfn.XLOOKUP($A97,'Actuals Dep Summer'!$B:$B,'Actuals Dep Summer'!G:G,0,0)*'Actuals Dep Summer'!$F$2*'Actuals Dep Summer'!$C$2</f>
        <v>1546.35</v>
      </c>
      <c r="DH97" s="452">
        <f>_xlfn.XLOOKUP($A97,'Actuals Dep Summer'!$B:$B,'Actuals Dep Summer'!H:H,0,0)*'Actuals Dep Summer'!$F$2*'Actuals Dep Summer'!$C$3</f>
        <v>848.24999999999989</v>
      </c>
      <c r="DI97" s="452">
        <f>_xlfn.XLOOKUP($A97,'Actuals Dep Summer'!$B:$B,'Actuals Dep Summer'!I:I,0,0)*'Actuals Dep Summer'!$F$2*'Actuals Dep Summer'!$C$4</f>
        <v>78</v>
      </c>
      <c r="DJ97" s="452">
        <f>_xlfn.XLOOKUP($A97,'Actuals Summer'!$A:$A,'Actuals Summer'!P:P,0,0)</f>
        <v>3315</v>
      </c>
      <c r="DK97" s="452">
        <f>_xlfn.XLOOKUP($A97,'Actuals Summer'!$A:$A,'Actuals Summer'!O:O,0,0)</f>
        <v>1267.8421052631579</v>
      </c>
      <c r="DL97" s="452"/>
      <c r="DM97" s="452">
        <f>_xlfn.XLOOKUP($A97,'Actuals Summer'!$A:$A,'Actuals Summer'!M:M,0,0)</f>
        <v>0</v>
      </c>
      <c r="DN97" s="453">
        <f t="shared" si="33"/>
        <v>51203.442105263166</v>
      </c>
      <c r="DO97" s="453">
        <f>_xlfn.XLOOKUP(A97,'Actuals Summer'!A:A,'Actuals Summer'!S:S,0,0)-'Summer data team '!DN97</f>
        <v>0</v>
      </c>
      <c r="DP97" s="463">
        <f t="shared" si="34"/>
        <v>365.36842105262622</v>
      </c>
    </row>
    <row r="98" spans="1:120" ht="13" x14ac:dyDescent="0.3">
      <c r="A98" s="364">
        <v>2170</v>
      </c>
      <c r="B98" s="364">
        <v>3302170</v>
      </c>
      <c r="C98" s="364" t="s">
        <v>305</v>
      </c>
      <c r="D98" s="506">
        <v>0</v>
      </c>
      <c r="E98" s="506">
        <v>5</v>
      </c>
      <c r="F98" s="506">
        <v>0</v>
      </c>
      <c r="G98" s="506">
        <v>30</v>
      </c>
      <c r="H98" s="506">
        <v>15</v>
      </c>
      <c r="I98" s="507">
        <v>5</v>
      </c>
      <c r="J98" s="507">
        <v>45</v>
      </c>
      <c r="K98" s="506">
        <v>1</v>
      </c>
      <c r="L98" s="506">
        <v>1</v>
      </c>
      <c r="M98" s="507">
        <v>2</v>
      </c>
      <c r="N98" s="506">
        <v>0</v>
      </c>
      <c r="O98" s="506">
        <v>75</v>
      </c>
      <c r="P98" s="506">
        <v>450</v>
      </c>
      <c r="Q98" s="506">
        <v>225</v>
      </c>
      <c r="R98" s="507">
        <v>675</v>
      </c>
      <c r="S98" s="506">
        <v>0</v>
      </c>
      <c r="T98" s="506">
        <v>75</v>
      </c>
      <c r="U98" s="506">
        <v>15</v>
      </c>
      <c r="V98" s="506">
        <v>15</v>
      </c>
      <c r="W98" s="507">
        <v>30</v>
      </c>
      <c r="X98" s="506">
        <v>19</v>
      </c>
      <c r="Y98" s="506">
        <v>285</v>
      </c>
      <c r="Z98" s="508">
        <v>15</v>
      </c>
      <c r="AA98" s="506">
        <v>12</v>
      </c>
      <c r="AB98" s="506">
        <v>180</v>
      </c>
      <c r="AC98" s="508">
        <v>0</v>
      </c>
      <c r="AD98" s="506">
        <v>11</v>
      </c>
      <c r="AE98" s="506">
        <v>165</v>
      </c>
      <c r="AF98" s="508">
        <v>0</v>
      </c>
      <c r="AG98" s="509">
        <v>5</v>
      </c>
      <c r="AH98" s="509">
        <v>75</v>
      </c>
      <c r="AI98" s="508">
        <v>0</v>
      </c>
      <c r="AJ98" s="509">
        <v>33</v>
      </c>
      <c r="AK98" s="509">
        <v>495</v>
      </c>
      <c r="AL98" s="508">
        <v>30</v>
      </c>
      <c r="AM98" s="506">
        <v>38</v>
      </c>
      <c r="AN98" s="506">
        <v>570</v>
      </c>
      <c r="AO98" s="508">
        <v>30</v>
      </c>
      <c r="AP98" s="508"/>
      <c r="AQ98" s="508">
        <f t="shared" si="35"/>
        <v>38</v>
      </c>
      <c r="AR98" s="509">
        <v>2</v>
      </c>
      <c r="AS98" s="509">
        <v>30</v>
      </c>
      <c r="AT98" s="508">
        <v>0</v>
      </c>
      <c r="AU98" s="509">
        <v>23</v>
      </c>
      <c r="AV98" s="509">
        <v>345</v>
      </c>
      <c r="AW98" s="508">
        <v>30</v>
      </c>
      <c r="AX98" s="506">
        <v>25</v>
      </c>
      <c r="AY98" s="506">
        <v>375</v>
      </c>
      <c r="AZ98" s="508">
        <v>30</v>
      </c>
      <c r="BA98" s="508"/>
      <c r="BB98" s="508">
        <f t="shared" si="36"/>
        <v>48</v>
      </c>
      <c r="BC98" s="509">
        <v>0</v>
      </c>
      <c r="BD98" s="509">
        <v>0</v>
      </c>
      <c r="BE98" s="506">
        <v>0</v>
      </c>
      <c r="BF98" s="200"/>
      <c r="BG98" s="200"/>
      <c r="BH98" s="200"/>
      <c r="BI98" s="200"/>
      <c r="BJ98" s="200"/>
      <c r="BK98" s="200"/>
      <c r="BL98" s="200"/>
      <c r="BM98" s="505">
        <f t="shared" si="37"/>
        <v>0</v>
      </c>
      <c r="BN98" s="200">
        <f t="shared" si="38"/>
        <v>975</v>
      </c>
      <c r="BO98" s="200">
        <f t="shared" si="31"/>
        <v>0</v>
      </c>
      <c r="BP98" s="200">
        <f t="shared" si="39"/>
        <v>8775</v>
      </c>
      <c r="BQ98" s="200">
        <f t="shared" si="40"/>
        <v>390</v>
      </c>
      <c r="BR98" s="200">
        <f t="shared" si="41"/>
        <v>3900</v>
      </c>
      <c r="BS98" s="200">
        <f t="shared" si="42"/>
        <v>2340</v>
      </c>
      <c r="BT98" s="200">
        <f t="shared" si="43"/>
        <v>2145</v>
      </c>
      <c r="BU98" s="200">
        <f t="shared" si="44"/>
        <v>7410</v>
      </c>
      <c r="BV98" s="200">
        <v>23</v>
      </c>
      <c r="BW98" s="200">
        <v>2</v>
      </c>
      <c r="BX98" s="200">
        <f t="shared" si="45"/>
        <v>0</v>
      </c>
      <c r="CB98" s="381">
        <f>_xlfn.IFNA(VLOOKUP(A98,'Actuals Summer'!$A:$AG,23,FALSE),0)</f>
        <v>8775</v>
      </c>
      <c r="CC98" s="381">
        <f>_xlfn.IFNA(VLOOKUP(A98,'Actuals Summer'!$A:$AG,24,FALSE),0)</f>
        <v>390</v>
      </c>
      <c r="CD98" s="381">
        <f>_xlfn.IFNA(VLOOKUP(A98,'Actuals Summer'!$A:$AG,25,FALSE),0)</f>
        <v>1950</v>
      </c>
      <c r="CE98" s="381">
        <f>_xlfn.IFNA(VLOOKUP(A98,'Actuals Summer'!$A:$AG,26,FALSE),0)</f>
        <v>0</v>
      </c>
      <c r="CF98" s="381">
        <f>_xlfn.IFNA(VLOOKUP(A98,'Actuals Summer'!$A:$AG,27,FALSE),0)</f>
        <v>0</v>
      </c>
      <c r="CG98" s="381">
        <f>_xlfn.IFNA(VLOOKUP(A98,'Actuals Dep Summer'!B:O,6,FALSE)*$BN$3,0)</f>
        <v>3705</v>
      </c>
      <c r="CH98" s="381">
        <f>_xlfn.IFNA(VLOOKUP(A98,'Actuals Dep Summer'!B:O,7,FALSE)*$BN$3,0)</f>
        <v>2340</v>
      </c>
      <c r="CI98" s="381">
        <f>_xlfn.IFNA(VLOOKUP(A98,'Actuals Dep Summer'!B:O,8,FALSE)*$BN$3,0)</f>
        <v>2145</v>
      </c>
      <c r="CJ98" s="381">
        <f>_xlfn.IFNA(VLOOKUP(A98,'Actuals Summer'!$A:$AG,31,FALSE),0)*$BN$3</f>
        <v>324.82119933981295</v>
      </c>
      <c r="CK98" s="381"/>
      <c r="CL98" s="381">
        <f>_xlfn.IFNA(VLOOKUP(A98,'Actuals Summer'!$A:$AG,32,FALSE),0)*$BN$3</f>
        <v>96330</v>
      </c>
      <c r="CM98" s="381">
        <f>_xlfn.IFNA(VLOOKUP(A98,'Actuals Summer'!$A:$AG,33,FALSE),0)</f>
        <v>0</v>
      </c>
      <c r="CP98" s="458">
        <f t="shared" si="46"/>
        <v>0</v>
      </c>
      <c r="CQ98" s="458">
        <f t="shared" si="47"/>
        <v>8297.25</v>
      </c>
      <c r="CR98" s="458">
        <f t="shared" si="32"/>
        <v>0</v>
      </c>
      <c r="CS98" s="458">
        <f t="shared" si="48"/>
        <v>49666.5</v>
      </c>
      <c r="CT98" s="458">
        <f t="shared" si="49"/>
        <v>2207.4</v>
      </c>
      <c r="CU98" s="458">
        <f t="shared" si="50"/>
        <v>2379</v>
      </c>
      <c r="CV98" s="458">
        <f t="shared" si="51"/>
        <v>678.59999999999991</v>
      </c>
      <c r="CW98" s="458">
        <f t="shared" si="52"/>
        <v>171.6</v>
      </c>
      <c r="CX98" s="458">
        <f t="shared" si="53"/>
        <v>7410</v>
      </c>
      <c r="CY98" s="458">
        <f t="shared" si="54"/>
        <v>1715.3157894736842</v>
      </c>
      <c r="CZ98" s="458">
        <f t="shared" si="55"/>
        <v>372.89473684210526</v>
      </c>
      <c r="DA98" s="458">
        <f t="shared" si="56"/>
        <v>0</v>
      </c>
      <c r="DB98" s="458">
        <f t="shared" si="57"/>
        <v>72898.560526315792</v>
      </c>
      <c r="DC98" s="452">
        <f>_xlfn.XLOOKUP($A98,'Actuals Summer'!$A:$A,'Actuals Summer'!L:L,0,0)</f>
        <v>0</v>
      </c>
      <c r="DD98" s="452">
        <f>_xlfn.XLOOKUP($A98,'Actuals Summer'!$A:$A,'Actuals Summer'!K:K,0,0)+_xlfn.XLOOKUP($A98,'Actuals Summer'!$A:$A,'Actuals Summer'!Q:Q,0,0)</f>
        <v>16594.5</v>
      </c>
      <c r="DE98" s="452">
        <f>_xlfn.XLOOKUP($A98,'Actuals Summer'!$A:$A,'Actuals Summer'!I:I,0,0)+_xlfn.XLOOKUP($A98,'Actuals Summer'!$A:$A,'Actuals Summer'!R:R,0,0)</f>
        <v>49666.5</v>
      </c>
      <c r="DF98" s="452">
        <f>_xlfn.XLOOKUP($A98,'Actuals Summer'!$A:$A,'Actuals Summer'!J:J,0,0)</f>
        <v>2207.4</v>
      </c>
      <c r="DG98" s="452">
        <f>_xlfn.XLOOKUP($A98,'Actuals Dep Summer'!$B:$B,'Actuals Dep Summer'!G:G,0,0)*'Actuals Dep Summer'!$F$2*'Actuals Dep Summer'!$C$2</f>
        <v>2260.0499999999997</v>
      </c>
      <c r="DH98" s="452">
        <f>_xlfn.XLOOKUP($A98,'Actuals Dep Summer'!$B:$B,'Actuals Dep Summer'!H:H,0,0)*'Actuals Dep Summer'!$F$2*'Actuals Dep Summer'!$C$3</f>
        <v>678.59999999999991</v>
      </c>
      <c r="DI98" s="452">
        <f>_xlfn.XLOOKUP($A98,'Actuals Dep Summer'!$B:$B,'Actuals Dep Summer'!I:I,0,0)*'Actuals Dep Summer'!$F$2*'Actuals Dep Summer'!$C$4</f>
        <v>171.6</v>
      </c>
      <c r="DJ98" s="452">
        <f>_xlfn.XLOOKUP($A98,'Actuals Summer'!$A:$A,'Actuals Summer'!P:P,0,0)</f>
        <v>7410</v>
      </c>
      <c r="DK98" s="452">
        <f>_xlfn.XLOOKUP($A98,'Actuals Summer'!$A:$A,'Actuals Summer'!O:O,0,0)</f>
        <v>1864.4736842105265</v>
      </c>
      <c r="DL98" s="452"/>
      <c r="DM98" s="452">
        <f>_xlfn.XLOOKUP($A98,'Actuals Summer'!$A:$A,'Actuals Summer'!M:M,0,0)</f>
        <v>0</v>
      </c>
      <c r="DN98" s="453">
        <f t="shared" si="33"/>
        <v>80853.123684210528</v>
      </c>
      <c r="DO98" s="453">
        <f>_xlfn.XLOOKUP(A98,'Actuals Summer'!A:A,'Actuals Summer'!S:S,0,0)-'Summer data team '!DN98</f>
        <v>0</v>
      </c>
      <c r="DP98" s="463">
        <f t="shared" si="34"/>
        <v>-7954.5631578947359</v>
      </c>
    </row>
    <row r="99" spans="1:120" ht="13" x14ac:dyDescent="0.3">
      <c r="A99" s="364">
        <v>2171</v>
      </c>
      <c r="B99" s="364">
        <v>3302171</v>
      </c>
      <c r="C99" s="364" t="s">
        <v>306</v>
      </c>
      <c r="D99" s="506">
        <v>0</v>
      </c>
      <c r="E99" s="506">
        <v>0</v>
      </c>
      <c r="F99" s="506">
        <v>0</v>
      </c>
      <c r="G99" s="506">
        <v>9</v>
      </c>
      <c r="H99" s="506">
        <v>12</v>
      </c>
      <c r="I99" s="507">
        <v>0</v>
      </c>
      <c r="J99" s="507">
        <v>21</v>
      </c>
      <c r="K99" s="506">
        <v>0</v>
      </c>
      <c r="L99" s="506">
        <v>0</v>
      </c>
      <c r="M99" s="507">
        <v>0</v>
      </c>
      <c r="N99" s="506">
        <v>0</v>
      </c>
      <c r="O99" s="506">
        <v>0</v>
      </c>
      <c r="P99" s="506">
        <v>135</v>
      </c>
      <c r="Q99" s="506">
        <v>180</v>
      </c>
      <c r="R99" s="507">
        <v>315</v>
      </c>
      <c r="S99" s="506">
        <v>0</v>
      </c>
      <c r="T99" s="506">
        <v>0</v>
      </c>
      <c r="U99" s="506">
        <v>0</v>
      </c>
      <c r="V99" s="506">
        <v>0</v>
      </c>
      <c r="W99" s="507">
        <v>0</v>
      </c>
      <c r="X99" s="506">
        <v>2</v>
      </c>
      <c r="Y99" s="506">
        <v>30</v>
      </c>
      <c r="Z99" s="508">
        <v>0</v>
      </c>
      <c r="AA99" s="506">
        <v>0</v>
      </c>
      <c r="AB99" s="506">
        <v>0</v>
      </c>
      <c r="AC99" s="508">
        <v>0</v>
      </c>
      <c r="AD99" s="506">
        <v>19</v>
      </c>
      <c r="AE99" s="506">
        <v>285</v>
      </c>
      <c r="AF99" s="508">
        <v>0</v>
      </c>
      <c r="AG99" s="509">
        <v>0</v>
      </c>
      <c r="AH99" s="509">
        <v>0</v>
      </c>
      <c r="AI99" s="508">
        <v>0</v>
      </c>
      <c r="AJ99" s="509">
        <v>6</v>
      </c>
      <c r="AK99" s="509">
        <v>90</v>
      </c>
      <c r="AL99" s="508">
        <v>0</v>
      </c>
      <c r="AM99" s="506">
        <v>6</v>
      </c>
      <c r="AN99" s="506">
        <v>90</v>
      </c>
      <c r="AO99" s="508">
        <v>0</v>
      </c>
      <c r="AP99" s="508"/>
      <c r="AQ99" s="508">
        <f t="shared" si="35"/>
        <v>6</v>
      </c>
      <c r="AR99" s="509">
        <v>0</v>
      </c>
      <c r="AS99" s="509">
        <v>0</v>
      </c>
      <c r="AT99" s="508">
        <v>0</v>
      </c>
      <c r="AU99" s="509">
        <v>6</v>
      </c>
      <c r="AV99" s="509">
        <v>90</v>
      </c>
      <c r="AW99" s="508">
        <v>0</v>
      </c>
      <c r="AX99" s="506">
        <v>6</v>
      </c>
      <c r="AY99" s="506">
        <v>90</v>
      </c>
      <c r="AZ99" s="508">
        <v>0</v>
      </c>
      <c r="BA99" s="508"/>
      <c r="BB99" s="508">
        <f t="shared" si="36"/>
        <v>12</v>
      </c>
      <c r="BC99" s="509">
        <v>0</v>
      </c>
      <c r="BD99" s="509">
        <v>0</v>
      </c>
      <c r="BE99" s="506">
        <v>0</v>
      </c>
      <c r="BF99" s="200"/>
      <c r="BG99" s="200"/>
      <c r="BH99" s="200"/>
      <c r="BI99" s="200"/>
      <c r="BJ99" s="200"/>
      <c r="BK99" s="200"/>
      <c r="BL99" s="200"/>
      <c r="BM99" s="505">
        <f t="shared" si="37"/>
        <v>0</v>
      </c>
      <c r="BN99" s="200">
        <f t="shared" si="38"/>
        <v>0</v>
      </c>
      <c r="BO99" s="200">
        <f t="shared" si="31"/>
        <v>0</v>
      </c>
      <c r="BP99" s="200">
        <f t="shared" si="39"/>
        <v>4095</v>
      </c>
      <c r="BQ99" s="200">
        <f t="shared" si="40"/>
        <v>0</v>
      </c>
      <c r="BR99" s="200">
        <f t="shared" si="41"/>
        <v>390</v>
      </c>
      <c r="BS99" s="200">
        <f t="shared" si="42"/>
        <v>0</v>
      </c>
      <c r="BT99" s="200">
        <f t="shared" si="43"/>
        <v>3705</v>
      </c>
      <c r="BU99" s="200">
        <f t="shared" si="44"/>
        <v>1170</v>
      </c>
      <c r="BV99" s="200">
        <v>6</v>
      </c>
      <c r="BW99" s="200">
        <v>0</v>
      </c>
      <c r="BX99" s="200">
        <f t="shared" si="45"/>
        <v>0</v>
      </c>
      <c r="CB99" s="381">
        <f>_xlfn.IFNA(VLOOKUP(A99,'Actuals Summer'!$A:$AG,23,FALSE),0)</f>
        <v>4095</v>
      </c>
      <c r="CC99" s="381">
        <f>_xlfn.IFNA(VLOOKUP(A99,'Actuals Summer'!$A:$AG,24,FALSE),0)</f>
        <v>0</v>
      </c>
      <c r="CD99" s="381">
        <f>_xlfn.IFNA(VLOOKUP(A99,'Actuals Summer'!$A:$AG,25,FALSE),0)</f>
        <v>0</v>
      </c>
      <c r="CE99" s="381">
        <f>_xlfn.IFNA(VLOOKUP(A99,'Actuals Summer'!$A:$AG,26,FALSE),0)</f>
        <v>0</v>
      </c>
      <c r="CF99" s="381">
        <f>_xlfn.IFNA(VLOOKUP(A99,'Actuals Summer'!$A:$AG,27,FALSE),0)</f>
        <v>0</v>
      </c>
      <c r="CG99" s="381">
        <f>_xlfn.IFNA(VLOOKUP(A99,'Actuals Dep Summer'!B:O,6,FALSE)*$BN$3,0)</f>
        <v>390</v>
      </c>
      <c r="CH99" s="381">
        <f>_xlfn.IFNA(VLOOKUP(A99,'Actuals Dep Summer'!B:O,7,FALSE)*$BN$3,0)</f>
        <v>0</v>
      </c>
      <c r="CI99" s="381">
        <f>_xlfn.IFNA(VLOOKUP(A99,'Actuals Dep Summer'!B:O,8,FALSE)*$BN$3,0)</f>
        <v>3705</v>
      </c>
      <c r="CJ99" s="381">
        <f>_xlfn.IFNA(VLOOKUP(A99,'Actuals Summer'!$A:$AG,31,FALSE),0)*$BN$3</f>
        <v>77.957087841555122</v>
      </c>
      <c r="CK99" s="381"/>
      <c r="CL99" s="381">
        <f>_xlfn.IFNA(VLOOKUP(A99,'Actuals Summer'!$A:$AG,32,FALSE),0)*$BN$3</f>
        <v>15210</v>
      </c>
      <c r="CM99" s="381">
        <f>_xlfn.IFNA(VLOOKUP(A99,'Actuals Summer'!$A:$AG,33,FALSE),0)</f>
        <v>0</v>
      </c>
      <c r="CP99" s="458">
        <f t="shared" si="46"/>
        <v>0</v>
      </c>
      <c r="CQ99" s="458">
        <f t="shared" si="47"/>
        <v>0</v>
      </c>
      <c r="CR99" s="458">
        <f t="shared" si="32"/>
        <v>0</v>
      </c>
      <c r="CS99" s="458">
        <f t="shared" si="48"/>
        <v>23177.7</v>
      </c>
      <c r="CT99" s="458">
        <f t="shared" si="49"/>
        <v>0</v>
      </c>
      <c r="CU99" s="458">
        <f t="shared" si="50"/>
        <v>237.9</v>
      </c>
      <c r="CV99" s="458">
        <f t="shared" si="51"/>
        <v>0</v>
      </c>
      <c r="CW99" s="458">
        <f t="shared" si="52"/>
        <v>296.40000000000003</v>
      </c>
      <c r="CX99" s="458">
        <f t="shared" si="53"/>
        <v>1170</v>
      </c>
      <c r="CY99" s="458">
        <f t="shared" si="54"/>
        <v>447.4736842105263</v>
      </c>
      <c r="CZ99" s="458">
        <f t="shared" si="55"/>
        <v>0</v>
      </c>
      <c r="DA99" s="458">
        <f t="shared" si="56"/>
        <v>0</v>
      </c>
      <c r="DB99" s="458">
        <f t="shared" si="57"/>
        <v>25329.47368421053</v>
      </c>
      <c r="DC99" s="452">
        <f>_xlfn.XLOOKUP($A99,'Actuals Summer'!$A:$A,'Actuals Summer'!L:L,0,0)</f>
        <v>0</v>
      </c>
      <c r="DD99" s="452">
        <f>_xlfn.XLOOKUP($A99,'Actuals Summer'!$A:$A,'Actuals Summer'!K:K,0,0)+_xlfn.XLOOKUP($A99,'Actuals Summer'!$A:$A,'Actuals Summer'!Q:Q,0,0)</f>
        <v>0</v>
      </c>
      <c r="DE99" s="452">
        <f>_xlfn.XLOOKUP($A99,'Actuals Summer'!$A:$A,'Actuals Summer'!I:I,0,0)+_xlfn.XLOOKUP($A99,'Actuals Summer'!$A:$A,'Actuals Summer'!R:R,0,0)</f>
        <v>23177.7</v>
      </c>
      <c r="DF99" s="452">
        <f>_xlfn.XLOOKUP($A99,'Actuals Summer'!$A:$A,'Actuals Summer'!J:J,0,0)</f>
        <v>0</v>
      </c>
      <c r="DG99" s="452">
        <f>_xlfn.XLOOKUP($A99,'Actuals Dep Summer'!$B:$B,'Actuals Dep Summer'!G:G,0,0)*'Actuals Dep Summer'!$F$2*'Actuals Dep Summer'!$C$2</f>
        <v>237.9</v>
      </c>
      <c r="DH99" s="452">
        <f>_xlfn.XLOOKUP($A99,'Actuals Dep Summer'!$B:$B,'Actuals Dep Summer'!H:H,0,0)*'Actuals Dep Summer'!$F$2*'Actuals Dep Summer'!$C$3</f>
        <v>0</v>
      </c>
      <c r="DI99" s="452">
        <f>_xlfn.XLOOKUP($A99,'Actuals Dep Summer'!$B:$B,'Actuals Dep Summer'!I:I,0,0)*'Actuals Dep Summer'!$F$2*'Actuals Dep Summer'!$C$4</f>
        <v>296.40000000000003</v>
      </c>
      <c r="DJ99" s="452">
        <f>_xlfn.XLOOKUP($A99,'Actuals Summer'!$A:$A,'Actuals Summer'!P:P,0,0)</f>
        <v>1170</v>
      </c>
      <c r="DK99" s="452">
        <f>_xlfn.XLOOKUP($A99,'Actuals Summer'!$A:$A,'Actuals Summer'!O:O,0,0)</f>
        <v>447.47368421052636</v>
      </c>
      <c r="DL99" s="452"/>
      <c r="DM99" s="452">
        <f>_xlfn.XLOOKUP($A99,'Actuals Summer'!$A:$A,'Actuals Summer'!M:M,0,0)</f>
        <v>0</v>
      </c>
      <c r="DN99" s="453">
        <f t="shared" si="33"/>
        <v>25329.47368421053</v>
      </c>
      <c r="DO99" s="453">
        <f>_xlfn.XLOOKUP(A99,'Actuals Summer'!A:A,'Actuals Summer'!S:S,0,0)-'Summer data team '!DN99</f>
        <v>0</v>
      </c>
      <c r="DP99" s="463">
        <f t="shared" si="34"/>
        <v>0</v>
      </c>
    </row>
    <row r="100" spans="1:120" ht="13" x14ac:dyDescent="0.3">
      <c r="A100" s="364">
        <v>2176</v>
      </c>
      <c r="B100" s="364">
        <v>3302176</v>
      </c>
      <c r="C100" s="364" t="s">
        <v>307</v>
      </c>
      <c r="D100" s="506">
        <v>0</v>
      </c>
      <c r="E100" s="506">
        <v>0</v>
      </c>
      <c r="F100" s="506">
        <v>0</v>
      </c>
      <c r="G100" s="506">
        <v>37</v>
      </c>
      <c r="H100" s="506">
        <v>27</v>
      </c>
      <c r="I100" s="507">
        <v>0</v>
      </c>
      <c r="J100" s="507">
        <v>64</v>
      </c>
      <c r="K100" s="506">
        <v>4</v>
      </c>
      <c r="L100" s="506">
        <v>4</v>
      </c>
      <c r="M100" s="507">
        <v>8</v>
      </c>
      <c r="N100" s="506">
        <v>0</v>
      </c>
      <c r="O100" s="506">
        <v>0</v>
      </c>
      <c r="P100" s="506">
        <v>555</v>
      </c>
      <c r="Q100" s="506">
        <v>405</v>
      </c>
      <c r="R100" s="507">
        <v>960</v>
      </c>
      <c r="S100" s="506">
        <v>0</v>
      </c>
      <c r="T100" s="506">
        <v>0</v>
      </c>
      <c r="U100" s="506">
        <v>60</v>
      </c>
      <c r="V100" s="506">
        <v>60</v>
      </c>
      <c r="W100" s="507">
        <v>120</v>
      </c>
      <c r="X100" s="506">
        <v>4</v>
      </c>
      <c r="Y100" s="506">
        <v>60</v>
      </c>
      <c r="Z100" s="508">
        <v>0</v>
      </c>
      <c r="AA100" s="506">
        <v>7</v>
      </c>
      <c r="AB100" s="506">
        <v>105</v>
      </c>
      <c r="AC100" s="508">
        <v>15</v>
      </c>
      <c r="AD100" s="506">
        <v>43</v>
      </c>
      <c r="AE100" s="506">
        <v>645</v>
      </c>
      <c r="AF100" s="508">
        <v>60</v>
      </c>
      <c r="AG100" s="509">
        <v>0</v>
      </c>
      <c r="AH100" s="509">
        <v>0</v>
      </c>
      <c r="AI100" s="508">
        <v>0</v>
      </c>
      <c r="AJ100" s="509">
        <v>32</v>
      </c>
      <c r="AK100" s="509">
        <v>480</v>
      </c>
      <c r="AL100" s="508">
        <v>30</v>
      </c>
      <c r="AM100" s="506">
        <v>32</v>
      </c>
      <c r="AN100" s="506">
        <v>480</v>
      </c>
      <c r="AO100" s="508">
        <v>30</v>
      </c>
      <c r="AP100" s="508"/>
      <c r="AQ100" s="508">
        <f t="shared" si="35"/>
        <v>32</v>
      </c>
      <c r="AR100" s="509">
        <v>0</v>
      </c>
      <c r="AS100" s="509">
        <v>0</v>
      </c>
      <c r="AT100" s="508">
        <v>0</v>
      </c>
      <c r="AU100" s="509">
        <v>2</v>
      </c>
      <c r="AV100" s="509">
        <v>30</v>
      </c>
      <c r="AW100" s="508">
        <v>30</v>
      </c>
      <c r="AX100" s="506">
        <v>2</v>
      </c>
      <c r="AY100" s="506">
        <v>30</v>
      </c>
      <c r="AZ100" s="508">
        <v>30</v>
      </c>
      <c r="BA100" s="508"/>
      <c r="BB100" s="508">
        <f t="shared" si="36"/>
        <v>4</v>
      </c>
      <c r="BC100" s="509">
        <v>0</v>
      </c>
      <c r="BD100" s="509">
        <v>0</v>
      </c>
      <c r="BE100" s="506">
        <v>0</v>
      </c>
      <c r="BF100" s="200"/>
      <c r="BG100" s="200"/>
      <c r="BH100" s="200"/>
      <c r="BI100" s="200"/>
      <c r="BJ100" s="200"/>
      <c r="BK100" s="200"/>
      <c r="BL100" s="200"/>
      <c r="BM100" s="505">
        <f t="shared" si="37"/>
        <v>0</v>
      </c>
      <c r="BN100" s="200">
        <f t="shared" si="38"/>
        <v>0</v>
      </c>
      <c r="BO100" s="200">
        <f t="shared" si="31"/>
        <v>0</v>
      </c>
      <c r="BP100" s="200">
        <f t="shared" si="39"/>
        <v>12480</v>
      </c>
      <c r="BQ100" s="200">
        <f t="shared" si="40"/>
        <v>1560</v>
      </c>
      <c r="BR100" s="200">
        <f t="shared" si="41"/>
        <v>780</v>
      </c>
      <c r="BS100" s="200">
        <f t="shared" si="42"/>
        <v>1560</v>
      </c>
      <c r="BT100" s="200">
        <f t="shared" si="43"/>
        <v>9165</v>
      </c>
      <c r="BU100" s="200">
        <f t="shared" si="44"/>
        <v>6240</v>
      </c>
      <c r="BV100" s="200">
        <v>0</v>
      </c>
      <c r="BW100" s="200">
        <v>2</v>
      </c>
      <c r="BX100" s="200">
        <f t="shared" si="45"/>
        <v>0</v>
      </c>
      <c r="CB100" s="381">
        <f>_xlfn.IFNA(VLOOKUP(A100,'Actuals Summer'!$A:$AG,23,FALSE),0)</f>
        <v>12480</v>
      </c>
      <c r="CC100" s="381">
        <f>_xlfn.IFNA(VLOOKUP(A100,'Actuals Summer'!$A:$AG,24,FALSE),0)</f>
        <v>1560</v>
      </c>
      <c r="CD100" s="381">
        <f>_xlfn.IFNA(VLOOKUP(A100,'Actuals Summer'!$A:$AG,25,FALSE),0)</f>
        <v>0</v>
      </c>
      <c r="CE100" s="381">
        <f>_xlfn.IFNA(VLOOKUP(A100,'Actuals Summer'!$A:$AG,26,FALSE),0)</f>
        <v>0</v>
      </c>
      <c r="CF100" s="381">
        <f>_xlfn.IFNA(VLOOKUP(A100,'Actuals Summer'!$A:$AG,27,FALSE),0)</f>
        <v>0</v>
      </c>
      <c r="CG100" s="381">
        <f>_xlfn.IFNA(VLOOKUP(A100,'Actuals Dep Summer'!B:O,6,FALSE)*$BN$3,0)</f>
        <v>780</v>
      </c>
      <c r="CH100" s="381">
        <f>_xlfn.IFNA(VLOOKUP(A100,'Actuals Dep Summer'!B:O,7,FALSE)*$BN$3,0)</f>
        <v>1365</v>
      </c>
      <c r="CI100" s="381">
        <f>_xlfn.IFNA(VLOOKUP(A100,'Actuals Dep Summer'!B:O,8,FALSE)*$BN$3,0)</f>
        <v>8385</v>
      </c>
      <c r="CJ100" s="381">
        <f>_xlfn.IFNA(VLOOKUP(A100,'Actuals Summer'!$A:$AG,31,FALSE),0)*$BN$3</f>
        <v>25.985695947185036</v>
      </c>
      <c r="CK100" s="381"/>
      <c r="CL100" s="381">
        <f>_xlfn.IFNA(VLOOKUP(A100,'Actuals Summer'!$A:$AG,32,FALSE),0)*$BN$3</f>
        <v>81120</v>
      </c>
      <c r="CM100" s="381">
        <f>_xlfn.IFNA(VLOOKUP(A100,'Actuals Summer'!$A:$AG,33,FALSE),0)</f>
        <v>0</v>
      </c>
      <c r="CP100" s="458">
        <f t="shared" si="46"/>
        <v>0</v>
      </c>
      <c r="CQ100" s="458">
        <f t="shared" si="47"/>
        <v>0</v>
      </c>
      <c r="CR100" s="458">
        <f t="shared" si="32"/>
        <v>0</v>
      </c>
      <c r="CS100" s="458">
        <f t="shared" si="48"/>
        <v>70636.800000000003</v>
      </c>
      <c r="CT100" s="458">
        <f t="shared" si="49"/>
        <v>8829.6</v>
      </c>
      <c r="CU100" s="458">
        <f t="shared" si="50"/>
        <v>475.8</v>
      </c>
      <c r="CV100" s="458">
        <f t="shared" si="51"/>
        <v>452.4</v>
      </c>
      <c r="CW100" s="458">
        <f t="shared" si="52"/>
        <v>733.2</v>
      </c>
      <c r="CX100" s="458">
        <f t="shared" si="53"/>
        <v>6240</v>
      </c>
      <c r="CY100" s="458">
        <f t="shared" si="54"/>
        <v>0</v>
      </c>
      <c r="CZ100" s="458">
        <f t="shared" si="55"/>
        <v>372.89473684210526</v>
      </c>
      <c r="DA100" s="458">
        <f t="shared" si="56"/>
        <v>0</v>
      </c>
      <c r="DB100" s="458">
        <f t="shared" si="57"/>
        <v>87740.69473684211</v>
      </c>
      <c r="DC100" s="452">
        <f>_xlfn.XLOOKUP($A100,'Actuals Summer'!$A:$A,'Actuals Summer'!L:L,0,0)</f>
        <v>0</v>
      </c>
      <c r="DD100" s="452">
        <f>_xlfn.XLOOKUP($A100,'Actuals Summer'!$A:$A,'Actuals Summer'!K:K,0,0)+_xlfn.XLOOKUP($A100,'Actuals Summer'!$A:$A,'Actuals Summer'!Q:Q,0,0)</f>
        <v>0</v>
      </c>
      <c r="DE100" s="452">
        <f>_xlfn.XLOOKUP($A100,'Actuals Summer'!$A:$A,'Actuals Summer'!I:I,0,0)+_xlfn.XLOOKUP($A100,'Actuals Summer'!$A:$A,'Actuals Summer'!R:R,0,0)</f>
        <v>70636.800000000003</v>
      </c>
      <c r="DF100" s="452">
        <f>_xlfn.XLOOKUP($A100,'Actuals Summer'!$A:$A,'Actuals Summer'!J:J,0,0)</f>
        <v>8829.6</v>
      </c>
      <c r="DG100" s="452">
        <f>_xlfn.XLOOKUP($A100,'Actuals Dep Summer'!$B:$B,'Actuals Dep Summer'!G:G,0,0)*'Actuals Dep Summer'!$F$2*'Actuals Dep Summer'!$C$2</f>
        <v>475.8</v>
      </c>
      <c r="DH100" s="452">
        <f>_xlfn.XLOOKUP($A100,'Actuals Dep Summer'!$B:$B,'Actuals Dep Summer'!H:H,0,0)*'Actuals Dep Summer'!$F$2*'Actuals Dep Summer'!$C$3</f>
        <v>395.84999999999997</v>
      </c>
      <c r="DI100" s="452">
        <f>_xlfn.XLOOKUP($A100,'Actuals Dep Summer'!$B:$B,'Actuals Dep Summer'!I:I,0,0)*'Actuals Dep Summer'!$F$2*'Actuals Dep Summer'!$C$4</f>
        <v>670.80000000000007</v>
      </c>
      <c r="DJ100" s="452">
        <f>_xlfn.XLOOKUP($A100,'Actuals Summer'!$A:$A,'Actuals Summer'!P:P,0,0)</f>
        <v>6240</v>
      </c>
      <c r="DK100" s="452">
        <f>_xlfn.XLOOKUP($A100,'Actuals Summer'!$A:$A,'Actuals Summer'!O:O,0,0)</f>
        <v>149.15789473684211</v>
      </c>
      <c r="DL100" s="452"/>
      <c r="DM100" s="452">
        <f>_xlfn.XLOOKUP($A100,'Actuals Summer'!$A:$A,'Actuals Summer'!M:M,0,0)</f>
        <v>0</v>
      </c>
      <c r="DN100" s="453">
        <f t="shared" si="33"/>
        <v>87398.00789473686</v>
      </c>
      <c r="DO100" s="453">
        <f>_xlfn.XLOOKUP(A100,'Actuals Summer'!A:A,'Actuals Summer'!S:S,0,0)-'Summer data team '!DN100</f>
        <v>0</v>
      </c>
      <c r="DP100" s="463">
        <f t="shared" si="34"/>
        <v>342.68684210524953</v>
      </c>
    </row>
    <row r="101" spans="1:120" ht="13" x14ac:dyDescent="0.3">
      <c r="A101" s="364">
        <v>2178</v>
      </c>
      <c r="B101" s="364">
        <v>3302178</v>
      </c>
      <c r="C101" s="364" t="s">
        <v>155</v>
      </c>
      <c r="D101" s="506">
        <v>0</v>
      </c>
      <c r="E101" s="506">
        <v>0</v>
      </c>
      <c r="F101" s="506">
        <v>0</v>
      </c>
      <c r="G101" s="506">
        <v>18</v>
      </c>
      <c r="H101" s="506">
        <v>6</v>
      </c>
      <c r="I101" s="507">
        <v>0</v>
      </c>
      <c r="J101" s="507">
        <v>24</v>
      </c>
      <c r="K101" s="506">
        <v>6</v>
      </c>
      <c r="L101" s="506">
        <v>2</v>
      </c>
      <c r="M101" s="507">
        <v>8</v>
      </c>
      <c r="N101" s="506">
        <v>0</v>
      </c>
      <c r="O101" s="506">
        <v>0</v>
      </c>
      <c r="P101" s="506">
        <v>270</v>
      </c>
      <c r="Q101" s="506">
        <v>90</v>
      </c>
      <c r="R101" s="507">
        <v>360</v>
      </c>
      <c r="S101" s="506">
        <v>0</v>
      </c>
      <c r="T101" s="506">
        <v>0</v>
      </c>
      <c r="U101" s="506">
        <v>84</v>
      </c>
      <c r="V101" s="506">
        <v>30</v>
      </c>
      <c r="W101" s="507">
        <v>114</v>
      </c>
      <c r="X101" s="506">
        <v>6</v>
      </c>
      <c r="Y101" s="506">
        <v>90</v>
      </c>
      <c r="Z101" s="508">
        <v>30</v>
      </c>
      <c r="AA101" s="506">
        <v>1</v>
      </c>
      <c r="AB101" s="506">
        <v>15</v>
      </c>
      <c r="AC101" s="508">
        <v>15</v>
      </c>
      <c r="AD101" s="506">
        <v>10</v>
      </c>
      <c r="AE101" s="506">
        <v>150</v>
      </c>
      <c r="AF101" s="508">
        <v>30</v>
      </c>
      <c r="AG101" s="509">
        <v>0</v>
      </c>
      <c r="AH101" s="509">
        <v>0</v>
      </c>
      <c r="AI101" s="508">
        <v>0</v>
      </c>
      <c r="AJ101" s="509">
        <v>5</v>
      </c>
      <c r="AK101" s="509">
        <v>75</v>
      </c>
      <c r="AL101" s="508">
        <v>0</v>
      </c>
      <c r="AM101" s="506">
        <v>5</v>
      </c>
      <c r="AN101" s="506">
        <v>75</v>
      </c>
      <c r="AO101" s="508">
        <v>0</v>
      </c>
      <c r="AP101" s="508"/>
      <c r="AQ101" s="508">
        <f t="shared" si="35"/>
        <v>5</v>
      </c>
      <c r="AR101" s="509">
        <v>0</v>
      </c>
      <c r="AS101" s="509">
        <v>0</v>
      </c>
      <c r="AT101" s="508">
        <v>0</v>
      </c>
      <c r="AU101" s="509">
        <v>3</v>
      </c>
      <c r="AV101" s="509">
        <v>45</v>
      </c>
      <c r="AW101" s="508">
        <v>0</v>
      </c>
      <c r="AX101" s="506">
        <v>3</v>
      </c>
      <c r="AY101" s="506">
        <v>45</v>
      </c>
      <c r="AZ101" s="508">
        <v>0</v>
      </c>
      <c r="BA101" s="508"/>
      <c r="BB101" s="508">
        <f t="shared" si="36"/>
        <v>6</v>
      </c>
      <c r="BC101" s="509">
        <v>0</v>
      </c>
      <c r="BD101" s="509">
        <v>0</v>
      </c>
      <c r="BE101" s="506">
        <v>0</v>
      </c>
      <c r="BF101" s="200"/>
      <c r="BG101" s="200"/>
      <c r="BH101" s="200"/>
      <c r="BI101" s="200"/>
      <c r="BJ101" s="200"/>
      <c r="BK101" s="200"/>
      <c r="BL101" s="200"/>
      <c r="BM101" s="505">
        <f t="shared" si="37"/>
        <v>0</v>
      </c>
      <c r="BN101" s="200">
        <f t="shared" si="38"/>
        <v>0</v>
      </c>
      <c r="BO101" s="200">
        <f t="shared" ref="BO101:BO132" si="58">S101*$BN$3</f>
        <v>0</v>
      </c>
      <c r="BP101" s="200">
        <f t="shared" si="39"/>
        <v>4680</v>
      </c>
      <c r="BQ101" s="200">
        <f t="shared" si="40"/>
        <v>1482</v>
      </c>
      <c r="BR101" s="200">
        <f t="shared" si="41"/>
        <v>1560</v>
      </c>
      <c r="BS101" s="200">
        <f t="shared" si="42"/>
        <v>390</v>
      </c>
      <c r="BT101" s="200">
        <f t="shared" si="43"/>
        <v>2340</v>
      </c>
      <c r="BU101" s="200">
        <f t="shared" si="44"/>
        <v>975</v>
      </c>
      <c r="BV101" s="200">
        <v>3</v>
      </c>
      <c r="BW101" s="200">
        <v>0</v>
      </c>
      <c r="BX101" s="200">
        <f t="shared" si="45"/>
        <v>0</v>
      </c>
      <c r="CB101" s="381">
        <f>_xlfn.IFNA(VLOOKUP(A101,'Actuals Summer'!$A:$AG,23,FALSE),0)</f>
        <v>4680</v>
      </c>
      <c r="CC101" s="381">
        <f>_xlfn.IFNA(VLOOKUP(A101,'Actuals Summer'!$A:$AG,24,FALSE),0)</f>
        <v>1482</v>
      </c>
      <c r="CD101" s="381">
        <f>_xlfn.IFNA(VLOOKUP(A101,'Actuals Summer'!$A:$AG,25,FALSE),0)</f>
        <v>0</v>
      </c>
      <c r="CE101" s="381">
        <f>_xlfn.IFNA(VLOOKUP(A101,'Actuals Summer'!$A:$AG,26,FALSE),0)</f>
        <v>0</v>
      </c>
      <c r="CF101" s="381">
        <f>_xlfn.IFNA(VLOOKUP(A101,'Actuals Summer'!$A:$AG,27,FALSE),0)</f>
        <v>0</v>
      </c>
      <c r="CG101" s="381">
        <f>_xlfn.IFNA(VLOOKUP(A101,'Actuals Dep Summer'!B:O,6,FALSE)*$BN$3,0)</f>
        <v>1170</v>
      </c>
      <c r="CH101" s="381">
        <f>_xlfn.IFNA(VLOOKUP(A101,'Actuals Dep Summer'!B:O,7,FALSE)*$BN$3,0)</f>
        <v>195</v>
      </c>
      <c r="CI101" s="381">
        <f>_xlfn.IFNA(VLOOKUP(A101,'Actuals Dep Summer'!B:O,8,FALSE)*$BN$3,0)</f>
        <v>1950</v>
      </c>
      <c r="CJ101" s="381">
        <f>_xlfn.IFNA(VLOOKUP(A101,'Actuals Summer'!$A:$AG,31,FALSE),0)*$BN$3</f>
        <v>38.978543920777561</v>
      </c>
      <c r="CK101" s="381"/>
      <c r="CL101" s="381">
        <f>_xlfn.IFNA(VLOOKUP(A101,'Actuals Summer'!$A:$AG,32,FALSE),0)*$BN$3</f>
        <v>12675</v>
      </c>
      <c r="CM101" s="381">
        <f>_xlfn.IFNA(VLOOKUP(A101,'Actuals Summer'!$A:$AG,33,FALSE),0)</f>
        <v>0</v>
      </c>
      <c r="CP101" s="458">
        <f t="shared" si="46"/>
        <v>0</v>
      </c>
      <c r="CQ101" s="458">
        <f t="shared" si="47"/>
        <v>0</v>
      </c>
      <c r="CR101" s="458">
        <f t="shared" ref="CR101:CR132" si="59">BO101*$BO$2</f>
        <v>0</v>
      </c>
      <c r="CS101" s="458">
        <f t="shared" si="48"/>
        <v>26488.799999999999</v>
      </c>
      <c r="CT101" s="458">
        <f t="shared" si="49"/>
        <v>8388.1200000000008</v>
      </c>
      <c r="CU101" s="458">
        <f t="shared" si="50"/>
        <v>951.6</v>
      </c>
      <c r="CV101" s="458">
        <f t="shared" si="51"/>
        <v>113.1</v>
      </c>
      <c r="CW101" s="458">
        <f t="shared" si="52"/>
        <v>187.20000000000002</v>
      </c>
      <c r="CX101" s="458">
        <f t="shared" si="53"/>
        <v>975</v>
      </c>
      <c r="CY101" s="458">
        <f t="shared" si="54"/>
        <v>223.73684210526315</v>
      </c>
      <c r="CZ101" s="458">
        <f t="shared" si="55"/>
        <v>0</v>
      </c>
      <c r="DA101" s="458">
        <f t="shared" si="56"/>
        <v>0</v>
      </c>
      <c r="DB101" s="458">
        <f t="shared" si="57"/>
        <v>37327.556842105252</v>
      </c>
      <c r="DC101" s="452">
        <f>_xlfn.XLOOKUP($A101,'Actuals Summer'!$A:$A,'Actuals Summer'!L:L,0,0)</f>
        <v>0</v>
      </c>
      <c r="DD101" s="452">
        <f>_xlfn.XLOOKUP($A101,'Actuals Summer'!$A:$A,'Actuals Summer'!K:K,0,0)+_xlfn.XLOOKUP($A101,'Actuals Summer'!$A:$A,'Actuals Summer'!Q:Q,0,0)</f>
        <v>0</v>
      </c>
      <c r="DE101" s="452">
        <f>_xlfn.XLOOKUP($A101,'Actuals Summer'!$A:$A,'Actuals Summer'!I:I,0,0)+_xlfn.XLOOKUP($A101,'Actuals Summer'!$A:$A,'Actuals Summer'!R:R,0,0)</f>
        <v>26488.799999999999</v>
      </c>
      <c r="DF101" s="452">
        <f>_xlfn.XLOOKUP($A101,'Actuals Summer'!$A:$A,'Actuals Summer'!J:J,0,0)</f>
        <v>8388.1200000000008</v>
      </c>
      <c r="DG101" s="452">
        <f>_xlfn.XLOOKUP($A101,'Actuals Dep Summer'!$B:$B,'Actuals Dep Summer'!G:G,0,0)*'Actuals Dep Summer'!$F$2*'Actuals Dep Summer'!$C$2</f>
        <v>713.69999999999993</v>
      </c>
      <c r="DH101" s="452">
        <f>_xlfn.XLOOKUP($A101,'Actuals Dep Summer'!$B:$B,'Actuals Dep Summer'!H:H,0,0)*'Actuals Dep Summer'!$F$2*'Actuals Dep Summer'!$C$3</f>
        <v>56.55</v>
      </c>
      <c r="DI101" s="452">
        <f>_xlfn.XLOOKUP($A101,'Actuals Dep Summer'!$B:$B,'Actuals Dep Summer'!I:I,0,0)*'Actuals Dep Summer'!$F$2*'Actuals Dep Summer'!$C$4</f>
        <v>156</v>
      </c>
      <c r="DJ101" s="452">
        <f>_xlfn.XLOOKUP($A101,'Actuals Summer'!$A:$A,'Actuals Summer'!P:P,0,0)</f>
        <v>975</v>
      </c>
      <c r="DK101" s="452">
        <f>_xlfn.XLOOKUP($A101,'Actuals Summer'!$A:$A,'Actuals Summer'!O:O,0,0)</f>
        <v>223.73684210526318</v>
      </c>
      <c r="DL101" s="452"/>
      <c r="DM101" s="452">
        <f>_xlfn.XLOOKUP($A101,'Actuals Summer'!$A:$A,'Actuals Summer'!M:M,0,0)</f>
        <v>0</v>
      </c>
      <c r="DN101" s="453">
        <f t="shared" ref="DN101:DN132" si="60">SUM(DC101:DM101)</f>
        <v>37001.906842105258</v>
      </c>
      <c r="DO101" s="453">
        <f>_xlfn.XLOOKUP(A101,'Actuals Summer'!A:A,'Actuals Summer'!S:S,0,0)-'Summer data team '!DN101</f>
        <v>0</v>
      </c>
      <c r="DP101" s="463">
        <f t="shared" ref="DP101:DP132" si="61">DB101-DN101</f>
        <v>325.64999999999418</v>
      </c>
    </row>
    <row r="102" spans="1:120" ht="13" x14ac:dyDescent="0.3">
      <c r="A102" s="364">
        <v>2180</v>
      </c>
      <c r="B102" s="364">
        <v>3302180</v>
      </c>
      <c r="C102" s="364" t="s">
        <v>308</v>
      </c>
      <c r="D102" s="506">
        <v>0</v>
      </c>
      <c r="E102" s="506">
        <v>0</v>
      </c>
      <c r="F102" s="506">
        <v>0</v>
      </c>
      <c r="G102" s="506">
        <v>41</v>
      </c>
      <c r="H102" s="506">
        <v>26</v>
      </c>
      <c r="I102" s="507">
        <v>0</v>
      </c>
      <c r="J102" s="507">
        <v>67</v>
      </c>
      <c r="K102" s="506">
        <v>2</v>
      </c>
      <c r="L102" s="506">
        <v>1</v>
      </c>
      <c r="M102" s="507">
        <v>3</v>
      </c>
      <c r="N102" s="506">
        <v>0</v>
      </c>
      <c r="O102" s="506">
        <v>0</v>
      </c>
      <c r="P102" s="506">
        <v>615</v>
      </c>
      <c r="Q102" s="506">
        <v>390</v>
      </c>
      <c r="R102" s="507">
        <v>1005</v>
      </c>
      <c r="S102" s="506">
        <v>0</v>
      </c>
      <c r="T102" s="506">
        <v>0</v>
      </c>
      <c r="U102" s="506">
        <v>30</v>
      </c>
      <c r="V102" s="506">
        <v>15</v>
      </c>
      <c r="W102" s="507">
        <v>45</v>
      </c>
      <c r="X102" s="506">
        <v>1</v>
      </c>
      <c r="Y102" s="506">
        <v>15</v>
      </c>
      <c r="Z102" s="508">
        <v>0</v>
      </c>
      <c r="AA102" s="506">
        <v>47</v>
      </c>
      <c r="AB102" s="506">
        <v>705</v>
      </c>
      <c r="AC102" s="508">
        <v>30</v>
      </c>
      <c r="AD102" s="506">
        <v>11</v>
      </c>
      <c r="AE102" s="506">
        <v>165</v>
      </c>
      <c r="AF102" s="508">
        <v>0</v>
      </c>
      <c r="AG102" s="509">
        <v>0</v>
      </c>
      <c r="AH102" s="509">
        <v>0</v>
      </c>
      <c r="AI102" s="508">
        <v>0</v>
      </c>
      <c r="AJ102" s="509">
        <v>28</v>
      </c>
      <c r="AK102" s="509">
        <v>420</v>
      </c>
      <c r="AL102" s="508">
        <v>15</v>
      </c>
      <c r="AM102" s="506">
        <v>28</v>
      </c>
      <c r="AN102" s="506">
        <v>420</v>
      </c>
      <c r="AO102" s="508">
        <v>15</v>
      </c>
      <c r="AP102" s="508"/>
      <c r="AQ102" s="508">
        <f t="shared" si="35"/>
        <v>28</v>
      </c>
      <c r="AR102" s="509">
        <v>0</v>
      </c>
      <c r="AS102" s="509">
        <v>0</v>
      </c>
      <c r="AT102" s="508">
        <v>0</v>
      </c>
      <c r="AU102" s="509">
        <v>28</v>
      </c>
      <c r="AV102" s="509">
        <v>420</v>
      </c>
      <c r="AW102" s="508">
        <v>15</v>
      </c>
      <c r="AX102" s="506">
        <v>28</v>
      </c>
      <c r="AY102" s="506">
        <v>420</v>
      </c>
      <c r="AZ102" s="508">
        <v>15</v>
      </c>
      <c r="BA102" s="508"/>
      <c r="BB102" s="508">
        <f t="shared" si="36"/>
        <v>56</v>
      </c>
      <c r="BC102" s="509">
        <v>0</v>
      </c>
      <c r="BD102" s="509">
        <v>0</v>
      </c>
      <c r="BE102" s="506">
        <v>0</v>
      </c>
      <c r="BF102" s="200"/>
      <c r="BG102" s="200"/>
      <c r="BH102" s="200"/>
      <c r="BI102" s="200"/>
      <c r="BJ102" s="200"/>
      <c r="BK102" s="200"/>
      <c r="BL102" s="200"/>
      <c r="BM102" s="505">
        <f t="shared" si="37"/>
        <v>0</v>
      </c>
      <c r="BN102" s="200">
        <f t="shared" si="38"/>
        <v>0</v>
      </c>
      <c r="BO102" s="200">
        <f t="shared" si="58"/>
        <v>0</v>
      </c>
      <c r="BP102" s="200">
        <f t="shared" si="39"/>
        <v>13065</v>
      </c>
      <c r="BQ102" s="200">
        <f t="shared" si="40"/>
        <v>585</v>
      </c>
      <c r="BR102" s="200">
        <f t="shared" si="41"/>
        <v>195</v>
      </c>
      <c r="BS102" s="200">
        <f t="shared" si="42"/>
        <v>9555</v>
      </c>
      <c r="BT102" s="200">
        <f t="shared" si="43"/>
        <v>2145</v>
      </c>
      <c r="BU102" s="200">
        <f t="shared" si="44"/>
        <v>5460</v>
      </c>
      <c r="BV102" s="200">
        <v>27</v>
      </c>
      <c r="BW102" s="200">
        <v>1</v>
      </c>
      <c r="BX102" s="200">
        <f t="shared" si="45"/>
        <v>0</v>
      </c>
      <c r="CB102" s="381">
        <f>_xlfn.IFNA(VLOOKUP(A102,'Actuals Summer'!$A:$AG,23,FALSE),0)</f>
        <v>13065.000000000002</v>
      </c>
      <c r="CC102" s="381">
        <f>_xlfn.IFNA(VLOOKUP(A102,'Actuals Summer'!$A:$AG,24,FALSE),0)</f>
        <v>585</v>
      </c>
      <c r="CD102" s="381">
        <f>_xlfn.IFNA(VLOOKUP(A102,'Actuals Summer'!$A:$AG,25,FALSE),0)</f>
        <v>0</v>
      </c>
      <c r="CE102" s="381">
        <f>_xlfn.IFNA(VLOOKUP(A102,'Actuals Summer'!$A:$AG,26,FALSE),0)</f>
        <v>0</v>
      </c>
      <c r="CF102" s="381">
        <f>_xlfn.IFNA(VLOOKUP(A102,'Actuals Summer'!$A:$AG,27,FALSE),0)</f>
        <v>0</v>
      </c>
      <c r="CG102" s="381">
        <f>_xlfn.IFNA(VLOOKUP(A102,'Actuals Dep Summer'!B:O,6,FALSE)*$BN$3,0)</f>
        <v>195</v>
      </c>
      <c r="CH102" s="381">
        <f>_xlfn.IFNA(VLOOKUP(A102,'Actuals Dep Summer'!B:O,7,FALSE)*$BN$3,0)</f>
        <v>9165</v>
      </c>
      <c r="CI102" s="381">
        <f>_xlfn.IFNA(VLOOKUP(A102,'Actuals Dep Summer'!B:O,8,FALSE)*$BN$3,0)</f>
        <v>2145</v>
      </c>
      <c r="CJ102" s="381">
        <f>_xlfn.IFNA(VLOOKUP(A102,'Actuals Summer'!$A:$AG,31,FALSE),0)*$BN$3</f>
        <v>363.7997432605905</v>
      </c>
      <c r="CK102" s="381"/>
      <c r="CL102" s="381">
        <f>_xlfn.IFNA(VLOOKUP(A102,'Actuals Summer'!$A:$AG,32,FALSE),0)*$BN$3</f>
        <v>70980</v>
      </c>
      <c r="CM102" s="381">
        <f>_xlfn.IFNA(VLOOKUP(A102,'Actuals Summer'!$A:$AG,33,FALSE),0)</f>
        <v>0</v>
      </c>
      <c r="CP102" s="458">
        <f t="shared" si="46"/>
        <v>0</v>
      </c>
      <c r="CQ102" s="458">
        <f t="shared" si="47"/>
        <v>0</v>
      </c>
      <c r="CR102" s="458">
        <f t="shared" si="59"/>
        <v>0</v>
      </c>
      <c r="CS102" s="458">
        <f t="shared" si="48"/>
        <v>73947.900000000009</v>
      </c>
      <c r="CT102" s="458">
        <f t="shared" si="49"/>
        <v>3311.1</v>
      </c>
      <c r="CU102" s="458">
        <f t="shared" si="50"/>
        <v>118.95</v>
      </c>
      <c r="CV102" s="458">
        <f t="shared" si="51"/>
        <v>2770.95</v>
      </c>
      <c r="CW102" s="458">
        <f t="shared" si="52"/>
        <v>171.6</v>
      </c>
      <c r="CX102" s="458">
        <f t="shared" si="53"/>
        <v>5460</v>
      </c>
      <c r="CY102" s="458">
        <f t="shared" si="54"/>
        <v>2013.6315789473683</v>
      </c>
      <c r="CZ102" s="458">
        <f t="shared" si="55"/>
        <v>186.44736842105263</v>
      </c>
      <c r="DA102" s="458">
        <f t="shared" si="56"/>
        <v>0</v>
      </c>
      <c r="DB102" s="458">
        <f t="shared" si="57"/>
        <v>87980.578947368442</v>
      </c>
      <c r="DC102" s="452">
        <f>_xlfn.XLOOKUP($A102,'Actuals Summer'!$A:$A,'Actuals Summer'!L:L,0,0)</f>
        <v>0</v>
      </c>
      <c r="DD102" s="452">
        <f>_xlfn.XLOOKUP($A102,'Actuals Summer'!$A:$A,'Actuals Summer'!K:K,0,0)+_xlfn.XLOOKUP($A102,'Actuals Summer'!$A:$A,'Actuals Summer'!Q:Q,0,0)</f>
        <v>0</v>
      </c>
      <c r="DE102" s="452">
        <f>_xlfn.XLOOKUP($A102,'Actuals Summer'!$A:$A,'Actuals Summer'!I:I,0,0)+_xlfn.XLOOKUP($A102,'Actuals Summer'!$A:$A,'Actuals Summer'!R:R,0,0)</f>
        <v>73947.900000000009</v>
      </c>
      <c r="DF102" s="452">
        <f>_xlfn.XLOOKUP($A102,'Actuals Summer'!$A:$A,'Actuals Summer'!J:J,0,0)</f>
        <v>3311.1</v>
      </c>
      <c r="DG102" s="452">
        <f>_xlfn.XLOOKUP($A102,'Actuals Dep Summer'!$B:$B,'Actuals Dep Summer'!G:G,0,0)*'Actuals Dep Summer'!$F$2*'Actuals Dep Summer'!$C$2</f>
        <v>118.95</v>
      </c>
      <c r="DH102" s="452">
        <f>_xlfn.XLOOKUP($A102,'Actuals Dep Summer'!$B:$B,'Actuals Dep Summer'!H:H,0,0)*'Actuals Dep Summer'!$F$2*'Actuals Dep Summer'!$C$3</f>
        <v>2657.85</v>
      </c>
      <c r="DI102" s="452">
        <f>_xlfn.XLOOKUP($A102,'Actuals Dep Summer'!$B:$B,'Actuals Dep Summer'!I:I,0,0)*'Actuals Dep Summer'!$F$2*'Actuals Dep Summer'!$C$4</f>
        <v>171.6</v>
      </c>
      <c r="DJ102" s="452">
        <f>_xlfn.XLOOKUP($A102,'Actuals Summer'!$A:$A,'Actuals Summer'!P:P,0,0)</f>
        <v>5460</v>
      </c>
      <c r="DK102" s="452">
        <f>_xlfn.XLOOKUP($A102,'Actuals Summer'!$A:$A,'Actuals Summer'!O:O,0,0)</f>
        <v>2088.2105263157896</v>
      </c>
      <c r="DL102" s="452"/>
      <c r="DM102" s="452">
        <f>_xlfn.XLOOKUP($A102,'Actuals Summer'!$A:$A,'Actuals Summer'!M:M,0,0)</f>
        <v>0</v>
      </c>
      <c r="DN102" s="453">
        <f t="shared" si="60"/>
        <v>87755.61052631581</v>
      </c>
      <c r="DO102" s="453">
        <f>_xlfn.XLOOKUP(A102,'Actuals Summer'!A:A,'Actuals Summer'!S:S,0,0)-'Summer data team '!DN102</f>
        <v>0</v>
      </c>
      <c r="DP102" s="463">
        <f t="shared" si="61"/>
        <v>224.96842105263204</v>
      </c>
    </row>
    <row r="103" spans="1:120" ht="13" x14ac:dyDescent="0.3">
      <c r="A103" s="364">
        <v>2181</v>
      </c>
      <c r="B103" s="364">
        <v>3302181</v>
      </c>
      <c r="C103" s="364" t="s">
        <v>309</v>
      </c>
      <c r="D103" s="506">
        <v>0</v>
      </c>
      <c r="E103" s="506">
        <v>0</v>
      </c>
      <c r="F103" s="506">
        <v>0</v>
      </c>
      <c r="G103" s="506">
        <v>13</v>
      </c>
      <c r="H103" s="506">
        <v>10</v>
      </c>
      <c r="I103" s="507">
        <v>0</v>
      </c>
      <c r="J103" s="507">
        <v>23</v>
      </c>
      <c r="K103" s="506">
        <v>0</v>
      </c>
      <c r="L103" s="506">
        <v>0</v>
      </c>
      <c r="M103" s="507">
        <v>0</v>
      </c>
      <c r="N103" s="506">
        <v>0</v>
      </c>
      <c r="O103" s="506">
        <v>0</v>
      </c>
      <c r="P103" s="506">
        <v>195</v>
      </c>
      <c r="Q103" s="506">
        <v>150</v>
      </c>
      <c r="R103" s="507">
        <v>345</v>
      </c>
      <c r="S103" s="506">
        <v>0</v>
      </c>
      <c r="T103" s="506">
        <v>0</v>
      </c>
      <c r="U103" s="506">
        <v>0</v>
      </c>
      <c r="V103" s="506">
        <v>0</v>
      </c>
      <c r="W103" s="507">
        <v>0</v>
      </c>
      <c r="X103" s="506">
        <v>0</v>
      </c>
      <c r="Y103" s="506">
        <v>0</v>
      </c>
      <c r="Z103" s="508">
        <v>0</v>
      </c>
      <c r="AA103" s="506">
        <v>0</v>
      </c>
      <c r="AB103" s="506">
        <v>0</v>
      </c>
      <c r="AC103" s="508">
        <v>0</v>
      </c>
      <c r="AD103" s="506">
        <v>13</v>
      </c>
      <c r="AE103" s="506">
        <v>195</v>
      </c>
      <c r="AF103" s="508">
        <v>0</v>
      </c>
      <c r="AG103" s="509">
        <v>0</v>
      </c>
      <c r="AH103" s="509">
        <v>0</v>
      </c>
      <c r="AI103" s="508">
        <v>0</v>
      </c>
      <c r="AJ103" s="509">
        <v>0</v>
      </c>
      <c r="AK103" s="509">
        <v>0</v>
      </c>
      <c r="AL103" s="508">
        <v>0</v>
      </c>
      <c r="AM103" s="506">
        <v>0</v>
      </c>
      <c r="AN103" s="506">
        <v>0</v>
      </c>
      <c r="AO103" s="508">
        <v>0</v>
      </c>
      <c r="AP103" s="508"/>
      <c r="AQ103" s="508">
        <f t="shared" si="35"/>
        <v>0</v>
      </c>
      <c r="AR103" s="509">
        <v>0</v>
      </c>
      <c r="AS103" s="509">
        <v>0</v>
      </c>
      <c r="AT103" s="508">
        <v>0</v>
      </c>
      <c r="AU103" s="509">
        <v>0</v>
      </c>
      <c r="AV103" s="509">
        <v>0</v>
      </c>
      <c r="AW103" s="508">
        <v>0</v>
      </c>
      <c r="AX103" s="506">
        <v>0</v>
      </c>
      <c r="AY103" s="506">
        <v>0</v>
      </c>
      <c r="AZ103" s="508">
        <v>0</v>
      </c>
      <c r="BA103" s="508"/>
      <c r="BB103" s="508">
        <f t="shared" si="36"/>
        <v>0</v>
      </c>
      <c r="BC103" s="509">
        <v>0</v>
      </c>
      <c r="BD103" s="509">
        <v>0</v>
      </c>
      <c r="BE103" s="506">
        <v>0</v>
      </c>
      <c r="BF103" s="200"/>
      <c r="BG103" s="200"/>
      <c r="BH103" s="200"/>
      <c r="BI103" s="200"/>
      <c r="BJ103" s="200"/>
      <c r="BK103" s="200"/>
      <c r="BL103" s="200"/>
      <c r="BM103" s="505">
        <f t="shared" si="37"/>
        <v>0</v>
      </c>
      <c r="BN103" s="200">
        <f t="shared" si="38"/>
        <v>0</v>
      </c>
      <c r="BO103" s="200">
        <f t="shared" si="58"/>
        <v>0</v>
      </c>
      <c r="BP103" s="200">
        <f t="shared" si="39"/>
        <v>4485</v>
      </c>
      <c r="BQ103" s="200">
        <f t="shared" si="40"/>
        <v>0</v>
      </c>
      <c r="BR103" s="200">
        <f t="shared" si="41"/>
        <v>0</v>
      </c>
      <c r="BS103" s="200">
        <f t="shared" si="42"/>
        <v>0</v>
      </c>
      <c r="BT103" s="200">
        <f t="shared" si="43"/>
        <v>2535</v>
      </c>
      <c r="BU103" s="200">
        <f t="shared" si="44"/>
        <v>0</v>
      </c>
      <c r="BV103" s="200">
        <v>0</v>
      </c>
      <c r="BW103" s="200">
        <v>0</v>
      </c>
      <c r="BX103" s="200">
        <f t="shared" si="45"/>
        <v>0</v>
      </c>
      <c r="CB103" s="381">
        <f>_xlfn.IFNA(VLOOKUP(A103,'Actuals Summer'!$A:$AG,23,FALSE),0)</f>
        <v>4485</v>
      </c>
      <c r="CC103" s="381">
        <f>_xlfn.IFNA(VLOOKUP(A103,'Actuals Summer'!$A:$AG,24,FALSE),0)</f>
        <v>0</v>
      </c>
      <c r="CD103" s="381">
        <f>_xlfn.IFNA(VLOOKUP(A103,'Actuals Summer'!$A:$AG,25,FALSE),0)</f>
        <v>0</v>
      </c>
      <c r="CE103" s="381">
        <f>_xlfn.IFNA(VLOOKUP(A103,'Actuals Summer'!$A:$AG,26,FALSE),0)</f>
        <v>0</v>
      </c>
      <c r="CF103" s="381">
        <f>_xlfn.IFNA(VLOOKUP(A103,'Actuals Summer'!$A:$AG,27,FALSE),0)</f>
        <v>0</v>
      </c>
      <c r="CG103" s="381">
        <f>_xlfn.IFNA(VLOOKUP(A103,'Actuals Dep Summer'!B:O,6,FALSE)*$BN$3,0)</f>
        <v>0</v>
      </c>
      <c r="CH103" s="381">
        <f>_xlfn.IFNA(VLOOKUP(A103,'Actuals Dep Summer'!B:O,7,FALSE)*$BN$3,0)</f>
        <v>0</v>
      </c>
      <c r="CI103" s="381">
        <f>_xlfn.IFNA(VLOOKUP(A103,'Actuals Dep Summer'!B:O,8,FALSE)*$BN$3,0)</f>
        <v>2535</v>
      </c>
      <c r="CJ103" s="381">
        <f>_xlfn.IFNA(VLOOKUP(A103,'Actuals Summer'!$A:$AG,31,FALSE),0)*$BN$3</f>
        <v>0</v>
      </c>
      <c r="CK103" s="381"/>
      <c r="CL103" s="381">
        <f>_xlfn.IFNA(VLOOKUP(A103,'Actuals Summer'!$A:$AG,32,FALSE),0)*$BN$3</f>
        <v>0</v>
      </c>
      <c r="CM103" s="381">
        <f>_xlfn.IFNA(VLOOKUP(A103,'Actuals Summer'!$A:$AG,33,FALSE),0)</f>
        <v>0</v>
      </c>
      <c r="CP103" s="458">
        <f t="shared" si="46"/>
        <v>0</v>
      </c>
      <c r="CQ103" s="458">
        <f t="shared" si="47"/>
        <v>0</v>
      </c>
      <c r="CR103" s="458">
        <f t="shared" si="59"/>
        <v>0</v>
      </c>
      <c r="CS103" s="458">
        <f t="shared" si="48"/>
        <v>25385.100000000002</v>
      </c>
      <c r="CT103" s="458">
        <f t="shared" si="49"/>
        <v>0</v>
      </c>
      <c r="CU103" s="458">
        <f t="shared" si="50"/>
        <v>0</v>
      </c>
      <c r="CV103" s="458">
        <f t="shared" si="51"/>
        <v>0</v>
      </c>
      <c r="CW103" s="458">
        <f t="shared" si="52"/>
        <v>202.8</v>
      </c>
      <c r="CX103" s="458">
        <f t="shared" si="53"/>
        <v>0</v>
      </c>
      <c r="CY103" s="458">
        <f t="shared" si="54"/>
        <v>0</v>
      </c>
      <c r="CZ103" s="458">
        <f t="shared" si="55"/>
        <v>0</v>
      </c>
      <c r="DA103" s="458">
        <f t="shared" si="56"/>
        <v>0</v>
      </c>
      <c r="DB103" s="458">
        <f t="shared" si="57"/>
        <v>25587.9</v>
      </c>
      <c r="DC103" s="452">
        <f>_xlfn.XLOOKUP($A103,'Actuals Summer'!$A:$A,'Actuals Summer'!L:L,0,0)</f>
        <v>0</v>
      </c>
      <c r="DD103" s="452">
        <f>_xlfn.XLOOKUP($A103,'Actuals Summer'!$A:$A,'Actuals Summer'!K:K,0,0)+_xlfn.XLOOKUP($A103,'Actuals Summer'!$A:$A,'Actuals Summer'!Q:Q,0,0)</f>
        <v>0</v>
      </c>
      <c r="DE103" s="452">
        <f>_xlfn.XLOOKUP($A103,'Actuals Summer'!$A:$A,'Actuals Summer'!I:I,0,0)+_xlfn.XLOOKUP($A103,'Actuals Summer'!$A:$A,'Actuals Summer'!R:R,0,0)</f>
        <v>25385.100000000002</v>
      </c>
      <c r="DF103" s="452">
        <f>_xlfn.XLOOKUP($A103,'Actuals Summer'!$A:$A,'Actuals Summer'!J:J,0,0)</f>
        <v>0</v>
      </c>
      <c r="DG103" s="452">
        <f>_xlfn.XLOOKUP($A103,'Actuals Dep Summer'!$B:$B,'Actuals Dep Summer'!G:G,0,0)*'Actuals Dep Summer'!$F$2*'Actuals Dep Summer'!$C$2</f>
        <v>0</v>
      </c>
      <c r="DH103" s="452">
        <f>_xlfn.XLOOKUP($A103,'Actuals Dep Summer'!$B:$B,'Actuals Dep Summer'!H:H,0,0)*'Actuals Dep Summer'!$F$2*'Actuals Dep Summer'!$C$3</f>
        <v>0</v>
      </c>
      <c r="DI103" s="452">
        <f>_xlfn.XLOOKUP($A103,'Actuals Dep Summer'!$B:$B,'Actuals Dep Summer'!I:I,0,0)*'Actuals Dep Summer'!$F$2*'Actuals Dep Summer'!$C$4</f>
        <v>202.8</v>
      </c>
      <c r="DJ103" s="452">
        <f>_xlfn.XLOOKUP($A103,'Actuals Summer'!$A:$A,'Actuals Summer'!P:P,0,0)</f>
        <v>0</v>
      </c>
      <c r="DK103" s="452">
        <f>_xlfn.XLOOKUP($A103,'Actuals Summer'!$A:$A,'Actuals Summer'!O:O,0,0)</f>
        <v>0</v>
      </c>
      <c r="DL103" s="452"/>
      <c r="DM103" s="452">
        <f>_xlfn.XLOOKUP($A103,'Actuals Summer'!$A:$A,'Actuals Summer'!M:M,0,0)</f>
        <v>0</v>
      </c>
      <c r="DN103" s="453">
        <f t="shared" si="60"/>
        <v>25587.9</v>
      </c>
      <c r="DO103" s="453">
        <f>_xlfn.XLOOKUP(A103,'Actuals Summer'!A:A,'Actuals Summer'!S:S,0,0)-'Summer data team '!DN103</f>
        <v>0</v>
      </c>
      <c r="DP103" s="463">
        <f t="shared" si="61"/>
        <v>0</v>
      </c>
    </row>
    <row r="104" spans="1:120" ht="13" x14ac:dyDescent="0.3">
      <c r="A104" s="364">
        <v>2185</v>
      </c>
      <c r="B104" s="364">
        <v>3302185</v>
      </c>
      <c r="C104" s="364" t="s">
        <v>65</v>
      </c>
      <c r="D104" s="506">
        <v>0</v>
      </c>
      <c r="E104" s="506">
        <v>0</v>
      </c>
      <c r="F104" s="506">
        <v>0</v>
      </c>
      <c r="G104" s="506">
        <v>13</v>
      </c>
      <c r="H104" s="506">
        <v>18</v>
      </c>
      <c r="I104" s="507">
        <v>0</v>
      </c>
      <c r="J104" s="507">
        <v>31</v>
      </c>
      <c r="K104" s="506">
        <v>4</v>
      </c>
      <c r="L104" s="506">
        <v>7</v>
      </c>
      <c r="M104" s="507">
        <v>11</v>
      </c>
      <c r="N104" s="506">
        <v>0</v>
      </c>
      <c r="O104" s="506">
        <v>0</v>
      </c>
      <c r="P104" s="506">
        <v>195</v>
      </c>
      <c r="Q104" s="506">
        <v>270</v>
      </c>
      <c r="R104" s="507">
        <v>465</v>
      </c>
      <c r="S104" s="506">
        <v>0</v>
      </c>
      <c r="T104" s="506">
        <v>0</v>
      </c>
      <c r="U104" s="506">
        <v>60</v>
      </c>
      <c r="V104" s="506">
        <v>105</v>
      </c>
      <c r="W104" s="507">
        <v>165</v>
      </c>
      <c r="X104" s="506">
        <v>0</v>
      </c>
      <c r="Y104" s="506">
        <v>0</v>
      </c>
      <c r="Z104" s="508">
        <v>0</v>
      </c>
      <c r="AA104" s="506">
        <v>1</v>
      </c>
      <c r="AB104" s="506">
        <v>15</v>
      </c>
      <c r="AC104" s="508">
        <v>0</v>
      </c>
      <c r="AD104" s="506">
        <v>1</v>
      </c>
      <c r="AE104" s="506">
        <v>15</v>
      </c>
      <c r="AF104" s="508">
        <v>0</v>
      </c>
      <c r="AG104" s="509">
        <v>0</v>
      </c>
      <c r="AH104" s="509">
        <v>0</v>
      </c>
      <c r="AI104" s="508">
        <v>0</v>
      </c>
      <c r="AJ104" s="509">
        <v>10</v>
      </c>
      <c r="AK104" s="509">
        <v>150</v>
      </c>
      <c r="AL104" s="508">
        <v>30</v>
      </c>
      <c r="AM104" s="506">
        <v>10</v>
      </c>
      <c r="AN104" s="506">
        <v>150</v>
      </c>
      <c r="AO104" s="508">
        <v>30</v>
      </c>
      <c r="AP104" s="508"/>
      <c r="AQ104" s="508">
        <f t="shared" si="35"/>
        <v>10</v>
      </c>
      <c r="AR104" s="509">
        <v>0</v>
      </c>
      <c r="AS104" s="509">
        <v>0</v>
      </c>
      <c r="AT104" s="508">
        <v>0</v>
      </c>
      <c r="AU104" s="509">
        <v>1</v>
      </c>
      <c r="AV104" s="509">
        <v>15</v>
      </c>
      <c r="AW104" s="508">
        <v>15</v>
      </c>
      <c r="AX104" s="506">
        <v>1</v>
      </c>
      <c r="AY104" s="506">
        <v>15</v>
      </c>
      <c r="AZ104" s="508">
        <v>15</v>
      </c>
      <c r="BA104" s="508"/>
      <c r="BB104" s="508">
        <f t="shared" si="36"/>
        <v>2</v>
      </c>
      <c r="BC104" s="509">
        <v>0</v>
      </c>
      <c r="BD104" s="509">
        <v>0</v>
      </c>
      <c r="BE104" s="506">
        <v>0</v>
      </c>
      <c r="BF104" s="200"/>
      <c r="BG104" s="200"/>
      <c r="BH104" s="200"/>
      <c r="BI104" s="200"/>
      <c r="BJ104" s="200"/>
      <c r="BK104" s="200"/>
      <c r="BL104" s="200"/>
      <c r="BM104" s="505">
        <f t="shared" si="37"/>
        <v>0</v>
      </c>
      <c r="BN104" s="200">
        <f t="shared" si="38"/>
        <v>0</v>
      </c>
      <c r="BO104" s="200">
        <f t="shared" si="58"/>
        <v>0</v>
      </c>
      <c r="BP104" s="200">
        <f t="shared" si="39"/>
        <v>6045</v>
      </c>
      <c r="BQ104" s="200">
        <f t="shared" si="40"/>
        <v>2145</v>
      </c>
      <c r="BR104" s="200">
        <f t="shared" si="41"/>
        <v>0</v>
      </c>
      <c r="BS104" s="200">
        <f t="shared" si="42"/>
        <v>195</v>
      </c>
      <c r="BT104" s="200">
        <f t="shared" si="43"/>
        <v>195</v>
      </c>
      <c r="BU104" s="200">
        <f t="shared" si="44"/>
        <v>1950</v>
      </c>
      <c r="BV104" s="200">
        <v>0</v>
      </c>
      <c r="BW104" s="200">
        <v>1</v>
      </c>
      <c r="BX104" s="200">
        <f t="shared" si="45"/>
        <v>0</v>
      </c>
      <c r="CB104" s="381">
        <f>_xlfn.IFNA(VLOOKUP(A104,'Actuals Summer'!$A:$AG,23,FALSE),0)</f>
        <v>6045.0000000000009</v>
      </c>
      <c r="CC104" s="381">
        <f>_xlfn.IFNA(VLOOKUP(A104,'Actuals Summer'!$A:$AG,24,FALSE),0)</f>
        <v>2145</v>
      </c>
      <c r="CD104" s="381">
        <f>_xlfn.IFNA(VLOOKUP(A104,'Actuals Summer'!$A:$AG,25,FALSE),0)</f>
        <v>0</v>
      </c>
      <c r="CE104" s="381">
        <f>_xlfn.IFNA(VLOOKUP(A104,'Actuals Summer'!$A:$AG,26,FALSE),0)</f>
        <v>0</v>
      </c>
      <c r="CF104" s="381">
        <f>_xlfn.IFNA(VLOOKUP(A104,'Actuals Summer'!$A:$AG,27,FALSE),0)</f>
        <v>0</v>
      </c>
      <c r="CG104" s="381">
        <f>_xlfn.IFNA(VLOOKUP(A104,'Actuals Dep Summer'!B:O,6,FALSE)*$BN$3,0)</f>
        <v>0</v>
      </c>
      <c r="CH104" s="381">
        <f>_xlfn.IFNA(VLOOKUP(A104,'Actuals Dep Summer'!B:O,7,FALSE)*$BN$3,0)</f>
        <v>195</v>
      </c>
      <c r="CI104" s="381">
        <f>_xlfn.IFNA(VLOOKUP(A104,'Actuals Dep Summer'!B:O,8,FALSE)*$BN$3,0)</f>
        <v>195</v>
      </c>
      <c r="CJ104" s="381">
        <f>_xlfn.IFNA(VLOOKUP(A104,'Actuals Summer'!$A:$AG,31,FALSE),0)*$BN$3</f>
        <v>12.992847973592518</v>
      </c>
      <c r="CK104" s="381"/>
      <c r="CL104" s="381">
        <f>_xlfn.IFNA(VLOOKUP(A104,'Actuals Summer'!$A:$AG,32,FALSE),0)*$BN$3</f>
        <v>25350</v>
      </c>
      <c r="CM104" s="381">
        <f>_xlfn.IFNA(VLOOKUP(A104,'Actuals Summer'!$A:$AG,33,FALSE),0)</f>
        <v>0</v>
      </c>
      <c r="CP104" s="458">
        <f t="shared" si="46"/>
        <v>0</v>
      </c>
      <c r="CQ104" s="458">
        <f t="shared" si="47"/>
        <v>0</v>
      </c>
      <c r="CR104" s="458">
        <f t="shared" si="59"/>
        <v>0</v>
      </c>
      <c r="CS104" s="458">
        <f t="shared" si="48"/>
        <v>34214.700000000004</v>
      </c>
      <c r="CT104" s="458">
        <f t="shared" si="49"/>
        <v>12140.7</v>
      </c>
      <c r="CU104" s="458">
        <f t="shared" si="50"/>
        <v>0</v>
      </c>
      <c r="CV104" s="458">
        <f t="shared" si="51"/>
        <v>56.55</v>
      </c>
      <c r="CW104" s="458">
        <f t="shared" si="52"/>
        <v>15.6</v>
      </c>
      <c r="CX104" s="458">
        <f t="shared" si="53"/>
        <v>1950</v>
      </c>
      <c r="CY104" s="458">
        <f t="shared" si="54"/>
        <v>0</v>
      </c>
      <c r="CZ104" s="458">
        <f t="shared" si="55"/>
        <v>186.44736842105263</v>
      </c>
      <c r="DA104" s="458">
        <f t="shared" si="56"/>
        <v>0</v>
      </c>
      <c r="DB104" s="458">
        <f t="shared" si="57"/>
        <v>48563.997368421064</v>
      </c>
      <c r="DC104" s="452">
        <f>_xlfn.XLOOKUP($A104,'Actuals Summer'!$A:$A,'Actuals Summer'!L:L,0,0)</f>
        <v>0</v>
      </c>
      <c r="DD104" s="452">
        <f>_xlfn.XLOOKUP($A104,'Actuals Summer'!$A:$A,'Actuals Summer'!K:K,0,0)+_xlfn.XLOOKUP($A104,'Actuals Summer'!$A:$A,'Actuals Summer'!Q:Q,0,0)</f>
        <v>0</v>
      </c>
      <c r="DE104" s="452">
        <f>_xlfn.XLOOKUP($A104,'Actuals Summer'!$A:$A,'Actuals Summer'!I:I,0,0)+_xlfn.XLOOKUP($A104,'Actuals Summer'!$A:$A,'Actuals Summer'!R:R,0,0)</f>
        <v>34214.700000000004</v>
      </c>
      <c r="DF104" s="452">
        <f>_xlfn.XLOOKUP($A104,'Actuals Summer'!$A:$A,'Actuals Summer'!J:J,0,0)</f>
        <v>12140.7</v>
      </c>
      <c r="DG104" s="452">
        <f>_xlfn.XLOOKUP($A104,'Actuals Dep Summer'!$B:$B,'Actuals Dep Summer'!G:G,0,0)*'Actuals Dep Summer'!$F$2*'Actuals Dep Summer'!$C$2</f>
        <v>0</v>
      </c>
      <c r="DH104" s="452">
        <f>_xlfn.XLOOKUP($A104,'Actuals Dep Summer'!$B:$B,'Actuals Dep Summer'!H:H,0,0)*'Actuals Dep Summer'!$F$2*'Actuals Dep Summer'!$C$3</f>
        <v>56.55</v>
      </c>
      <c r="DI104" s="452">
        <f>_xlfn.XLOOKUP($A104,'Actuals Dep Summer'!$B:$B,'Actuals Dep Summer'!I:I,0,0)*'Actuals Dep Summer'!$F$2*'Actuals Dep Summer'!$C$4</f>
        <v>15.6</v>
      </c>
      <c r="DJ104" s="452">
        <f>_xlfn.XLOOKUP($A104,'Actuals Summer'!$A:$A,'Actuals Summer'!P:P,0,0)</f>
        <v>1950</v>
      </c>
      <c r="DK104" s="452">
        <f>_xlfn.XLOOKUP($A104,'Actuals Summer'!$A:$A,'Actuals Summer'!O:O,0,0)</f>
        <v>74.578947368421055</v>
      </c>
      <c r="DL104" s="452"/>
      <c r="DM104" s="452">
        <f>_xlfn.XLOOKUP($A104,'Actuals Summer'!$A:$A,'Actuals Summer'!M:M,0,0)</f>
        <v>0</v>
      </c>
      <c r="DN104" s="453">
        <f t="shared" si="60"/>
        <v>48452.12894736843</v>
      </c>
      <c r="DO104" s="453">
        <f>_xlfn.XLOOKUP(A104,'Actuals Summer'!A:A,'Actuals Summer'!S:S,0,0)-'Summer data team '!DN104</f>
        <v>0</v>
      </c>
      <c r="DP104" s="463">
        <f t="shared" si="61"/>
        <v>111.86842105263349</v>
      </c>
    </row>
    <row r="105" spans="1:120" ht="13" x14ac:dyDescent="0.3">
      <c r="A105" s="364">
        <v>2186</v>
      </c>
      <c r="B105" s="364">
        <v>3302186</v>
      </c>
      <c r="C105" s="364" t="s">
        <v>310</v>
      </c>
      <c r="D105" s="506">
        <v>0</v>
      </c>
      <c r="E105" s="506">
        <v>0</v>
      </c>
      <c r="F105" s="506">
        <v>0</v>
      </c>
      <c r="G105" s="506">
        <v>35</v>
      </c>
      <c r="H105" s="506">
        <v>24</v>
      </c>
      <c r="I105" s="507">
        <v>0</v>
      </c>
      <c r="J105" s="507">
        <v>59</v>
      </c>
      <c r="K105" s="506">
        <v>5</v>
      </c>
      <c r="L105" s="506">
        <v>4</v>
      </c>
      <c r="M105" s="507">
        <v>9</v>
      </c>
      <c r="N105" s="506">
        <v>0</v>
      </c>
      <c r="O105" s="506">
        <v>0</v>
      </c>
      <c r="P105" s="506">
        <v>525</v>
      </c>
      <c r="Q105" s="506">
        <v>360</v>
      </c>
      <c r="R105" s="507">
        <v>885</v>
      </c>
      <c r="S105" s="506">
        <v>0</v>
      </c>
      <c r="T105" s="506">
        <v>0</v>
      </c>
      <c r="U105" s="506">
        <v>75</v>
      </c>
      <c r="V105" s="506">
        <v>60</v>
      </c>
      <c r="W105" s="507">
        <v>135</v>
      </c>
      <c r="X105" s="506">
        <v>0</v>
      </c>
      <c r="Y105" s="506">
        <v>0</v>
      </c>
      <c r="Z105" s="508">
        <v>0</v>
      </c>
      <c r="AA105" s="506">
        <v>11</v>
      </c>
      <c r="AB105" s="506">
        <v>165</v>
      </c>
      <c r="AC105" s="508">
        <v>30</v>
      </c>
      <c r="AD105" s="506">
        <v>31</v>
      </c>
      <c r="AE105" s="506">
        <v>465</v>
      </c>
      <c r="AF105" s="508">
        <v>60</v>
      </c>
      <c r="AG105" s="509">
        <v>0</v>
      </c>
      <c r="AH105" s="509">
        <v>0</v>
      </c>
      <c r="AI105" s="508">
        <v>0</v>
      </c>
      <c r="AJ105" s="509">
        <v>25</v>
      </c>
      <c r="AK105" s="509">
        <v>375</v>
      </c>
      <c r="AL105" s="508">
        <v>60</v>
      </c>
      <c r="AM105" s="506">
        <v>25</v>
      </c>
      <c r="AN105" s="506">
        <v>375</v>
      </c>
      <c r="AO105" s="508">
        <v>60</v>
      </c>
      <c r="AP105" s="508"/>
      <c r="AQ105" s="508">
        <f t="shared" si="35"/>
        <v>25</v>
      </c>
      <c r="AR105" s="509">
        <v>0</v>
      </c>
      <c r="AS105" s="509">
        <v>0</v>
      </c>
      <c r="AT105" s="508">
        <v>0</v>
      </c>
      <c r="AU105" s="509">
        <v>24</v>
      </c>
      <c r="AV105" s="509">
        <v>360</v>
      </c>
      <c r="AW105" s="508">
        <v>45</v>
      </c>
      <c r="AX105" s="506">
        <v>24</v>
      </c>
      <c r="AY105" s="506">
        <v>360</v>
      </c>
      <c r="AZ105" s="508">
        <v>45</v>
      </c>
      <c r="BA105" s="508"/>
      <c r="BB105" s="508">
        <f t="shared" si="36"/>
        <v>48</v>
      </c>
      <c r="BC105" s="509">
        <v>0</v>
      </c>
      <c r="BD105" s="509">
        <v>0</v>
      </c>
      <c r="BE105" s="506">
        <v>0</v>
      </c>
      <c r="BF105" s="200"/>
      <c r="BG105" s="200"/>
      <c r="BH105" s="200"/>
      <c r="BI105" s="200"/>
      <c r="BJ105" s="200"/>
      <c r="BK105" s="200"/>
      <c r="BL105" s="200"/>
      <c r="BM105" s="505">
        <f t="shared" si="37"/>
        <v>0</v>
      </c>
      <c r="BN105" s="200">
        <f t="shared" si="38"/>
        <v>0</v>
      </c>
      <c r="BO105" s="200">
        <f t="shared" si="58"/>
        <v>0</v>
      </c>
      <c r="BP105" s="200">
        <f t="shared" si="39"/>
        <v>11505</v>
      </c>
      <c r="BQ105" s="200">
        <f t="shared" si="40"/>
        <v>1755</v>
      </c>
      <c r="BR105" s="200">
        <f t="shared" si="41"/>
        <v>0</v>
      </c>
      <c r="BS105" s="200">
        <f t="shared" si="42"/>
        <v>2535</v>
      </c>
      <c r="BT105" s="200">
        <f t="shared" si="43"/>
        <v>6825</v>
      </c>
      <c r="BU105" s="200">
        <f t="shared" si="44"/>
        <v>4875</v>
      </c>
      <c r="BV105" s="200">
        <v>21</v>
      </c>
      <c r="BW105" s="200">
        <v>3</v>
      </c>
      <c r="BX105" s="200">
        <f t="shared" si="45"/>
        <v>0</v>
      </c>
      <c r="CB105" s="381">
        <f>_xlfn.IFNA(VLOOKUP(A105,'Actuals Summer'!$A:$AG,23,FALSE),0)</f>
        <v>11505</v>
      </c>
      <c r="CC105" s="381">
        <f>_xlfn.IFNA(VLOOKUP(A105,'Actuals Summer'!$A:$AG,24,FALSE),0)</f>
        <v>1755.0000000000002</v>
      </c>
      <c r="CD105" s="381">
        <f>_xlfn.IFNA(VLOOKUP(A105,'Actuals Summer'!$A:$AG,25,FALSE),0)</f>
        <v>0</v>
      </c>
      <c r="CE105" s="381">
        <f>_xlfn.IFNA(VLOOKUP(A105,'Actuals Summer'!$A:$AG,26,FALSE),0)</f>
        <v>0</v>
      </c>
      <c r="CF105" s="381">
        <f>_xlfn.IFNA(VLOOKUP(A105,'Actuals Summer'!$A:$AG,27,FALSE),0)</f>
        <v>0</v>
      </c>
      <c r="CG105" s="381">
        <f>_xlfn.IFNA(VLOOKUP(A105,'Actuals Dep Summer'!B:O,6,FALSE)*$BN$3,0)</f>
        <v>0</v>
      </c>
      <c r="CH105" s="381">
        <f>_xlfn.IFNA(VLOOKUP(A105,'Actuals Dep Summer'!B:O,7,FALSE)*$BN$3,0)</f>
        <v>2145</v>
      </c>
      <c r="CI105" s="381">
        <f>_xlfn.IFNA(VLOOKUP(A105,'Actuals Dep Summer'!B:O,8,FALSE)*$BN$3,0)</f>
        <v>6045</v>
      </c>
      <c r="CJ105" s="381">
        <f>_xlfn.IFNA(VLOOKUP(A105,'Actuals Summer'!$A:$AG,31,FALSE),0)*$BN$3</f>
        <v>311.82835136622049</v>
      </c>
      <c r="CK105" s="381"/>
      <c r="CL105" s="381">
        <f>_xlfn.IFNA(VLOOKUP(A105,'Actuals Summer'!$A:$AG,32,FALSE),0)*$BN$3</f>
        <v>63375</v>
      </c>
      <c r="CM105" s="381">
        <f>_xlfn.IFNA(VLOOKUP(A105,'Actuals Summer'!$A:$AG,33,FALSE),0)</f>
        <v>0</v>
      </c>
      <c r="CP105" s="458">
        <f t="shared" si="46"/>
        <v>0</v>
      </c>
      <c r="CQ105" s="458">
        <f t="shared" si="47"/>
        <v>0</v>
      </c>
      <c r="CR105" s="458">
        <f t="shared" si="59"/>
        <v>0</v>
      </c>
      <c r="CS105" s="458">
        <f t="shared" si="48"/>
        <v>65118.3</v>
      </c>
      <c r="CT105" s="458">
        <f t="shared" si="49"/>
        <v>9933.3000000000011</v>
      </c>
      <c r="CU105" s="458">
        <f t="shared" si="50"/>
        <v>0</v>
      </c>
      <c r="CV105" s="458">
        <f t="shared" si="51"/>
        <v>735.15</v>
      </c>
      <c r="CW105" s="458">
        <f t="shared" si="52"/>
        <v>546</v>
      </c>
      <c r="CX105" s="458">
        <f t="shared" si="53"/>
        <v>4875</v>
      </c>
      <c r="CY105" s="458">
        <f t="shared" si="54"/>
        <v>1566.1578947368419</v>
      </c>
      <c r="CZ105" s="458">
        <f t="shared" si="55"/>
        <v>559.34210526315792</v>
      </c>
      <c r="DA105" s="458">
        <f t="shared" si="56"/>
        <v>0</v>
      </c>
      <c r="DB105" s="458">
        <f t="shared" si="57"/>
        <v>83333.25</v>
      </c>
      <c r="DC105" s="452">
        <f>_xlfn.XLOOKUP($A105,'Actuals Summer'!$A:$A,'Actuals Summer'!L:L,0,0)</f>
        <v>0</v>
      </c>
      <c r="DD105" s="452">
        <f>_xlfn.XLOOKUP($A105,'Actuals Summer'!$A:$A,'Actuals Summer'!K:K,0,0)+_xlfn.XLOOKUP($A105,'Actuals Summer'!$A:$A,'Actuals Summer'!Q:Q,0,0)</f>
        <v>0</v>
      </c>
      <c r="DE105" s="452">
        <f>_xlfn.XLOOKUP($A105,'Actuals Summer'!$A:$A,'Actuals Summer'!I:I,0,0)+_xlfn.XLOOKUP($A105,'Actuals Summer'!$A:$A,'Actuals Summer'!R:R,0,0)</f>
        <v>65118.3</v>
      </c>
      <c r="DF105" s="452">
        <f>_xlfn.XLOOKUP($A105,'Actuals Summer'!$A:$A,'Actuals Summer'!J:J,0,0)</f>
        <v>9933.3000000000011</v>
      </c>
      <c r="DG105" s="452">
        <f>_xlfn.XLOOKUP($A105,'Actuals Dep Summer'!$B:$B,'Actuals Dep Summer'!G:G,0,0)*'Actuals Dep Summer'!$F$2*'Actuals Dep Summer'!$C$2</f>
        <v>0</v>
      </c>
      <c r="DH105" s="452">
        <f>_xlfn.XLOOKUP($A105,'Actuals Dep Summer'!$B:$B,'Actuals Dep Summer'!H:H,0,0)*'Actuals Dep Summer'!$F$2*'Actuals Dep Summer'!$C$3</f>
        <v>622.04999999999995</v>
      </c>
      <c r="DI105" s="452">
        <f>_xlfn.XLOOKUP($A105,'Actuals Dep Summer'!$B:$B,'Actuals Dep Summer'!I:I,0,0)*'Actuals Dep Summer'!$F$2*'Actuals Dep Summer'!$C$4</f>
        <v>483.6</v>
      </c>
      <c r="DJ105" s="452">
        <f>_xlfn.XLOOKUP($A105,'Actuals Summer'!$A:$A,'Actuals Summer'!P:P,0,0)</f>
        <v>4875</v>
      </c>
      <c r="DK105" s="452">
        <f>_xlfn.XLOOKUP($A105,'Actuals Summer'!$A:$A,'Actuals Summer'!O:O,0,0)</f>
        <v>1789.8947368421054</v>
      </c>
      <c r="DL105" s="452"/>
      <c r="DM105" s="452">
        <f>_xlfn.XLOOKUP($A105,'Actuals Summer'!$A:$A,'Actuals Summer'!M:M,0,0)</f>
        <v>0</v>
      </c>
      <c r="DN105" s="453">
        <f t="shared" si="60"/>
        <v>82822.144736842121</v>
      </c>
      <c r="DO105" s="453">
        <f>_xlfn.XLOOKUP(A105,'Actuals Summer'!A:A,'Actuals Summer'!S:S,0,0)-'Summer data team '!DN105</f>
        <v>0</v>
      </c>
      <c r="DP105" s="463">
        <f t="shared" si="61"/>
        <v>511.10526315787865</v>
      </c>
    </row>
    <row r="106" spans="1:120" ht="13" x14ac:dyDescent="0.3">
      <c r="A106" s="364">
        <v>2187</v>
      </c>
      <c r="B106" s="364">
        <v>3302187</v>
      </c>
      <c r="C106" s="364" t="s">
        <v>311</v>
      </c>
      <c r="D106" s="506">
        <v>0</v>
      </c>
      <c r="E106" s="506">
        <v>0</v>
      </c>
      <c r="F106" s="506">
        <v>0</v>
      </c>
      <c r="G106" s="506">
        <v>26</v>
      </c>
      <c r="H106" s="506">
        <v>17</v>
      </c>
      <c r="I106" s="507">
        <v>0</v>
      </c>
      <c r="J106" s="507">
        <v>43</v>
      </c>
      <c r="K106" s="506">
        <v>3</v>
      </c>
      <c r="L106" s="506">
        <v>3</v>
      </c>
      <c r="M106" s="507">
        <v>6</v>
      </c>
      <c r="N106" s="506">
        <v>0</v>
      </c>
      <c r="O106" s="506">
        <v>0</v>
      </c>
      <c r="P106" s="506">
        <v>390</v>
      </c>
      <c r="Q106" s="506">
        <v>255</v>
      </c>
      <c r="R106" s="507">
        <v>645</v>
      </c>
      <c r="S106" s="506">
        <v>0</v>
      </c>
      <c r="T106" s="506">
        <v>0</v>
      </c>
      <c r="U106" s="506">
        <v>45</v>
      </c>
      <c r="V106" s="506">
        <v>45</v>
      </c>
      <c r="W106" s="507">
        <v>90</v>
      </c>
      <c r="X106" s="506">
        <v>6</v>
      </c>
      <c r="Y106" s="506">
        <v>90</v>
      </c>
      <c r="Z106" s="508">
        <v>15</v>
      </c>
      <c r="AA106" s="506">
        <v>7</v>
      </c>
      <c r="AB106" s="506">
        <v>105</v>
      </c>
      <c r="AC106" s="508">
        <v>15</v>
      </c>
      <c r="AD106" s="506">
        <v>8</v>
      </c>
      <c r="AE106" s="506">
        <v>120</v>
      </c>
      <c r="AF106" s="508">
        <v>15</v>
      </c>
      <c r="AG106" s="509">
        <v>0</v>
      </c>
      <c r="AH106" s="509">
        <v>0</v>
      </c>
      <c r="AI106" s="508">
        <v>0</v>
      </c>
      <c r="AJ106" s="509">
        <v>11</v>
      </c>
      <c r="AK106" s="509">
        <v>165</v>
      </c>
      <c r="AL106" s="508">
        <v>15</v>
      </c>
      <c r="AM106" s="506">
        <v>11</v>
      </c>
      <c r="AN106" s="506">
        <v>165</v>
      </c>
      <c r="AO106" s="508">
        <v>15</v>
      </c>
      <c r="AP106" s="508"/>
      <c r="AQ106" s="508">
        <f t="shared" si="35"/>
        <v>11</v>
      </c>
      <c r="AR106" s="509">
        <v>0</v>
      </c>
      <c r="AS106" s="509">
        <v>0</v>
      </c>
      <c r="AT106" s="508">
        <v>0</v>
      </c>
      <c r="AU106" s="509">
        <v>1</v>
      </c>
      <c r="AV106" s="509">
        <v>15</v>
      </c>
      <c r="AW106" s="508">
        <v>15</v>
      </c>
      <c r="AX106" s="506">
        <v>1</v>
      </c>
      <c r="AY106" s="506">
        <v>15</v>
      </c>
      <c r="AZ106" s="508">
        <v>15</v>
      </c>
      <c r="BA106" s="508"/>
      <c r="BB106" s="508">
        <f t="shared" si="36"/>
        <v>2</v>
      </c>
      <c r="BC106" s="509">
        <v>0</v>
      </c>
      <c r="BD106" s="509">
        <v>1</v>
      </c>
      <c r="BE106" s="506">
        <v>1</v>
      </c>
      <c r="BF106" s="200"/>
      <c r="BG106" s="200"/>
      <c r="BH106" s="200"/>
      <c r="BI106" s="200"/>
      <c r="BJ106" s="200"/>
      <c r="BK106" s="200"/>
      <c r="BL106" s="200"/>
      <c r="BM106" s="505">
        <f t="shared" si="37"/>
        <v>0</v>
      </c>
      <c r="BN106" s="200">
        <f t="shared" si="38"/>
        <v>0</v>
      </c>
      <c r="BO106" s="200">
        <f t="shared" si="58"/>
        <v>0</v>
      </c>
      <c r="BP106" s="200">
        <f t="shared" si="39"/>
        <v>8385</v>
      </c>
      <c r="BQ106" s="200">
        <f t="shared" si="40"/>
        <v>1170</v>
      </c>
      <c r="BR106" s="200">
        <f t="shared" si="41"/>
        <v>1365</v>
      </c>
      <c r="BS106" s="200">
        <f t="shared" si="42"/>
        <v>1560</v>
      </c>
      <c r="BT106" s="200">
        <f t="shared" si="43"/>
        <v>1755</v>
      </c>
      <c r="BU106" s="200">
        <f t="shared" si="44"/>
        <v>2145</v>
      </c>
      <c r="BV106" s="200">
        <v>0</v>
      </c>
      <c r="BW106" s="200">
        <v>1</v>
      </c>
      <c r="BX106" s="200">
        <f t="shared" si="45"/>
        <v>1</v>
      </c>
      <c r="CB106" s="381">
        <f>_xlfn.IFNA(VLOOKUP(A106,'Actuals Summer'!$A:$AG,23,FALSE),0)</f>
        <v>8385</v>
      </c>
      <c r="CC106" s="381">
        <f>_xlfn.IFNA(VLOOKUP(A106,'Actuals Summer'!$A:$AG,24,FALSE),0)</f>
        <v>1170</v>
      </c>
      <c r="CD106" s="381">
        <f>_xlfn.IFNA(VLOOKUP(A106,'Actuals Summer'!$A:$AG,25,FALSE),0)</f>
        <v>0</v>
      </c>
      <c r="CE106" s="381">
        <f>_xlfn.IFNA(VLOOKUP(A106,'Actuals Summer'!$A:$AG,26,FALSE),0)</f>
        <v>0</v>
      </c>
      <c r="CF106" s="381">
        <f>_xlfn.IFNA(VLOOKUP(A106,'Actuals Summer'!$A:$AG,27,FALSE),0)</f>
        <v>0</v>
      </c>
      <c r="CG106" s="381">
        <f>_xlfn.IFNA(VLOOKUP(A106,'Actuals Dep Summer'!B:O,6,FALSE)*$BN$3,0)</f>
        <v>1170</v>
      </c>
      <c r="CH106" s="381">
        <f>_xlfn.IFNA(VLOOKUP(A106,'Actuals Dep Summer'!B:O,7,FALSE)*$BN$3,0)</f>
        <v>1365</v>
      </c>
      <c r="CI106" s="381">
        <f>_xlfn.IFNA(VLOOKUP(A106,'Actuals Dep Summer'!B:O,8,FALSE)*$BN$3,0)</f>
        <v>1560</v>
      </c>
      <c r="CJ106" s="381">
        <f>_xlfn.IFNA(VLOOKUP(A106,'Actuals Summer'!$A:$AG,31,FALSE),0)*$BN$3</f>
        <v>12.992847973592518</v>
      </c>
      <c r="CK106" s="381"/>
      <c r="CL106" s="381">
        <f>_xlfn.IFNA(VLOOKUP(A106,'Actuals Summer'!$A:$AG,32,FALSE),0)*$BN$3</f>
        <v>27885</v>
      </c>
      <c r="CM106" s="381">
        <f>_xlfn.IFNA(VLOOKUP(A106,'Actuals Summer'!$A:$AG,33,FALSE),0)</f>
        <v>0.99998523864195499</v>
      </c>
      <c r="CP106" s="458">
        <f t="shared" si="46"/>
        <v>0</v>
      </c>
      <c r="CQ106" s="458">
        <f t="shared" si="47"/>
        <v>0</v>
      </c>
      <c r="CR106" s="458">
        <f t="shared" si="59"/>
        <v>0</v>
      </c>
      <c r="CS106" s="458">
        <f t="shared" si="48"/>
        <v>47459.1</v>
      </c>
      <c r="CT106" s="458">
        <f t="shared" si="49"/>
        <v>6622.2</v>
      </c>
      <c r="CU106" s="458">
        <f t="shared" si="50"/>
        <v>832.65</v>
      </c>
      <c r="CV106" s="458">
        <f t="shared" si="51"/>
        <v>452.4</v>
      </c>
      <c r="CW106" s="458">
        <f t="shared" si="52"/>
        <v>140.4</v>
      </c>
      <c r="CX106" s="458">
        <f t="shared" si="53"/>
        <v>2145</v>
      </c>
      <c r="CY106" s="458">
        <f t="shared" si="54"/>
        <v>0</v>
      </c>
      <c r="CZ106" s="458">
        <f t="shared" si="55"/>
        <v>186.44736842105263</v>
      </c>
      <c r="DA106" s="458">
        <f t="shared" si="56"/>
        <v>938</v>
      </c>
      <c r="DB106" s="458">
        <f t="shared" si="57"/>
        <v>58776.197368421053</v>
      </c>
      <c r="DC106" s="452">
        <f>_xlfn.XLOOKUP($A106,'Actuals Summer'!$A:$A,'Actuals Summer'!L:L,0,0)</f>
        <v>0</v>
      </c>
      <c r="DD106" s="452">
        <f>_xlfn.XLOOKUP($A106,'Actuals Summer'!$A:$A,'Actuals Summer'!K:K,0,0)+_xlfn.XLOOKUP($A106,'Actuals Summer'!$A:$A,'Actuals Summer'!Q:Q,0,0)</f>
        <v>0</v>
      </c>
      <c r="DE106" s="452">
        <f>_xlfn.XLOOKUP($A106,'Actuals Summer'!$A:$A,'Actuals Summer'!I:I,0,0)+_xlfn.XLOOKUP($A106,'Actuals Summer'!$A:$A,'Actuals Summer'!R:R,0,0)</f>
        <v>47459.1</v>
      </c>
      <c r="DF106" s="452">
        <f>_xlfn.XLOOKUP($A106,'Actuals Summer'!$A:$A,'Actuals Summer'!J:J,0,0)</f>
        <v>6622.2</v>
      </c>
      <c r="DG106" s="452">
        <f>_xlfn.XLOOKUP($A106,'Actuals Dep Summer'!$B:$B,'Actuals Dep Summer'!G:G,0,0)*'Actuals Dep Summer'!$F$2*'Actuals Dep Summer'!$C$2</f>
        <v>713.69999999999993</v>
      </c>
      <c r="DH106" s="452">
        <f>_xlfn.XLOOKUP($A106,'Actuals Dep Summer'!$B:$B,'Actuals Dep Summer'!H:H,0,0)*'Actuals Dep Summer'!$F$2*'Actuals Dep Summer'!$C$3</f>
        <v>395.84999999999997</v>
      </c>
      <c r="DI106" s="452">
        <f>_xlfn.XLOOKUP($A106,'Actuals Dep Summer'!$B:$B,'Actuals Dep Summer'!I:I,0,0)*'Actuals Dep Summer'!$F$2*'Actuals Dep Summer'!$C$4</f>
        <v>124.8</v>
      </c>
      <c r="DJ106" s="452">
        <f>_xlfn.XLOOKUP($A106,'Actuals Summer'!$A:$A,'Actuals Summer'!P:P,0,0)</f>
        <v>2145</v>
      </c>
      <c r="DK106" s="452">
        <f>_xlfn.XLOOKUP($A106,'Actuals Summer'!$A:$A,'Actuals Summer'!O:O,0,0)</f>
        <v>74.578947368421055</v>
      </c>
      <c r="DL106" s="452"/>
      <c r="DM106" s="452">
        <f>_xlfn.XLOOKUP($A106,'Actuals Summer'!$A:$A,'Actuals Summer'!M:M,0,0)</f>
        <v>320.89</v>
      </c>
      <c r="DN106" s="453">
        <f t="shared" si="60"/>
        <v>57856.118947368414</v>
      </c>
      <c r="DO106" s="453">
        <f>_xlfn.XLOOKUP(A106,'Actuals Summer'!A:A,'Actuals Summer'!S:S,0,0)-'Summer data team '!DN106</f>
        <v>0</v>
      </c>
      <c r="DP106" s="463">
        <f t="shared" si="61"/>
        <v>920.0784210526399</v>
      </c>
    </row>
    <row r="107" spans="1:120" ht="13" x14ac:dyDescent="0.3">
      <c r="A107" s="364">
        <v>2188</v>
      </c>
      <c r="B107" s="364">
        <v>3302188</v>
      </c>
      <c r="C107" s="364" t="s">
        <v>312</v>
      </c>
      <c r="D107" s="506">
        <v>0</v>
      </c>
      <c r="E107" s="506">
        <v>0</v>
      </c>
      <c r="F107" s="506">
        <v>0</v>
      </c>
      <c r="G107" s="506">
        <v>8</v>
      </c>
      <c r="H107" s="506">
        <v>13</v>
      </c>
      <c r="I107" s="507">
        <v>0</v>
      </c>
      <c r="J107" s="507">
        <v>21</v>
      </c>
      <c r="K107" s="506">
        <v>0</v>
      </c>
      <c r="L107" s="506">
        <v>0</v>
      </c>
      <c r="M107" s="507">
        <v>0</v>
      </c>
      <c r="N107" s="506">
        <v>0</v>
      </c>
      <c r="O107" s="506">
        <v>0</v>
      </c>
      <c r="P107" s="506">
        <v>120</v>
      </c>
      <c r="Q107" s="506">
        <v>195</v>
      </c>
      <c r="R107" s="507">
        <v>315</v>
      </c>
      <c r="S107" s="506">
        <v>0</v>
      </c>
      <c r="T107" s="506">
        <v>0</v>
      </c>
      <c r="U107" s="506">
        <v>0</v>
      </c>
      <c r="V107" s="506">
        <v>0</v>
      </c>
      <c r="W107" s="507">
        <v>0</v>
      </c>
      <c r="X107" s="506">
        <v>1</v>
      </c>
      <c r="Y107" s="506">
        <v>15</v>
      </c>
      <c r="Z107" s="508">
        <v>0</v>
      </c>
      <c r="AA107" s="506">
        <v>0</v>
      </c>
      <c r="AB107" s="506">
        <v>0</v>
      </c>
      <c r="AC107" s="508">
        <v>0</v>
      </c>
      <c r="AD107" s="506">
        <v>2</v>
      </c>
      <c r="AE107" s="506">
        <v>30</v>
      </c>
      <c r="AF107" s="508">
        <v>0</v>
      </c>
      <c r="AG107" s="509">
        <v>0</v>
      </c>
      <c r="AH107" s="509">
        <v>0</v>
      </c>
      <c r="AI107" s="508">
        <v>0</v>
      </c>
      <c r="AJ107" s="509">
        <v>7</v>
      </c>
      <c r="AK107" s="509">
        <v>105</v>
      </c>
      <c r="AL107" s="508">
        <v>0</v>
      </c>
      <c r="AM107" s="506">
        <v>7</v>
      </c>
      <c r="AN107" s="506">
        <v>105</v>
      </c>
      <c r="AO107" s="508">
        <v>0</v>
      </c>
      <c r="AP107" s="508"/>
      <c r="AQ107" s="508">
        <f t="shared" si="35"/>
        <v>7</v>
      </c>
      <c r="AR107" s="509">
        <v>0</v>
      </c>
      <c r="AS107" s="509">
        <v>0</v>
      </c>
      <c r="AT107" s="508">
        <v>0</v>
      </c>
      <c r="AU107" s="509">
        <v>7</v>
      </c>
      <c r="AV107" s="509">
        <v>105</v>
      </c>
      <c r="AW107" s="508">
        <v>0</v>
      </c>
      <c r="AX107" s="506">
        <v>7</v>
      </c>
      <c r="AY107" s="506">
        <v>105</v>
      </c>
      <c r="AZ107" s="508">
        <v>0</v>
      </c>
      <c r="BA107" s="508"/>
      <c r="BB107" s="508">
        <f t="shared" si="36"/>
        <v>14</v>
      </c>
      <c r="BC107" s="509">
        <v>0</v>
      </c>
      <c r="BD107" s="509">
        <v>0</v>
      </c>
      <c r="BE107" s="506">
        <v>0</v>
      </c>
      <c r="BF107" s="200"/>
      <c r="BG107" s="200"/>
      <c r="BH107" s="200"/>
      <c r="BI107" s="200"/>
      <c r="BJ107" s="200"/>
      <c r="BK107" s="200"/>
      <c r="BL107" s="200"/>
      <c r="BM107" s="505">
        <f t="shared" si="37"/>
        <v>0</v>
      </c>
      <c r="BN107" s="200">
        <f t="shared" si="38"/>
        <v>0</v>
      </c>
      <c r="BO107" s="200">
        <f t="shared" si="58"/>
        <v>0</v>
      </c>
      <c r="BP107" s="200">
        <f t="shared" si="39"/>
        <v>4095</v>
      </c>
      <c r="BQ107" s="200">
        <f t="shared" si="40"/>
        <v>0</v>
      </c>
      <c r="BR107" s="200">
        <f t="shared" si="41"/>
        <v>195</v>
      </c>
      <c r="BS107" s="200">
        <f t="shared" si="42"/>
        <v>0</v>
      </c>
      <c r="BT107" s="200">
        <f t="shared" si="43"/>
        <v>390</v>
      </c>
      <c r="BU107" s="200">
        <f t="shared" si="44"/>
        <v>1365</v>
      </c>
      <c r="BV107" s="200">
        <v>7</v>
      </c>
      <c r="BW107" s="200">
        <v>0</v>
      </c>
      <c r="BX107" s="200">
        <f t="shared" si="45"/>
        <v>0</v>
      </c>
      <c r="CB107" s="381">
        <f>_xlfn.IFNA(VLOOKUP(A107,'Actuals Summer'!$A:$AG,23,FALSE),0)</f>
        <v>4095</v>
      </c>
      <c r="CC107" s="381">
        <f>_xlfn.IFNA(VLOOKUP(A107,'Actuals Summer'!$A:$AG,24,FALSE),0)</f>
        <v>0</v>
      </c>
      <c r="CD107" s="381">
        <f>_xlfn.IFNA(VLOOKUP(A107,'Actuals Summer'!$A:$AG,25,FALSE),0)</f>
        <v>0</v>
      </c>
      <c r="CE107" s="381">
        <f>_xlfn.IFNA(VLOOKUP(A107,'Actuals Summer'!$A:$AG,26,FALSE),0)</f>
        <v>0</v>
      </c>
      <c r="CF107" s="381">
        <f>_xlfn.IFNA(VLOOKUP(A107,'Actuals Summer'!$A:$AG,27,FALSE),0)</f>
        <v>0</v>
      </c>
      <c r="CG107" s="381">
        <f>_xlfn.IFNA(VLOOKUP(A107,'Actuals Dep Summer'!B:O,6,FALSE)*$BN$3,0)</f>
        <v>195</v>
      </c>
      <c r="CH107" s="381">
        <f>_xlfn.IFNA(VLOOKUP(A107,'Actuals Dep Summer'!B:O,7,FALSE)*$BN$3,0)</f>
        <v>0</v>
      </c>
      <c r="CI107" s="381">
        <f>_xlfn.IFNA(VLOOKUP(A107,'Actuals Dep Summer'!B:O,8,FALSE)*$BN$3,0)</f>
        <v>390</v>
      </c>
      <c r="CJ107" s="381">
        <f>_xlfn.IFNA(VLOOKUP(A107,'Actuals Summer'!$A:$AG,31,FALSE),0)*$BN$3</f>
        <v>90.949935815147626</v>
      </c>
      <c r="CK107" s="381"/>
      <c r="CL107" s="381">
        <f>_xlfn.IFNA(VLOOKUP(A107,'Actuals Summer'!$A:$AG,32,FALSE),0)*$BN$3</f>
        <v>17745</v>
      </c>
      <c r="CM107" s="381">
        <f>_xlfn.IFNA(VLOOKUP(A107,'Actuals Summer'!$A:$AG,33,FALSE),0)</f>
        <v>0</v>
      </c>
      <c r="CP107" s="458">
        <f t="shared" si="46"/>
        <v>0</v>
      </c>
      <c r="CQ107" s="458">
        <f t="shared" si="47"/>
        <v>0</v>
      </c>
      <c r="CR107" s="458">
        <f t="shared" si="59"/>
        <v>0</v>
      </c>
      <c r="CS107" s="458">
        <f t="shared" si="48"/>
        <v>23177.7</v>
      </c>
      <c r="CT107" s="458">
        <f t="shared" si="49"/>
        <v>0</v>
      </c>
      <c r="CU107" s="458">
        <f t="shared" si="50"/>
        <v>118.95</v>
      </c>
      <c r="CV107" s="458">
        <f t="shared" si="51"/>
        <v>0</v>
      </c>
      <c r="CW107" s="458">
        <f t="shared" si="52"/>
        <v>31.2</v>
      </c>
      <c r="CX107" s="458">
        <f t="shared" si="53"/>
        <v>1365</v>
      </c>
      <c r="CY107" s="458">
        <f t="shared" si="54"/>
        <v>522.05263157894728</v>
      </c>
      <c r="CZ107" s="458">
        <f t="shared" si="55"/>
        <v>0</v>
      </c>
      <c r="DA107" s="458">
        <f t="shared" si="56"/>
        <v>0</v>
      </c>
      <c r="DB107" s="458">
        <f t="shared" si="57"/>
        <v>25214.902631578949</v>
      </c>
      <c r="DC107" s="452">
        <f>_xlfn.XLOOKUP($A107,'Actuals Summer'!$A:$A,'Actuals Summer'!L:L,0,0)</f>
        <v>0</v>
      </c>
      <c r="DD107" s="452">
        <f>_xlfn.XLOOKUP($A107,'Actuals Summer'!$A:$A,'Actuals Summer'!K:K,0,0)+_xlfn.XLOOKUP($A107,'Actuals Summer'!$A:$A,'Actuals Summer'!Q:Q,0,0)</f>
        <v>0</v>
      </c>
      <c r="DE107" s="452">
        <f>_xlfn.XLOOKUP($A107,'Actuals Summer'!$A:$A,'Actuals Summer'!I:I,0,0)+_xlfn.XLOOKUP($A107,'Actuals Summer'!$A:$A,'Actuals Summer'!R:R,0,0)</f>
        <v>23177.7</v>
      </c>
      <c r="DF107" s="452">
        <f>_xlfn.XLOOKUP($A107,'Actuals Summer'!$A:$A,'Actuals Summer'!J:J,0,0)</f>
        <v>0</v>
      </c>
      <c r="DG107" s="452">
        <f>_xlfn.XLOOKUP($A107,'Actuals Dep Summer'!$B:$B,'Actuals Dep Summer'!G:G,0,0)*'Actuals Dep Summer'!$F$2*'Actuals Dep Summer'!$C$2</f>
        <v>118.95</v>
      </c>
      <c r="DH107" s="452">
        <f>_xlfn.XLOOKUP($A107,'Actuals Dep Summer'!$B:$B,'Actuals Dep Summer'!H:H,0,0)*'Actuals Dep Summer'!$F$2*'Actuals Dep Summer'!$C$3</f>
        <v>0</v>
      </c>
      <c r="DI107" s="452">
        <f>_xlfn.XLOOKUP($A107,'Actuals Dep Summer'!$B:$B,'Actuals Dep Summer'!I:I,0,0)*'Actuals Dep Summer'!$F$2*'Actuals Dep Summer'!$C$4</f>
        <v>31.2</v>
      </c>
      <c r="DJ107" s="452">
        <f>_xlfn.XLOOKUP($A107,'Actuals Summer'!$A:$A,'Actuals Summer'!P:P,0,0)</f>
        <v>1365</v>
      </c>
      <c r="DK107" s="452">
        <f>_xlfn.XLOOKUP($A107,'Actuals Summer'!$A:$A,'Actuals Summer'!O:O,0,0)</f>
        <v>522.0526315789474</v>
      </c>
      <c r="DL107" s="452"/>
      <c r="DM107" s="452">
        <f>_xlfn.XLOOKUP($A107,'Actuals Summer'!$A:$A,'Actuals Summer'!M:M,0,0)</f>
        <v>0</v>
      </c>
      <c r="DN107" s="453">
        <f t="shared" si="60"/>
        <v>25214.902631578949</v>
      </c>
      <c r="DO107" s="453">
        <f>_xlfn.XLOOKUP(A107,'Actuals Summer'!A:A,'Actuals Summer'!S:S,0,0)-'Summer data team '!DN107</f>
        <v>0</v>
      </c>
      <c r="DP107" s="463">
        <f t="shared" si="61"/>
        <v>0</v>
      </c>
    </row>
    <row r="108" spans="1:120" ht="13" x14ac:dyDescent="0.3">
      <c r="A108" s="364">
        <v>2189</v>
      </c>
      <c r="B108" s="364">
        <v>3302189</v>
      </c>
      <c r="C108" s="364" t="s">
        <v>183</v>
      </c>
      <c r="D108" s="506">
        <v>0</v>
      </c>
      <c r="E108" s="506">
        <v>0</v>
      </c>
      <c r="F108" s="506">
        <v>0</v>
      </c>
      <c r="G108" s="506">
        <v>15</v>
      </c>
      <c r="H108" s="506">
        <v>12</v>
      </c>
      <c r="I108" s="507">
        <v>0</v>
      </c>
      <c r="J108" s="507">
        <v>27</v>
      </c>
      <c r="K108" s="506">
        <v>0</v>
      </c>
      <c r="L108" s="506">
        <v>0</v>
      </c>
      <c r="M108" s="507">
        <v>0</v>
      </c>
      <c r="N108" s="506">
        <v>0</v>
      </c>
      <c r="O108" s="506">
        <v>0</v>
      </c>
      <c r="P108" s="506">
        <v>225</v>
      </c>
      <c r="Q108" s="506">
        <v>180</v>
      </c>
      <c r="R108" s="507">
        <v>405</v>
      </c>
      <c r="S108" s="506">
        <v>0</v>
      </c>
      <c r="T108" s="506">
        <v>0</v>
      </c>
      <c r="U108" s="506">
        <v>0</v>
      </c>
      <c r="V108" s="506">
        <v>0</v>
      </c>
      <c r="W108" s="507">
        <v>0</v>
      </c>
      <c r="X108" s="506">
        <v>10</v>
      </c>
      <c r="Y108" s="506">
        <v>150</v>
      </c>
      <c r="Z108" s="508">
        <v>0</v>
      </c>
      <c r="AA108" s="506">
        <v>14</v>
      </c>
      <c r="AB108" s="506">
        <v>210</v>
      </c>
      <c r="AC108" s="508">
        <v>0</v>
      </c>
      <c r="AD108" s="506">
        <v>2</v>
      </c>
      <c r="AE108" s="506">
        <v>30</v>
      </c>
      <c r="AF108" s="508">
        <v>0</v>
      </c>
      <c r="AG108" s="509">
        <v>0</v>
      </c>
      <c r="AH108" s="509">
        <v>0</v>
      </c>
      <c r="AI108" s="508">
        <v>0</v>
      </c>
      <c r="AJ108" s="509">
        <v>13</v>
      </c>
      <c r="AK108" s="509">
        <v>195</v>
      </c>
      <c r="AL108" s="508">
        <v>0</v>
      </c>
      <c r="AM108" s="506">
        <v>13</v>
      </c>
      <c r="AN108" s="506">
        <v>195</v>
      </c>
      <c r="AO108" s="508">
        <v>0</v>
      </c>
      <c r="AP108" s="508"/>
      <c r="AQ108" s="508">
        <f t="shared" si="35"/>
        <v>13</v>
      </c>
      <c r="AR108" s="509">
        <v>0</v>
      </c>
      <c r="AS108" s="509">
        <v>0</v>
      </c>
      <c r="AT108" s="508">
        <v>0</v>
      </c>
      <c r="AU108" s="509">
        <v>13</v>
      </c>
      <c r="AV108" s="509">
        <v>195</v>
      </c>
      <c r="AW108" s="508">
        <v>0</v>
      </c>
      <c r="AX108" s="506">
        <v>13</v>
      </c>
      <c r="AY108" s="506">
        <v>195</v>
      </c>
      <c r="AZ108" s="508">
        <v>0</v>
      </c>
      <c r="BA108" s="508"/>
      <c r="BB108" s="508">
        <f t="shared" si="36"/>
        <v>26</v>
      </c>
      <c r="BC108" s="509">
        <v>0</v>
      </c>
      <c r="BD108" s="509">
        <v>0</v>
      </c>
      <c r="BE108" s="506">
        <v>0</v>
      </c>
      <c r="BF108" s="200"/>
      <c r="BG108" s="200"/>
      <c r="BH108" s="200"/>
      <c r="BI108" s="200"/>
      <c r="BJ108" s="200"/>
      <c r="BK108" s="200"/>
      <c r="BL108" s="200"/>
      <c r="BM108" s="505">
        <f t="shared" si="37"/>
        <v>0</v>
      </c>
      <c r="BN108" s="200">
        <f t="shared" si="38"/>
        <v>0</v>
      </c>
      <c r="BO108" s="200">
        <f t="shared" si="58"/>
        <v>0</v>
      </c>
      <c r="BP108" s="200">
        <f t="shared" si="39"/>
        <v>5265</v>
      </c>
      <c r="BQ108" s="200">
        <f t="shared" si="40"/>
        <v>0</v>
      </c>
      <c r="BR108" s="200">
        <f t="shared" si="41"/>
        <v>1950</v>
      </c>
      <c r="BS108" s="200">
        <f t="shared" si="42"/>
        <v>2730</v>
      </c>
      <c r="BT108" s="200">
        <f t="shared" si="43"/>
        <v>390</v>
      </c>
      <c r="BU108" s="200">
        <f t="shared" si="44"/>
        <v>2535</v>
      </c>
      <c r="BV108" s="200">
        <v>13</v>
      </c>
      <c r="BW108" s="200">
        <v>0</v>
      </c>
      <c r="BX108" s="200">
        <f t="shared" si="45"/>
        <v>0</v>
      </c>
      <c r="CB108" s="381">
        <f>_xlfn.IFNA(VLOOKUP(A108,'Actuals Summer'!$A:$AG,23,FALSE),0)</f>
        <v>5265</v>
      </c>
      <c r="CC108" s="381">
        <f>_xlfn.IFNA(VLOOKUP(A108,'Actuals Summer'!$A:$AG,24,FALSE),0)</f>
        <v>0</v>
      </c>
      <c r="CD108" s="381">
        <f>_xlfn.IFNA(VLOOKUP(A108,'Actuals Summer'!$A:$AG,25,FALSE),0)</f>
        <v>0</v>
      </c>
      <c r="CE108" s="381">
        <f>_xlfn.IFNA(VLOOKUP(A108,'Actuals Summer'!$A:$AG,26,FALSE),0)</f>
        <v>0</v>
      </c>
      <c r="CF108" s="381">
        <f>_xlfn.IFNA(VLOOKUP(A108,'Actuals Summer'!$A:$AG,27,FALSE),0)</f>
        <v>0</v>
      </c>
      <c r="CG108" s="381">
        <f>_xlfn.IFNA(VLOOKUP(A108,'Actuals Dep Summer'!B:O,6,FALSE)*$BN$3,0)</f>
        <v>1950</v>
      </c>
      <c r="CH108" s="381">
        <f>_xlfn.IFNA(VLOOKUP(A108,'Actuals Dep Summer'!B:O,7,FALSE)*$BN$3,0)</f>
        <v>2730</v>
      </c>
      <c r="CI108" s="381">
        <f>_xlfn.IFNA(VLOOKUP(A108,'Actuals Dep Summer'!B:O,8,FALSE)*$BN$3,0)</f>
        <v>390</v>
      </c>
      <c r="CJ108" s="381">
        <f>_xlfn.IFNA(VLOOKUP(A108,'Actuals Summer'!$A:$AG,31,FALSE),0)*$BN$3</f>
        <v>168.90702365670273</v>
      </c>
      <c r="CK108" s="381"/>
      <c r="CL108" s="381">
        <f>_xlfn.IFNA(VLOOKUP(A108,'Actuals Summer'!$A:$AG,32,FALSE),0)*$BN$3</f>
        <v>32955</v>
      </c>
      <c r="CM108" s="381">
        <f>_xlfn.IFNA(VLOOKUP(A108,'Actuals Summer'!$A:$AG,33,FALSE),0)</f>
        <v>0</v>
      </c>
      <c r="CP108" s="458">
        <f t="shared" si="46"/>
        <v>0</v>
      </c>
      <c r="CQ108" s="458">
        <f t="shared" si="47"/>
        <v>0</v>
      </c>
      <c r="CR108" s="458">
        <f t="shared" si="59"/>
        <v>0</v>
      </c>
      <c r="CS108" s="458">
        <f t="shared" si="48"/>
        <v>29799.9</v>
      </c>
      <c r="CT108" s="458">
        <f t="shared" si="49"/>
        <v>0</v>
      </c>
      <c r="CU108" s="458">
        <f t="shared" si="50"/>
        <v>1189.5</v>
      </c>
      <c r="CV108" s="458">
        <f t="shared" si="51"/>
        <v>791.69999999999993</v>
      </c>
      <c r="CW108" s="458">
        <f t="shared" si="52"/>
        <v>31.2</v>
      </c>
      <c r="CX108" s="458">
        <f t="shared" si="53"/>
        <v>2535</v>
      </c>
      <c r="CY108" s="458">
        <f t="shared" si="54"/>
        <v>969.52631578947353</v>
      </c>
      <c r="CZ108" s="458">
        <f t="shared" si="55"/>
        <v>0</v>
      </c>
      <c r="DA108" s="458">
        <f t="shared" si="56"/>
        <v>0</v>
      </c>
      <c r="DB108" s="458">
        <f t="shared" si="57"/>
        <v>35316.826315789476</v>
      </c>
      <c r="DC108" s="452">
        <f>_xlfn.XLOOKUP($A108,'Actuals Summer'!$A:$A,'Actuals Summer'!L:L,0,0)</f>
        <v>0</v>
      </c>
      <c r="DD108" s="452">
        <f>_xlfn.XLOOKUP($A108,'Actuals Summer'!$A:$A,'Actuals Summer'!K:K,0,0)+_xlfn.XLOOKUP($A108,'Actuals Summer'!$A:$A,'Actuals Summer'!Q:Q,0,0)</f>
        <v>0</v>
      </c>
      <c r="DE108" s="452">
        <f>_xlfn.XLOOKUP($A108,'Actuals Summer'!$A:$A,'Actuals Summer'!I:I,0,0)+_xlfn.XLOOKUP($A108,'Actuals Summer'!$A:$A,'Actuals Summer'!R:R,0,0)</f>
        <v>29799.9</v>
      </c>
      <c r="DF108" s="452">
        <f>_xlfn.XLOOKUP($A108,'Actuals Summer'!$A:$A,'Actuals Summer'!J:J,0,0)</f>
        <v>0</v>
      </c>
      <c r="DG108" s="452">
        <f>_xlfn.XLOOKUP($A108,'Actuals Dep Summer'!$B:$B,'Actuals Dep Summer'!G:G,0,0)*'Actuals Dep Summer'!$F$2*'Actuals Dep Summer'!$C$2</f>
        <v>1189.5</v>
      </c>
      <c r="DH108" s="452">
        <f>_xlfn.XLOOKUP($A108,'Actuals Dep Summer'!$B:$B,'Actuals Dep Summer'!H:H,0,0)*'Actuals Dep Summer'!$F$2*'Actuals Dep Summer'!$C$3</f>
        <v>791.69999999999993</v>
      </c>
      <c r="DI108" s="452">
        <f>_xlfn.XLOOKUP($A108,'Actuals Dep Summer'!$B:$B,'Actuals Dep Summer'!I:I,0,0)*'Actuals Dep Summer'!$F$2*'Actuals Dep Summer'!$C$4</f>
        <v>31.2</v>
      </c>
      <c r="DJ108" s="452">
        <f>_xlfn.XLOOKUP($A108,'Actuals Summer'!$A:$A,'Actuals Summer'!P:P,0,0)</f>
        <v>2535</v>
      </c>
      <c r="DK108" s="452">
        <f>_xlfn.XLOOKUP($A108,'Actuals Summer'!$A:$A,'Actuals Summer'!O:O,0,0)</f>
        <v>969.52631578947376</v>
      </c>
      <c r="DL108" s="452"/>
      <c r="DM108" s="452">
        <f>_xlfn.XLOOKUP($A108,'Actuals Summer'!$A:$A,'Actuals Summer'!M:M,0,0)</f>
        <v>0</v>
      </c>
      <c r="DN108" s="453">
        <f t="shared" si="60"/>
        <v>35316.826315789476</v>
      </c>
      <c r="DO108" s="453">
        <f>_xlfn.XLOOKUP(A108,'Actuals Summer'!A:A,'Actuals Summer'!S:S,0,0)-'Summer data team '!DN108</f>
        <v>0</v>
      </c>
      <c r="DP108" s="463">
        <f t="shared" si="61"/>
        <v>0</v>
      </c>
    </row>
    <row r="109" spans="1:120" ht="13" x14ac:dyDescent="0.3">
      <c r="A109" s="364">
        <v>2191</v>
      </c>
      <c r="B109" s="364">
        <v>3302191</v>
      </c>
      <c r="C109" s="364" t="s">
        <v>313</v>
      </c>
      <c r="D109" s="506">
        <v>0</v>
      </c>
      <c r="E109" s="506">
        <v>0</v>
      </c>
      <c r="F109" s="506">
        <v>0</v>
      </c>
      <c r="G109" s="506">
        <v>9</v>
      </c>
      <c r="H109" s="506">
        <v>16</v>
      </c>
      <c r="I109" s="507">
        <v>0</v>
      </c>
      <c r="J109" s="507">
        <v>25</v>
      </c>
      <c r="K109" s="506">
        <v>0</v>
      </c>
      <c r="L109" s="506">
        <v>4</v>
      </c>
      <c r="M109" s="507">
        <v>4</v>
      </c>
      <c r="N109" s="506">
        <v>0</v>
      </c>
      <c r="O109" s="506">
        <v>0</v>
      </c>
      <c r="P109" s="506">
        <v>135</v>
      </c>
      <c r="Q109" s="506">
        <v>240</v>
      </c>
      <c r="R109" s="507">
        <v>375</v>
      </c>
      <c r="S109" s="506">
        <v>0</v>
      </c>
      <c r="T109" s="506">
        <v>0</v>
      </c>
      <c r="U109" s="506">
        <v>0</v>
      </c>
      <c r="V109" s="506">
        <v>60</v>
      </c>
      <c r="W109" s="507">
        <v>60</v>
      </c>
      <c r="X109" s="506">
        <v>9</v>
      </c>
      <c r="Y109" s="506">
        <v>135</v>
      </c>
      <c r="Z109" s="508">
        <v>15</v>
      </c>
      <c r="AA109" s="506">
        <v>0</v>
      </c>
      <c r="AB109" s="506">
        <v>0</v>
      </c>
      <c r="AC109" s="508">
        <v>0</v>
      </c>
      <c r="AD109" s="506">
        <v>14</v>
      </c>
      <c r="AE109" s="506">
        <v>210</v>
      </c>
      <c r="AF109" s="508">
        <v>30</v>
      </c>
      <c r="AG109" s="509">
        <v>0</v>
      </c>
      <c r="AH109" s="509">
        <v>0</v>
      </c>
      <c r="AI109" s="508">
        <v>0</v>
      </c>
      <c r="AJ109" s="509">
        <v>11</v>
      </c>
      <c r="AK109" s="509">
        <v>165</v>
      </c>
      <c r="AL109" s="508">
        <v>0</v>
      </c>
      <c r="AM109" s="506">
        <v>11</v>
      </c>
      <c r="AN109" s="506">
        <v>165</v>
      </c>
      <c r="AO109" s="508">
        <v>0</v>
      </c>
      <c r="AP109" s="508"/>
      <c r="AQ109" s="508">
        <f t="shared" si="35"/>
        <v>11</v>
      </c>
      <c r="AR109" s="509">
        <v>0</v>
      </c>
      <c r="AS109" s="509">
        <v>0</v>
      </c>
      <c r="AT109" s="508">
        <v>0</v>
      </c>
      <c r="AU109" s="509">
        <v>4</v>
      </c>
      <c r="AV109" s="509">
        <v>60</v>
      </c>
      <c r="AW109" s="508">
        <v>0</v>
      </c>
      <c r="AX109" s="506">
        <v>4</v>
      </c>
      <c r="AY109" s="506">
        <v>60</v>
      </c>
      <c r="AZ109" s="508">
        <v>0</v>
      </c>
      <c r="BA109" s="508"/>
      <c r="BB109" s="508">
        <f t="shared" si="36"/>
        <v>8</v>
      </c>
      <c r="BC109" s="509">
        <v>0</v>
      </c>
      <c r="BD109" s="509">
        <v>0</v>
      </c>
      <c r="BE109" s="506">
        <v>0</v>
      </c>
      <c r="BF109" s="200"/>
      <c r="BG109" s="200"/>
      <c r="BH109" s="200"/>
      <c r="BI109" s="200"/>
      <c r="BJ109" s="200"/>
      <c r="BK109" s="200"/>
      <c r="BL109" s="200"/>
      <c r="BM109" s="505">
        <f t="shared" si="37"/>
        <v>0</v>
      </c>
      <c r="BN109" s="200">
        <f t="shared" si="38"/>
        <v>0</v>
      </c>
      <c r="BO109" s="200">
        <f t="shared" si="58"/>
        <v>0</v>
      </c>
      <c r="BP109" s="200">
        <f t="shared" si="39"/>
        <v>4875</v>
      </c>
      <c r="BQ109" s="200">
        <f t="shared" si="40"/>
        <v>780</v>
      </c>
      <c r="BR109" s="200">
        <f t="shared" si="41"/>
        <v>1950</v>
      </c>
      <c r="BS109" s="200">
        <f t="shared" si="42"/>
        <v>0</v>
      </c>
      <c r="BT109" s="200">
        <f t="shared" si="43"/>
        <v>3120</v>
      </c>
      <c r="BU109" s="200">
        <f t="shared" si="44"/>
        <v>2145</v>
      </c>
      <c r="BV109" s="200">
        <v>4</v>
      </c>
      <c r="BW109" s="200">
        <v>0</v>
      </c>
      <c r="BX109" s="200">
        <f t="shared" si="45"/>
        <v>0</v>
      </c>
      <c r="CB109" s="381">
        <f>_xlfn.IFNA(VLOOKUP(A109,'Actuals Summer'!$A:$AG,23,FALSE),0)</f>
        <v>4875</v>
      </c>
      <c r="CC109" s="381">
        <f>_xlfn.IFNA(VLOOKUP(A109,'Actuals Summer'!$A:$AG,24,FALSE),0)</f>
        <v>780</v>
      </c>
      <c r="CD109" s="381">
        <f>_xlfn.IFNA(VLOOKUP(A109,'Actuals Summer'!$A:$AG,25,FALSE),0)</f>
        <v>0</v>
      </c>
      <c r="CE109" s="381">
        <f>_xlfn.IFNA(VLOOKUP(A109,'Actuals Summer'!$A:$AG,26,FALSE),0)</f>
        <v>0</v>
      </c>
      <c r="CF109" s="381">
        <f>_xlfn.IFNA(VLOOKUP(A109,'Actuals Summer'!$A:$AG,27,FALSE),0)</f>
        <v>0</v>
      </c>
      <c r="CG109" s="381">
        <f>_xlfn.IFNA(VLOOKUP(A109,'Actuals Dep Summer'!B:O,6,FALSE)*$BN$3,0)</f>
        <v>1755</v>
      </c>
      <c r="CH109" s="381">
        <f>_xlfn.IFNA(VLOOKUP(A109,'Actuals Dep Summer'!B:O,7,FALSE)*$BN$3,0)</f>
        <v>0</v>
      </c>
      <c r="CI109" s="381">
        <f>_xlfn.IFNA(VLOOKUP(A109,'Actuals Dep Summer'!B:O,8,FALSE)*$BN$3,0)</f>
        <v>2730</v>
      </c>
      <c r="CJ109" s="381">
        <f>_xlfn.IFNA(VLOOKUP(A109,'Actuals Summer'!$A:$AG,31,FALSE),0)*$BN$3</f>
        <v>51.971391894370072</v>
      </c>
      <c r="CK109" s="381"/>
      <c r="CL109" s="381">
        <f>_xlfn.IFNA(VLOOKUP(A109,'Actuals Summer'!$A:$AG,32,FALSE),0)*$BN$3</f>
        <v>27885</v>
      </c>
      <c r="CM109" s="381">
        <f>_xlfn.IFNA(VLOOKUP(A109,'Actuals Summer'!$A:$AG,33,FALSE),0)</f>
        <v>0</v>
      </c>
      <c r="CP109" s="458">
        <f t="shared" si="46"/>
        <v>0</v>
      </c>
      <c r="CQ109" s="458">
        <f t="shared" si="47"/>
        <v>0</v>
      </c>
      <c r="CR109" s="458">
        <f t="shared" si="59"/>
        <v>0</v>
      </c>
      <c r="CS109" s="458">
        <f t="shared" si="48"/>
        <v>27592.5</v>
      </c>
      <c r="CT109" s="458">
        <f t="shared" si="49"/>
        <v>4414.8</v>
      </c>
      <c r="CU109" s="458">
        <f t="shared" si="50"/>
        <v>1189.5</v>
      </c>
      <c r="CV109" s="458">
        <f t="shared" si="51"/>
        <v>0</v>
      </c>
      <c r="CW109" s="458">
        <f t="shared" si="52"/>
        <v>249.6</v>
      </c>
      <c r="CX109" s="458">
        <f t="shared" si="53"/>
        <v>2145</v>
      </c>
      <c r="CY109" s="458">
        <f t="shared" si="54"/>
        <v>298.31578947368416</v>
      </c>
      <c r="CZ109" s="458">
        <f t="shared" si="55"/>
        <v>0</v>
      </c>
      <c r="DA109" s="458">
        <f t="shared" si="56"/>
        <v>0</v>
      </c>
      <c r="DB109" s="458">
        <f t="shared" si="57"/>
        <v>35889.715789473688</v>
      </c>
      <c r="DC109" s="452">
        <f>_xlfn.XLOOKUP($A109,'Actuals Summer'!$A:$A,'Actuals Summer'!L:L,0,0)</f>
        <v>0</v>
      </c>
      <c r="DD109" s="452">
        <f>_xlfn.XLOOKUP($A109,'Actuals Summer'!$A:$A,'Actuals Summer'!K:K,0,0)+_xlfn.XLOOKUP($A109,'Actuals Summer'!$A:$A,'Actuals Summer'!Q:Q,0,0)</f>
        <v>0</v>
      </c>
      <c r="DE109" s="452">
        <f>_xlfn.XLOOKUP($A109,'Actuals Summer'!$A:$A,'Actuals Summer'!I:I,0,0)+_xlfn.XLOOKUP($A109,'Actuals Summer'!$A:$A,'Actuals Summer'!R:R,0,0)</f>
        <v>27592.5</v>
      </c>
      <c r="DF109" s="452">
        <f>_xlfn.XLOOKUP($A109,'Actuals Summer'!$A:$A,'Actuals Summer'!J:J,0,0)</f>
        <v>4414.8</v>
      </c>
      <c r="DG109" s="452">
        <f>_xlfn.XLOOKUP($A109,'Actuals Dep Summer'!$B:$B,'Actuals Dep Summer'!G:G,0,0)*'Actuals Dep Summer'!$F$2*'Actuals Dep Summer'!$C$2</f>
        <v>1070.55</v>
      </c>
      <c r="DH109" s="452">
        <f>_xlfn.XLOOKUP($A109,'Actuals Dep Summer'!$B:$B,'Actuals Dep Summer'!H:H,0,0)*'Actuals Dep Summer'!$F$2*'Actuals Dep Summer'!$C$3</f>
        <v>0</v>
      </c>
      <c r="DI109" s="452">
        <f>_xlfn.XLOOKUP($A109,'Actuals Dep Summer'!$B:$B,'Actuals Dep Summer'!I:I,0,0)*'Actuals Dep Summer'!$F$2*'Actuals Dep Summer'!$C$4</f>
        <v>218.4</v>
      </c>
      <c r="DJ109" s="452">
        <f>_xlfn.XLOOKUP($A109,'Actuals Summer'!$A:$A,'Actuals Summer'!P:P,0,0)</f>
        <v>2145</v>
      </c>
      <c r="DK109" s="452">
        <f>_xlfn.XLOOKUP($A109,'Actuals Summer'!$A:$A,'Actuals Summer'!O:O,0,0)</f>
        <v>298.31578947368422</v>
      </c>
      <c r="DL109" s="452"/>
      <c r="DM109" s="452">
        <f>_xlfn.XLOOKUP($A109,'Actuals Summer'!$A:$A,'Actuals Summer'!M:M,0,0)</f>
        <v>0</v>
      </c>
      <c r="DN109" s="453">
        <f t="shared" si="60"/>
        <v>35739.565789473687</v>
      </c>
      <c r="DO109" s="453">
        <f>_xlfn.XLOOKUP(A109,'Actuals Summer'!A:A,'Actuals Summer'!S:S,0,0)-'Summer data team '!DN109</f>
        <v>0</v>
      </c>
      <c r="DP109" s="463">
        <f t="shared" si="61"/>
        <v>150.15000000000146</v>
      </c>
    </row>
    <row r="110" spans="1:120" ht="13" x14ac:dyDescent="0.3">
      <c r="A110" s="364">
        <v>2194</v>
      </c>
      <c r="B110" s="364">
        <v>3302194</v>
      </c>
      <c r="C110" s="364" t="s">
        <v>314</v>
      </c>
      <c r="D110" s="506">
        <v>0</v>
      </c>
      <c r="E110" s="506">
        <v>0</v>
      </c>
      <c r="F110" s="506">
        <v>0</v>
      </c>
      <c r="G110" s="506">
        <v>33</v>
      </c>
      <c r="H110" s="506">
        <v>24</v>
      </c>
      <c r="I110" s="507">
        <v>0</v>
      </c>
      <c r="J110" s="507">
        <v>57</v>
      </c>
      <c r="K110" s="506">
        <v>1</v>
      </c>
      <c r="L110" s="506">
        <v>1</v>
      </c>
      <c r="M110" s="507">
        <v>2</v>
      </c>
      <c r="N110" s="506">
        <v>0</v>
      </c>
      <c r="O110" s="506">
        <v>0</v>
      </c>
      <c r="P110" s="506">
        <v>495</v>
      </c>
      <c r="Q110" s="506">
        <v>360</v>
      </c>
      <c r="R110" s="507">
        <v>855</v>
      </c>
      <c r="S110" s="506">
        <v>0</v>
      </c>
      <c r="T110" s="506">
        <v>0</v>
      </c>
      <c r="U110" s="506">
        <v>15</v>
      </c>
      <c r="V110" s="506">
        <v>15</v>
      </c>
      <c r="W110" s="507">
        <v>30</v>
      </c>
      <c r="X110" s="506">
        <v>2</v>
      </c>
      <c r="Y110" s="506">
        <v>30</v>
      </c>
      <c r="Z110" s="508">
        <v>0</v>
      </c>
      <c r="AA110" s="506">
        <v>0</v>
      </c>
      <c r="AB110" s="506">
        <v>0</v>
      </c>
      <c r="AC110" s="508">
        <v>0</v>
      </c>
      <c r="AD110" s="506">
        <v>18</v>
      </c>
      <c r="AE110" s="506">
        <v>270</v>
      </c>
      <c r="AF110" s="508">
        <v>0</v>
      </c>
      <c r="AG110" s="509">
        <v>0</v>
      </c>
      <c r="AH110" s="509">
        <v>0</v>
      </c>
      <c r="AI110" s="508">
        <v>0</v>
      </c>
      <c r="AJ110" s="509">
        <v>13</v>
      </c>
      <c r="AK110" s="509">
        <v>195</v>
      </c>
      <c r="AL110" s="508">
        <v>15</v>
      </c>
      <c r="AM110" s="506">
        <v>13</v>
      </c>
      <c r="AN110" s="506">
        <v>195</v>
      </c>
      <c r="AO110" s="508">
        <v>15</v>
      </c>
      <c r="AP110" s="508"/>
      <c r="AQ110" s="508">
        <f t="shared" si="35"/>
        <v>13</v>
      </c>
      <c r="AR110" s="509">
        <v>0</v>
      </c>
      <c r="AS110" s="509">
        <v>0</v>
      </c>
      <c r="AT110" s="508">
        <v>0</v>
      </c>
      <c r="AU110" s="509">
        <v>13</v>
      </c>
      <c r="AV110" s="509">
        <v>195</v>
      </c>
      <c r="AW110" s="508">
        <v>15</v>
      </c>
      <c r="AX110" s="506">
        <v>13</v>
      </c>
      <c r="AY110" s="506">
        <v>195</v>
      </c>
      <c r="AZ110" s="508">
        <v>15</v>
      </c>
      <c r="BA110" s="508"/>
      <c r="BB110" s="508">
        <f t="shared" si="36"/>
        <v>26</v>
      </c>
      <c r="BC110" s="509">
        <v>0</v>
      </c>
      <c r="BD110" s="509">
        <v>0</v>
      </c>
      <c r="BE110" s="506">
        <v>0</v>
      </c>
      <c r="BF110" s="200"/>
      <c r="BG110" s="200"/>
      <c r="BH110" s="200"/>
      <c r="BI110" s="200"/>
      <c r="BJ110" s="200"/>
      <c r="BK110" s="200"/>
      <c r="BL110" s="200"/>
      <c r="BM110" s="505">
        <f t="shared" si="37"/>
        <v>0</v>
      </c>
      <c r="BN110" s="200">
        <f t="shared" si="38"/>
        <v>0</v>
      </c>
      <c r="BO110" s="200">
        <f t="shared" si="58"/>
        <v>0</v>
      </c>
      <c r="BP110" s="200">
        <f t="shared" si="39"/>
        <v>11115</v>
      </c>
      <c r="BQ110" s="200">
        <f t="shared" si="40"/>
        <v>390</v>
      </c>
      <c r="BR110" s="200">
        <f t="shared" si="41"/>
        <v>390</v>
      </c>
      <c r="BS110" s="200">
        <f t="shared" si="42"/>
        <v>0</v>
      </c>
      <c r="BT110" s="200">
        <f t="shared" si="43"/>
        <v>3510</v>
      </c>
      <c r="BU110" s="200">
        <f t="shared" si="44"/>
        <v>2535</v>
      </c>
      <c r="BV110" s="200">
        <v>12</v>
      </c>
      <c r="BW110" s="200">
        <v>1</v>
      </c>
      <c r="BX110" s="200">
        <f t="shared" si="45"/>
        <v>0</v>
      </c>
      <c r="CB110" s="381">
        <f>_xlfn.IFNA(VLOOKUP(A110,'Actuals Summer'!$A:$AG,23,FALSE),0)</f>
        <v>11115</v>
      </c>
      <c r="CC110" s="381">
        <f>_xlfn.IFNA(VLOOKUP(A110,'Actuals Summer'!$A:$AG,24,FALSE),0)</f>
        <v>390</v>
      </c>
      <c r="CD110" s="381">
        <f>_xlfn.IFNA(VLOOKUP(A110,'Actuals Summer'!$A:$AG,25,FALSE),0)</f>
        <v>0</v>
      </c>
      <c r="CE110" s="381">
        <f>_xlfn.IFNA(VLOOKUP(A110,'Actuals Summer'!$A:$AG,26,FALSE),0)</f>
        <v>0</v>
      </c>
      <c r="CF110" s="381">
        <f>_xlfn.IFNA(VLOOKUP(A110,'Actuals Summer'!$A:$AG,27,FALSE),0)</f>
        <v>0</v>
      </c>
      <c r="CG110" s="381">
        <f>_xlfn.IFNA(VLOOKUP(A110,'Actuals Dep Summer'!B:O,6,FALSE)*$BN$3,0)</f>
        <v>390</v>
      </c>
      <c r="CH110" s="381">
        <f>_xlfn.IFNA(VLOOKUP(A110,'Actuals Dep Summer'!B:O,7,FALSE)*$BN$3,0)</f>
        <v>0</v>
      </c>
      <c r="CI110" s="381">
        <f>_xlfn.IFNA(VLOOKUP(A110,'Actuals Dep Summer'!B:O,8,FALSE)*$BN$3,0)</f>
        <v>3510</v>
      </c>
      <c r="CJ110" s="381">
        <f>_xlfn.IFNA(VLOOKUP(A110,'Actuals Summer'!$A:$AG,31,FALSE),0)*$BN$3</f>
        <v>168.90702365670273</v>
      </c>
      <c r="CK110" s="381"/>
      <c r="CL110" s="381">
        <f>_xlfn.IFNA(VLOOKUP(A110,'Actuals Summer'!$A:$AG,32,FALSE),0)*$BN$3</f>
        <v>32955</v>
      </c>
      <c r="CM110" s="381">
        <f>_xlfn.IFNA(VLOOKUP(A110,'Actuals Summer'!$A:$AG,33,FALSE),0)</f>
        <v>0</v>
      </c>
      <c r="CP110" s="458">
        <f t="shared" si="46"/>
        <v>0</v>
      </c>
      <c r="CQ110" s="458">
        <f t="shared" si="47"/>
        <v>0</v>
      </c>
      <c r="CR110" s="458">
        <f t="shared" si="59"/>
        <v>0</v>
      </c>
      <c r="CS110" s="458">
        <f t="shared" si="48"/>
        <v>62910.9</v>
      </c>
      <c r="CT110" s="458">
        <f t="shared" si="49"/>
        <v>2207.4</v>
      </c>
      <c r="CU110" s="458">
        <f t="shared" si="50"/>
        <v>237.9</v>
      </c>
      <c r="CV110" s="458">
        <f t="shared" si="51"/>
        <v>0</v>
      </c>
      <c r="CW110" s="458">
        <f t="shared" si="52"/>
        <v>280.8</v>
      </c>
      <c r="CX110" s="458">
        <f t="shared" si="53"/>
        <v>2535</v>
      </c>
      <c r="CY110" s="458">
        <f t="shared" si="54"/>
        <v>894.9473684210526</v>
      </c>
      <c r="CZ110" s="458">
        <f t="shared" si="55"/>
        <v>186.44736842105263</v>
      </c>
      <c r="DA110" s="458">
        <f t="shared" si="56"/>
        <v>0</v>
      </c>
      <c r="DB110" s="458">
        <f t="shared" si="57"/>
        <v>69253.394736842107</v>
      </c>
      <c r="DC110" s="452">
        <f>_xlfn.XLOOKUP($A110,'Actuals Summer'!$A:$A,'Actuals Summer'!L:L,0,0)</f>
        <v>0</v>
      </c>
      <c r="DD110" s="452">
        <f>_xlfn.XLOOKUP($A110,'Actuals Summer'!$A:$A,'Actuals Summer'!K:K,0,0)+_xlfn.XLOOKUP($A110,'Actuals Summer'!$A:$A,'Actuals Summer'!Q:Q,0,0)</f>
        <v>0</v>
      </c>
      <c r="DE110" s="452">
        <f>_xlfn.XLOOKUP($A110,'Actuals Summer'!$A:$A,'Actuals Summer'!I:I,0,0)+_xlfn.XLOOKUP($A110,'Actuals Summer'!$A:$A,'Actuals Summer'!R:R,0,0)</f>
        <v>62910.9</v>
      </c>
      <c r="DF110" s="452">
        <f>_xlfn.XLOOKUP($A110,'Actuals Summer'!$A:$A,'Actuals Summer'!J:J,0,0)</f>
        <v>2207.4</v>
      </c>
      <c r="DG110" s="452">
        <f>_xlfn.XLOOKUP($A110,'Actuals Dep Summer'!$B:$B,'Actuals Dep Summer'!G:G,0,0)*'Actuals Dep Summer'!$F$2*'Actuals Dep Summer'!$C$2</f>
        <v>237.9</v>
      </c>
      <c r="DH110" s="452">
        <f>_xlfn.XLOOKUP($A110,'Actuals Dep Summer'!$B:$B,'Actuals Dep Summer'!H:H,0,0)*'Actuals Dep Summer'!$F$2*'Actuals Dep Summer'!$C$3</f>
        <v>0</v>
      </c>
      <c r="DI110" s="452">
        <f>_xlfn.XLOOKUP($A110,'Actuals Dep Summer'!$B:$B,'Actuals Dep Summer'!I:I,0,0)*'Actuals Dep Summer'!$F$2*'Actuals Dep Summer'!$C$4</f>
        <v>280.8</v>
      </c>
      <c r="DJ110" s="452">
        <f>_xlfn.XLOOKUP($A110,'Actuals Summer'!$A:$A,'Actuals Summer'!P:P,0,0)</f>
        <v>2535</v>
      </c>
      <c r="DK110" s="452">
        <f>_xlfn.XLOOKUP($A110,'Actuals Summer'!$A:$A,'Actuals Summer'!O:O,0,0)</f>
        <v>969.52631578947376</v>
      </c>
      <c r="DL110" s="452"/>
      <c r="DM110" s="452">
        <f>_xlfn.XLOOKUP($A110,'Actuals Summer'!$A:$A,'Actuals Summer'!M:M,0,0)</f>
        <v>0</v>
      </c>
      <c r="DN110" s="453">
        <f t="shared" si="60"/>
        <v>69141.526315789481</v>
      </c>
      <c r="DO110" s="453">
        <f>_xlfn.XLOOKUP(A110,'Actuals Summer'!A:A,'Actuals Summer'!S:S,0,0)-'Summer data team '!DN110</f>
        <v>0</v>
      </c>
      <c r="DP110" s="463">
        <f t="shared" si="61"/>
        <v>111.86842105262622</v>
      </c>
    </row>
    <row r="111" spans="1:120" ht="13" x14ac:dyDescent="0.3">
      <c r="A111" s="364">
        <v>2195</v>
      </c>
      <c r="B111" s="364">
        <v>3302195</v>
      </c>
      <c r="C111" s="364" t="s">
        <v>315</v>
      </c>
      <c r="D111" s="506">
        <v>0</v>
      </c>
      <c r="E111" s="506">
        <v>11</v>
      </c>
      <c r="F111" s="506">
        <v>0</v>
      </c>
      <c r="G111" s="506">
        <v>42</v>
      </c>
      <c r="H111" s="506">
        <v>20</v>
      </c>
      <c r="I111" s="507">
        <v>11</v>
      </c>
      <c r="J111" s="507">
        <v>62</v>
      </c>
      <c r="K111" s="506">
        <v>0</v>
      </c>
      <c r="L111" s="506">
        <v>0</v>
      </c>
      <c r="M111" s="507">
        <v>0</v>
      </c>
      <c r="N111" s="506">
        <v>0</v>
      </c>
      <c r="O111" s="506">
        <v>165</v>
      </c>
      <c r="P111" s="506">
        <v>624</v>
      </c>
      <c r="Q111" s="506">
        <v>300</v>
      </c>
      <c r="R111" s="507">
        <v>924</v>
      </c>
      <c r="S111" s="506">
        <v>0</v>
      </c>
      <c r="T111" s="506">
        <v>165</v>
      </c>
      <c r="U111" s="506">
        <v>0</v>
      </c>
      <c r="V111" s="506">
        <v>0</v>
      </c>
      <c r="W111" s="507">
        <v>0</v>
      </c>
      <c r="X111" s="506">
        <v>27</v>
      </c>
      <c r="Y111" s="506">
        <v>405</v>
      </c>
      <c r="Z111" s="508">
        <v>0</v>
      </c>
      <c r="AA111" s="506">
        <v>19</v>
      </c>
      <c r="AB111" s="506">
        <v>285</v>
      </c>
      <c r="AC111" s="508">
        <v>0</v>
      </c>
      <c r="AD111" s="506">
        <v>13</v>
      </c>
      <c r="AE111" s="506">
        <v>195</v>
      </c>
      <c r="AF111" s="508">
        <v>0</v>
      </c>
      <c r="AG111" s="509">
        <v>6</v>
      </c>
      <c r="AH111" s="509">
        <v>90</v>
      </c>
      <c r="AI111" s="508">
        <v>0</v>
      </c>
      <c r="AJ111" s="509">
        <v>23</v>
      </c>
      <c r="AK111" s="509">
        <v>345</v>
      </c>
      <c r="AL111" s="508">
        <v>0</v>
      </c>
      <c r="AM111" s="506">
        <v>29</v>
      </c>
      <c r="AN111" s="506">
        <v>435</v>
      </c>
      <c r="AO111" s="508">
        <v>0</v>
      </c>
      <c r="AP111" s="508"/>
      <c r="AQ111" s="508">
        <f t="shared" si="35"/>
        <v>29</v>
      </c>
      <c r="AR111" s="509">
        <v>1</v>
      </c>
      <c r="AS111" s="509">
        <v>15</v>
      </c>
      <c r="AT111" s="508">
        <v>0</v>
      </c>
      <c r="AU111" s="509">
        <v>22</v>
      </c>
      <c r="AV111" s="509">
        <v>330</v>
      </c>
      <c r="AW111" s="508">
        <v>0</v>
      </c>
      <c r="AX111" s="506">
        <v>23</v>
      </c>
      <c r="AY111" s="506">
        <v>345</v>
      </c>
      <c r="AZ111" s="508">
        <v>0</v>
      </c>
      <c r="BA111" s="508"/>
      <c r="BB111" s="508">
        <f t="shared" si="36"/>
        <v>45</v>
      </c>
      <c r="BC111" s="509">
        <v>0</v>
      </c>
      <c r="BD111" s="509">
        <v>0</v>
      </c>
      <c r="BE111" s="506">
        <v>0</v>
      </c>
      <c r="BF111" s="200"/>
      <c r="BG111" s="200"/>
      <c r="BH111" s="200"/>
      <c r="BI111" s="200"/>
      <c r="BJ111" s="200"/>
      <c r="BK111" s="200"/>
      <c r="BL111" s="200"/>
      <c r="BM111" s="505">
        <f t="shared" si="37"/>
        <v>0</v>
      </c>
      <c r="BN111" s="200">
        <f t="shared" si="38"/>
        <v>2145</v>
      </c>
      <c r="BO111" s="200">
        <f t="shared" si="58"/>
        <v>0</v>
      </c>
      <c r="BP111" s="200">
        <f t="shared" si="39"/>
        <v>12012</v>
      </c>
      <c r="BQ111" s="200">
        <f t="shared" si="40"/>
        <v>0</v>
      </c>
      <c r="BR111" s="200">
        <f t="shared" si="41"/>
        <v>5265</v>
      </c>
      <c r="BS111" s="200">
        <f t="shared" si="42"/>
        <v>3705</v>
      </c>
      <c r="BT111" s="200">
        <f t="shared" si="43"/>
        <v>2535</v>
      </c>
      <c r="BU111" s="200">
        <f t="shared" si="44"/>
        <v>5655</v>
      </c>
      <c r="BV111" s="200">
        <v>23</v>
      </c>
      <c r="BW111" s="200">
        <v>0</v>
      </c>
      <c r="BX111" s="200">
        <f t="shared" si="45"/>
        <v>0</v>
      </c>
      <c r="CB111" s="381">
        <f>_xlfn.IFNA(VLOOKUP(A111,'Actuals Summer'!$A:$AG,23,FALSE),0)</f>
        <v>12012</v>
      </c>
      <c r="CC111" s="381">
        <f>_xlfn.IFNA(VLOOKUP(A111,'Actuals Summer'!$A:$AG,24,FALSE),0)</f>
        <v>0</v>
      </c>
      <c r="CD111" s="381">
        <f>_xlfn.IFNA(VLOOKUP(A111,'Actuals Summer'!$A:$AG,25,FALSE),0)</f>
        <v>2535</v>
      </c>
      <c r="CE111" s="381">
        <f>_xlfn.IFNA(VLOOKUP(A111,'Actuals Summer'!$A:$AG,26,FALSE),0)</f>
        <v>0</v>
      </c>
      <c r="CF111" s="381">
        <f>_xlfn.IFNA(VLOOKUP(A111,'Actuals Summer'!$A:$AG,27,FALSE),0)</f>
        <v>0</v>
      </c>
      <c r="CG111" s="381">
        <f>_xlfn.IFNA(VLOOKUP(A111,'Actuals Dep Summer'!B:O,6,FALSE)*$BN$3,0)</f>
        <v>5265</v>
      </c>
      <c r="CH111" s="381">
        <f>_xlfn.IFNA(VLOOKUP(A111,'Actuals Dep Summer'!B:O,7,FALSE)*$BN$3,0)</f>
        <v>3705</v>
      </c>
      <c r="CI111" s="381">
        <f>_xlfn.IFNA(VLOOKUP(A111,'Actuals Dep Summer'!B:O,8,FALSE)*$BN$3,0)</f>
        <v>2535</v>
      </c>
      <c r="CJ111" s="381">
        <f>_xlfn.IFNA(VLOOKUP(A111,'Actuals Summer'!$A:$AG,31,FALSE),0)*$BN$3</f>
        <v>298.83550339262791</v>
      </c>
      <c r="CK111" s="381"/>
      <c r="CL111" s="381">
        <f>_xlfn.IFNA(VLOOKUP(A111,'Actuals Summer'!$A:$AG,32,FALSE),0)*$BN$3</f>
        <v>73515</v>
      </c>
      <c r="CM111" s="381">
        <f>_xlfn.IFNA(VLOOKUP(A111,'Actuals Summer'!$A:$AG,33,FALSE),0)</f>
        <v>0</v>
      </c>
      <c r="CP111" s="458">
        <f t="shared" si="46"/>
        <v>0</v>
      </c>
      <c r="CQ111" s="458">
        <f t="shared" si="47"/>
        <v>18253.95</v>
      </c>
      <c r="CR111" s="458">
        <f t="shared" si="59"/>
        <v>0</v>
      </c>
      <c r="CS111" s="458">
        <f t="shared" si="48"/>
        <v>67987.92</v>
      </c>
      <c r="CT111" s="458">
        <f t="shared" si="49"/>
        <v>0</v>
      </c>
      <c r="CU111" s="458">
        <f t="shared" si="50"/>
        <v>3211.65</v>
      </c>
      <c r="CV111" s="458">
        <f t="shared" si="51"/>
        <v>1074.4499999999998</v>
      </c>
      <c r="CW111" s="458">
        <f t="shared" si="52"/>
        <v>202.8</v>
      </c>
      <c r="CX111" s="458">
        <f t="shared" si="53"/>
        <v>5655</v>
      </c>
      <c r="CY111" s="458">
        <f t="shared" si="54"/>
        <v>1715.3157894736842</v>
      </c>
      <c r="CZ111" s="458">
        <f t="shared" si="55"/>
        <v>0</v>
      </c>
      <c r="DA111" s="458">
        <f t="shared" si="56"/>
        <v>0</v>
      </c>
      <c r="DB111" s="458">
        <f t="shared" si="57"/>
        <v>98101.085789473669</v>
      </c>
      <c r="DC111" s="452">
        <f>_xlfn.XLOOKUP($A111,'Actuals Summer'!$A:$A,'Actuals Summer'!L:L,0,0)</f>
        <v>0</v>
      </c>
      <c r="DD111" s="452">
        <f>_xlfn.XLOOKUP($A111,'Actuals Summer'!$A:$A,'Actuals Summer'!K:K,0,0)+_xlfn.XLOOKUP($A111,'Actuals Summer'!$A:$A,'Actuals Summer'!Q:Q,0,0)</f>
        <v>21572.85</v>
      </c>
      <c r="DE111" s="452">
        <f>_xlfn.XLOOKUP($A111,'Actuals Summer'!$A:$A,'Actuals Summer'!I:I,0,0)+_xlfn.XLOOKUP($A111,'Actuals Summer'!$A:$A,'Actuals Summer'!R:R,0,0)</f>
        <v>67987.92</v>
      </c>
      <c r="DF111" s="452">
        <f>_xlfn.XLOOKUP($A111,'Actuals Summer'!$A:$A,'Actuals Summer'!J:J,0,0)</f>
        <v>0</v>
      </c>
      <c r="DG111" s="452">
        <f>_xlfn.XLOOKUP($A111,'Actuals Dep Summer'!$B:$B,'Actuals Dep Summer'!G:G,0,0)*'Actuals Dep Summer'!$F$2*'Actuals Dep Summer'!$C$2</f>
        <v>3211.65</v>
      </c>
      <c r="DH111" s="452">
        <f>_xlfn.XLOOKUP($A111,'Actuals Dep Summer'!$B:$B,'Actuals Dep Summer'!H:H,0,0)*'Actuals Dep Summer'!$F$2*'Actuals Dep Summer'!$C$3</f>
        <v>1074.4499999999998</v>
      </c>
      <c r="DI111" s="452">
        <f>_xlfn.XLOOKUP($A111,'Actuals Dep Summer'!$B:$B,'Actuals Dep Summer'!I:I,0,0)*'Actuals Dep Summer'!$F$2*'Actuals Dep Summer'!$C$4</f>
        <v>202.8</v>
      </c>
      <c r="DJ111" s="452">
        <f>_xlfn.XLOOKUP($A111,'Actuals Summer'!$A:$A,'Actuals Summer'!P:P,0,0)</f>
        <v>5655</v>
      </c>
      <c r="DK111" s="452">
        <f>_xlfn.XLOOKUP($A111,'Actuals Summer'!$A:$A,'Actuals Summer'!O:O,0,0)</f>
        <v>1715.3157894736842</v>
      </c>
      <c r="DL111" s="452"/>
      <c r="DM111" s="452">
        <f>_xlfn.XLOOKUP($A111,'Actuals Summer'!$A:$A,'Actuals Summer'!M:M,0,0)</f>
        <v>0</v>
      </c>
      <c r="DN111" s="453">
        <f t="shared" si="60"/>
        <v>101419.98578947366</v>
      </c>
      <c r="DO111" s="453">
        <f>_xlfn.XLOOKUP(A111,'Actuals Summer'!A:A,'Actuals Summer'!S:S,0,0)-'Summer data team '!DN111</f>
        <v>0</v>
      </c>
      <c r="DP111" s="463">
        <f t="shared" si="61"/>
        <v>-3318.8999999999942</v>
      </c>
    </row>
    <row r="112" spans="1:120" ht="13" x14ac:dyDescent="0.3">
      <c r="A112" s="364">
        <v>2196</v>
      </c>
      <c r="B112" s="364">
        <v>3302196</v>
      </c>
      <c r="C112" s="364" t="s">
        <v>316</v>
      </c>
      <c r="D112" s="506">
        <v>0</v>
      </c>
      <c r="E112" s="506">
        <v>0</v>
      </c>
      <c r="F112" s="506">
        <v>0</v>
      </c>
      <c r="G112" s="506">
        <v>11</v>
      </c>
      <c r="H112" s="506">
        <v>12</v>
      </c>
      <c r="I112" s="507">
        <v>0</v>
      </c>
      <c r="J112" s="507">
        <v>23</v>
      </c>
      <c r="K112" s="506">
        <v>0</v>
      </c>
      <c r="L112" s="506">
        <v>0</v>
      </c>
      <c r="M112" s="507">
        <v>0</v>
      </c>
      <c r="N112" s="506">
        <v>0</v>
      </c>
      <c r="O112" s="506">
        <v>0</v>
      </c>
      <c r="P112" s="506">
        <v>165</v>
      </c>
      <c r="Q112" s="506">
        <v>180</v>
      </c>
      <c r="R112" s="507">
        <v>345</v>
      </c>
      <c r="S112" s="506">
        <v>0</v>
      </c>
      <c r="T112" s="506">
        <v>0</v>
      </c>
      <c r="U112" s="506">
        <v>0</v>
      </c>
      <c r="V112" s="506">
        <v>0</v>
      </c>
      <c r="W112" s="507">
        <v>0</v>
      </c>
      <c r="X112" s="506">
        <v>7</v>
      </c>
      <c r="Y112" s="506">
        <v>105</v>
      </c>
      <c r="Z112" s="508">
        <v>0</v>
      </c>
      <c r="AA112" s="506">
        <v>12</v>
      </c>
      <c r="AB112" s="506">
        <v>180</v>
      </c>
      <c r="AC112" s="508">
        <v>0</v>
      </c>
      <c r="AD112" s="506">
        <v>4</v>
      </c>
      <c r="AE112" s="506">
        <v>60</v>
      </c>
      <c r="AF112" s="508">
        <v>0</v>
      </c>
      <c r="AG112" s="509">
        <v>0</v>
      </c>
      <c r="AH112" s="509">
        <v>0</v>
      </c>
      <c r="AI112" s="508">
        <v>0</v>
      </c>
      <c r="AJ112" s="509">
        <v>8</v>
      </c>
      <c r="AK112" s="509">
        <v>120</v>
      </c>
      <c r="AL112" s="508">
        <v>0</v>
      </c>
      <c r="AM112" s="506">
        <v>8</v>
      </c>
      <c r="AN112" s="506">
        <v>120</v>
      </c>
      <c r="AO112" s="508">
        <v>0</v>
      </c>
      <c r="AP112" s="508"/>
      <c r="AQ112" s="508">
        <f t="shared" si="35"/>
        <v>8</v>
      </c>
      <c r="AR112" s="509">
        <v>0</v>
      </c>
      <c r="AS112" s="509">
        <v>0</v>
      </c>
      <c r="AT112" s="508">
        <v>0</v>
      </c>
      <c r="AU112" s="509">
        <v>8</v>
      </c>
      <c r="AV112" s="509">
        <v>120</v>
      </c>
      <c r="AW112" s="508">
        <v>0</v>
      </c>
      <c r="AX112" s="506">
        <v>8</v>
      </c>
      <c r="AY112" s="506">
        <v>120</v>
      </c>
      <c r="AZ112" s="508">
        <v>0</v>
      </c>
      <c r="BA112" s="508"/>
      <c r="BB112" s="508">
        <f t="shared" si="36"/>
        <v>16</v>
      </c>
      <c r="BC112" s="509">
        <v>0</v>
      </c>
      <c r="BD112" s="509">
        <v>0</v>
      </c>
      <c r="BE112" s="506">
        <v>0</v>
      </c>
      <c r="BF112" s="200"/>
      <c r="BG112" s="200"/>
      <c r="BH112" s="200"/>
      <c r="BI112" s="200"/>
      <c r="BJ112" s="200"/>
      <c r="BK112" s="200"/>
      <c r="BL112" s="200"/>
      <c r="BM112" s="505">
        <f t="shared" si="37"/>
        <v>0</v>
      </c>
      <c r="BN112" s="200">
        <f t="shared" si="38"/>
        <v>0</v>
      </c>
      <c r="BO112" s="200">
        <f t="shared" si="58"/>
        <v>0</v>
      </c>
      <c r="BP112" s="200">
        <f t="shared" si="39"/>
        <v>4485</v>
      </c>
      <c r="BQ112" s="200">
        <f t="shared" si="40"/>
        <v>0</v>
      </c>
      <c r="BR112" s="200">
        <f t="shared" si="41"/>
        <v>1365</v>
      </c>
      <c r="BS112" s="200">
        <f t="shared" si="42"/>
        <v>2340</v>
      </c>
      <c r="BT112" s="200">
        <f t="shared" si="43"/>
        <v>780</v>
      </c>
      <c r="BU112" s="200">
        <f t="shared" si="44"/>
        <v>1560</v>
      </c>
      <c r="BV112" s="200">
        <v>8</v>
      </c>
      <c r="BW112" s="200">
        <v>0</v>
      </c>
      <c r="BX112" s="200">
        <f t="shared" si="45"/>
        <v>0</v>
      </c>
      <c r="CB112" s="381">
        <f>_xlfn.IFNA(VLOOKUP(A112,'Actuals Summer'!$A:$AG,23,FALSE),0)</f>
        <v>4485</v>
      </c>
      <c r="CC112" s="381">
        <f>_xlfn.IFNA(VLOOKUP(A112,'Actuals Summer'!$A:$AG,24,FALSE),0)</f>
        <v>0</v>
      </c>
      <c r="CD112" s="381">
        <f>_xlfn.IFNA(VLOOKUP(A112,'Actuals Summer'!$A:$AG,25,FALSE),0)</f>
        <v>0</v>
      </c>
      <c r="CE112" s="381">
        <f>_xlfn.IFNA(VLOOKUP(A112,'Actuals Summer'!$A:$AG,26,FALSE),0)</f>
        <v>0</v>
      </c>
      <c r="CF112" s="381">
        <f>_xlfn.IFNA(VLOOKUP(A112,'Actuals Summer'!$A:$AG,27,FALSE),0)</f>
        <v>0</v>
      </c>
      <c r="CG112" s="381">
        <f>_xlfn.IFNA(VLOOKUP(A112,'Actuals Dep Summer'!B:O,6,FALSE)*$BN$3,0)</f>
        <v>1365</v>
      </c>
      <c r="CH112" s="381">
        <f>_xlfn.IFNA(VLOOKUP(A112,'Actuals Dep Summer'!B:O,7,FALSE)*$BN$3,0)</f>
        <v>2340</v>
      </c>
      <c r="CI112" s="381">
        <f>_xlfn.IFNA(VLOOKUP(A112,'Actuals Dep Summer'!B:O,8,FALSE)*$BN$3,0)</f>
        <v>780</v>
      </c>
      <c r="CJ112" s="381">
        <f>_xlfn.IFNA(VLOOKUP(A112,'Actuals Summer'!$A:$AG,31,FALSE),0)*$BN$3</f>
        <v>103.94278378874014</v>
      </c>
      <c r="CK112" s="381"/>
      <c r="CL112" s="381">
        <f>_xlfn.IFNA(VLOOKUP(A112,'Actuals Summer'!$A:$AG,32,FALSE),0)*$BN$3</f>
        <v>20280</v>
      </c>
      <c r="CM112" s="381">
        <f>_xlfn.IFNA(VLOOKUP(A112,'Actuals Summer'!$A:$AG,33,FALSE),0)</f>
        <v>0</v>
      </c>
      <c r="CP112" s="458">
        <f t="shared" si="46"/>
        <v>0</v>
      </c>
      <c r="CQ112" s="458">
        <f t="shared" si="47"/>
        <v>0</v>
      </c>
      <c r="CR112" s="458">
        <f t="shared" si="59"/>
        <v>0</v>
      </c>
      <c r="CS112" s="458">
        <f t="shared" si="48"/>
        <v>25385.100000000002</v>
      </c>
      <c r="CT112" s="458">
        <f t="shared" si="49"/>
        <v>0</v>
      </c>
      <c r="CU112" s="458">
        <f t="shared" si="50"/>
        <v>832.65</v>
      </c>
      <c r="CV112" s="458">
        <f t="shared" si="51"/>
        <v>678.59999999999991</v>
      </c>
      <c r="CW112" s="458">
        <f t="shared" si="52"/>
        <v>62.4</v>
      </c>
      <c r="CX112" s="458">
        <f t="shared" si="53"/>
        <v>1560</v>
      </c>
      <c r="CY112" s="458">
        <f t="shared" si="54"/>
        <v>596.63157894736833</v>
      </c>
      <c r="CZ112" s="458">
        <f t="shared" si="55"/>
        <v>0</v>
      </c>
      <c r="DA112" s="458">
        <f t="shared" si="56"/>
        <v>0</v>
      </c>
      <c r="DB112" s="458">
        <f t="shared" si="57"/>
        <v>29115.381578947374</v>
      </c>
      <c r="DC112" s="452">
        <f>_xlfn.XLOOKUP($A112,'Actuals Summer'!$A:$A,'Actuals Summer'!L:L,0,0)</f>
        <v>0</v>
      </c>
      <c r="DD112" s="452">
        <f>_xlfn.XLOOKUP($A112,'Actuals Summer'!$A:$A,'Actuals Summer'!K:K,0,0)+_xlfn.XLOOKUP($A112,'Actuals Summer'!$A:$A,'Actuals Summer'!Q:Q,0,0)</f>
        <v>0</v>
      </c>
      <c r="DE112" s="452">
        <f>_xlfn.XLOOKUP($A112,'Actuals Summer'!$A:$A,'Actuals Summer'!I:I,0,0)+_xlfn.XLOOKUP($A112,'Actuals Summer'!$A:$A,'Actuals Summer'!R:R,0,0)</f>
        <v>25385.100000000002</v>
      </c>
      <c r="DF112" s="452">
        <f>_xlfn.XLOOKUP($A112,'Actuals Summer'!$A:$A,'Actuals Summer'!J:J,0,0)</f>
        <v>0</v>
      </c>
      <c r="DG112" s="452">
        <f>_xlfn.XLOOKUP($A112,'Actuals Dep Summer'!$B:$B,'Actuals Dep Summer'!G:G,0,0)*'Actuals Dep Summer'!$F$2*'Actuals Dep Summer'!$C$2</f>
        <v>832.65</v>
      </c>
      <c r="DH112" s="452">
        <f>_xlfn.XLOOKUP($A112,'Actuals Dep Summer'!$B:$B,'Actuals Dep Summer'!H:H,0,0)*'Actuals Dep Summer'!$F$2*'Actuals Dep Summer'!$C$3</f>
        <v>678.59999999999991</v>
      </c>
      <c r="DI112" s="452">
        <f>_xlfn.XLOOKUP($A112,'Actuals Dep Summer'!$B:$B,'Actuals Dep Summer'!I:I,0,0)*'Actuals Dep Summer'!$F$2*'Actuals Dep Summer'!$C$4</f>
        <v>62.4</v>
      </c>
      <c r="DJ112" s="452">
        <f>_xlfn.XLOOKUP($A112,'Actuals Summer'!$A:$A,'Actuals Summer'!P:P,0,0)</f>
        <v>1560</v>
      </c>
      <c r="DK112" s="452">
        <f>_xlfn.XLOOKUP($A112,'Actuals Summer'!$A:$A,'Actuals Summer'!O:O,0,0)</f>
        <v>596.63157894736844</v>
      </c>
      <c r="DL112" s="452"/>
      <c r="DM112" s="452">
        <f>_xlfn.XLOOKUP($A112,'Actuals Summer'!$A:$A,'Actuals Summer'!M:M,0,0)</f>
        <v>0</v>
      </c>
      <c r="DN112" s="453">
        <f t="shared" si="60"/>
        <v>29115.381578947374</v>
      </c>
      <c r="DO112" s="453">
        <f>_xlfn.XLOOKUP(A112,'Actuals Summer'!A:A,'Actuals Summer'!S:S,0,0)-'Summer data team '!DN112</f>
        <v>0</v>
      </c>
      <c r="DP112" s="463">
        <f t="shared" si="61"/>
        <v>0</v>
      </c>
    </row>
    <row r="113" spans="1:120" ht="13" x14ac:dyDescent="0.3">
      <c r="A113" s="364">
        <v>2204</v>
      </c>
      <c r="B113" s="364">
        <v>3302204</v>
      </c>
      <c r="C113" s="364" t="s">
        <v>317</v>
      </c>
      <c r="D113" s="506">
        <v>0</v>
      </c>
      <c r="E113" s="506">
        <v>0</v>
      </c>
      <c r="F113" s="506">
        <v>0</v>
      </c>
      <c r="G113" s="506">
        <v>10</v>
      </c>
      <c r="H113" s="506">
        <v>7</v>
      </c>
      <c r="I113" s="507">
        <v>0</v>
      </c>
      <c r="J113" s="507">
        <v>17</v>
      </c>
      <c r="K113" s="506">
        <v>2</v>
      </c>
      <c r="L113" s="506">
        <v>0</v>
      </c>
      <c r="M113" s="507">
        <v>2</v>
      </c>
      <c r="N113" s="506">
        <v>0</v>
      </c>
      <c r="O113" s="506">
        <v>0</v>
      </c>
      <c r="P113" s="506">
        <v>150</v>
      </c>
      <c r="Q113" s="506">
        <v>105</v>
      </c>
      <c r="R113" s="507">
        <v>255</v>
      </c>
      <c r="S113" s="506">
        <v>0</v>
      </c>
      <c r="T113" s="506">
        <v>0</v>
      </c>
      <c r="U113" s="506">
        <v>30</v>
      </c>
      <c r="V113" s="506">
        <v>0</v>
      </c>
      <c r="W113" s="507">
        <v>30</v>
      </c>
      <c r="X113" s="506">
        <v>6</v>
      </c>
      <c r="Y113" s="506">
        <v>90</v>
      </c>
      <c r="Z113" s="508">
        <v>15</v>
      </c>
      <c r="AA113" s="506">
        <v>2</v>
      </c>
      <c r="AB113" s="506">
        <v>30</v>
      </c>
      <c r="AC113" s="508">
        <v>0</v>
      </c>
      <c r="AD113" s="506">
        <v>1</v>
      </c>
      <c r="AE113" s="506">
        <v>15</v>
      </c>
      <c r="AF113" s="508">
        <v>0</v>
      </c>
      <c r="AG113" s="509">
        <v>0</v>
      </c>
      <c r="AH113" s="509">
        <v>0</v>
      </c>
      <c r="AI113" s="508">
        <v>0</v>
      </c>
      <c r="AJ113" s="509">
        <v>8</v>
      </c>
      <c r="AK113" s="509">
        <v>120</v>
      </c>
      <c r="AL113" s="508">
        <v>15</v>
      </c>
      <c r="AM113" s="506">
        <v>8</v>
      </c>
      <c r="AN113" s="506">
        <v>120</v>
      </c>
      <c r="AO113" s="508">
        <v>15</v>
      </c>
      <c r="AP113" s="508"/>
      <c r="AQ113" s="508">
        <f t="shared" si="35"/>
        <v>8</v>
      </c>
      <c r="AR113" s="509">
        <v>0</v>
      </c>
      <c r="AS113" s="509">
        <v>0</v>
      </c>
      <c r="AT113" s="508">
        <v>0</v>
      </c>
      <c r="AU113" s="509">
        <v>7</v>
      </c>
      <c r="AV113" s="509">
        <v>105</v>
      </c>
      <c r="AW113" s="508">
        <v>15</v>
      </c>
      <c r="AX113" s="506">
        <v>7</v>
      </c>
      <c r="AY113" s="506">
        <v>105</v>
      </c>
      <c r="AZ113" s="508">
        <v>15</v>
      </c>
      <c r="BA113" s="508"/>
      <c r="BB113" s="508">
        <f t="shared" si="36"/>
        <v>14</v>
      </c>
      <c r="BC113" s="509">
        <v>0</v>
      </c>
      <c r="BD113" s="509">
        <v>0</v>
      </c>
      <c r="BE113" s="506">
        <v>0</v>
      </c>
      <c r="BF113" s="200"/>
      <c r="BG113" s="200"/>
      <c r="BH113" s="200"/>
      <c r="BI113" s="200"/>
      <c r="BJ113" s="200"/>
      <c r="BK113" s="200"/>
      <c r="BL113" s="200"/>
      <c r="BM113" s="505">
        <f t="shared" si="37"/>
        <v>0</v>
      </c>
      <c r="BN113" s="200">
        <f t="shared" si="38"/>
        <v>0</v>
      </c>
      <c r="BO113" s="200">
        <f t="shared" si="58"/>
        <v>0</v>
      </c>
      <c r="BP113" s="200">
        <f t="shared" si="39"/>
        <v>3315</v>
      </c>
      <c r="BQ113" s="200">
        <f t="shared" si="40"/>
        <v>390</v>
      </c>
      <c r="BR113" s="200">
        <f t="shared" si="41"/>
        <v>1365</v>
      </c>
      <c r="BS113" s="200">
        <f t="shared" si="42"/>
        <v>390</v>
      </c>
      <c r="BT113" s="200">
        <f t="shared" si="43"/>
        <v>195</v>
      </c>
      <c r="BU113" s="200">
        <f t="shared" si="44"/>
        <v>1560</v>
      </c>
      <c r="BV113" s="200">
        <v>6</v>
      </c>
      <c r="BW113" s="200">
        <v>1</v>
      </c>
      <c r="BX113" s="200">
        <f t="shared" si="45"/>
        <v>0</v>
      </c>
      <c r="CB113" s="381">
        <f>_xlfn.IFNA(VLOOKUP(A113,'Actuals Summer'!$A:$AG,23,FALSE),0)</f>
        <v>3315</v>
      </c>
      <c r="CC113" s="381">
        <f>_xlfn.IFNA(VLOOKUP(A113,'Actuals Summer'!$A:$AG,24,FALSE),0)</f>
        <v>390</v>
      </c>
      <c r="CD113" s="381">
        <f>_xlfn.IFNA(VLOOKUP(A113,'Actuals Summer'!$A:$AG,25,FALSE),0)</f>
        <v>0</v>
      </c>
      <c r="CE113" s="381">
        <f>_xlfn.IFNA(VLOOKUP(A113,'Actuals Summer'!$A:$AG,26,FALSE),0)</f>
        <v>0</v>
      </c>
      <c r="CF113" s="381">
        <f>_xlfn.IFNA(VLOOKUP(A113,'Actuals Summer'!$A:$AG,27,FALSE),0)</f>
        <v>0</v>
      </c>
      <c r="CG113" s="381">
        <f>_xlfn.IFNA(VLOOKUP(A113,'Actuals Dep Summer'!B:O,6,FALSE)*$BN$3,0)</f>
        <v>1170</v>
      </c>
      <c r="CH113" s="381">
        <f>_xlfn.IFNA(VLOOKUP(A113,'Actuals Dep Summer'!B:O,7,FALSE)*$BN$3,0)</f>
        <v>390</v>
      </c>
      <c r="CI113" s="381">
        <f>_xlfn.IFNA(VLOOKUP(A113,'Actuals Dep Summer'!B:O,8,FALSE)*$BN$3,0)</f>
        <v>195</v>
      </c>
      <c r="CJ113" s="381">
        <f>_xlfn.IFNA(VLOOKUP(A113,'Actuals Summer'!$A:$AG,31,FALSE),0)*$BN$3</f>
        <v>90.949935815147626</v>
      </c>
      <c r="CK113" s="381"/>
      <c r="CL113" s="381">
        <f>_xlfn.IFNA(VLOOKUP(A113,'Actuals Summer'!$A:$AG,32,FALSE),0)*$BN$3</f>
        <v>20280</v>
      </c>
      <c r="CM113" s="381">
        <f>_xlfn.IFNA(VLOOKUP(A113,'Actuals Summer'!$A:$AG,33,FALSE),0)</f>
        <v>0</v>
      </c>
      <c r="CP113" s="458">
        <f t="shared" si="46"/>
        <v>0</v>
      </c>
      <c r="CQ113" s="458">
        <f t="shared" si="47"/>
        <v>0</v>
      </c>
      <c r="CR113" s="458">
        <f t="shared" si="59"/>
        <v>0</v>
      </c>
      <c r="CS113" s="458">
        <f t="shared" si="48"/>
        <v>18762.900000000001</v>
      </c>
      <c r="CT113" s="458">
        <f t="shared" si="49"/>
        <v>2207.4</v>
      </c>
      <c r="CU113" s="458">
        <f t="shared" si="50"/>
        <v>832.65</v>
      </c>
      <c r="CV113" s="458">
        <f t="shared" si="51"/>
        <v>113.1</v>
      </c>
      <c r="CW113" s="458">
        <f t="shared" si="52"/>
        <v>15.6</v>
      </c>
      <c r="CX113" s="458">
        <f t="shared" si="53"/>
        <v>1560</v>
      </c>
      <c r="CY113" s="458">
        <f t="shared" si="54"/>
        <v>447.4736842105263</v>
      </c>
      <c r="CZ113" s="458">
        <f t="shared" si="55"/>
        <v>186.44736842105263</v>
      </c>
      <c r="DA113" s="458">
        <f t="shared" si="56"/>
        <v>0</v>
      </c>
      <c r="DB113" s="458">
        <f t="shared" si="57"/>
        <v>24125.571052631582</v>
      </c>
      <c r="DC113" s="452">
        <f>_xlfn.XLOOKUP($A113,'Actuals Summer'!$A:$A,'Actuals Summer'!L:L,0,0)</f>
        <v>0</v>
      </c>
      <c r="DD113" s="452">
        <f>_xlfn.XLOOKUP($A113,'Actuals Summer'!$A:$A,'Actuals Summer'!K:K,0,0)+_xlfn.XLOOKUP($A113,'Actuals Summer'!$A:$A,'Actuals Summer'!Q:Q,0,0)</f>
        <v>0</v>
      </c>
      <c r="DE113" s="452">
        <f>_xlfn.XLOOKUP($A113,'Actuals Summer'!$A:$A,'Actuals Summer'!I:I,0,0)+_xlfn.XLOOKUP($A113,'Actuals Summer'!$A:$A,'Actuals Summer'!R:R,0,0)</f>
        <v>18762.900000000001</v>
      </c>
      <c r="DF113" s="452">
        <f>_xlfn.XLOOKUP($A113,'Actuals Summer'!$A:$A,'Actuals Summer'!J:J,0,0)</f>
        <v>2207.4</v>
      </c>
      <c r="DG113" s="452">
        <f>_xlfn.XLOOKUP($A113,'Actuals Dep Summer'!$B:$B,'Actuals Dep Summer'!G:G,0,0)*'Actuals Dep Summer'!$F$2*'Actuals Dep Summer'!$C$2</f>
        <v>713.69999999999993</v>
      </c>
      <c r="DH113" s="452">
        <f>_xlfn.XLOOKUP($A113,'Actuals Dep Summer'!$B:$B,'Actuals Dep Summer'!H:H,0,0)*'Actuals Dep Summer'!$F$2*'Actuals Dep Summer'!$C$3</f>
        <v>113.1</v>
      </c>
      <c r="DI113" s="452">
        <f>_xlfn.XLOOKUP($A113,'Actuals Dep Summer'!$B:$B,'Actuals Dep Summer'!I:I,0,0)*'Actuals Dep Summer'!$F$2*'Actuals Dep Summer'!$C$4</f>
        <v>15.6</v>
      </c>
      <c r="DJ113" s="452">
        <f>_xlfn.XLOOKUP($A113,'Actuals Summer'!$A:$A,'Actuals Summer'!P:P,0,0)</f>
        <v>1560</v>
      </c>
      <c r="DK113" s="452">
        <f>_xlfn.XLOOKUP($A113,'Actuals Summer'!$A:$A,'Actuals Summer'!O:O,0,0)</f>
        <v>522.0526315789474</v>
      </c>
      <c r="DL113" s="452"/>
      <c r="DM113" s="452">
        <f>_xlfn.XLOOKUP($A113,'Actuals Summer'!$A:$A,'Actuals Summer'!M:M,0,0)</f>
        <v>0</v>
      </c>
      <c r="DN113" s="453">
        <f t="shared" si="60"/>
        <v>23894.752631578947</v>
      </c>
      <c r="DO113" s="453">
        <f>_xlfn.XLOOKUP(A113,'Actuals Summer'!A:A,'Actuals Summer'!S:S,0,0)-'Summer data team '!DN113</f>
        <v>0</v>
      </c>
      <c r="DP113" s="463">
        <f t="shared" si="61"/>
        <v>230.81842105263422</v>
      </c>
    </row>
    <row r="114" spans="1:120" ht="13" x14ac:dyDescent="0.3">
      <c r="A114" s="364">
        <v>2211</v>
      </c>
      <c r="B114" s="364">
        <v>3302211</v>
      </c>
      <c r="C114" s="364" t="s">
        <v>851</v>
      </c>
      <c r="D114" s="506">
        <v>0</v>
      </c>
      <c r="E114" s="506">
        <v>0</v>
      </c>
      <c r="F114" s="506">
        <v>0</v>
      </c>
      <c r="G114" s="506">
        <v>45</v>
      </c>
      <c r="H114" s="506">
        <v>16</v>
      </c>
      <c r="I114" s="507">
        <v>0</v>
      </c>
      <c r="J114" s="507">
        <v>61</v>
      </c>
      <c r="K114" s="506">
        <v>7</v>
      </c>
      <c r="L114" s="506">
        <v>5</v>
      </c>
      <c r="M114" s="507">
        <v>12</v>
      </c>
      <c r="N114" s="506">
        <v>0</v>
      </c>
      <c r="O114" s="506">
        <v>0</v>
      </c>
      <c r="P114" s="506">
        <v>675</v>
      </c>
      <c r="Q114" s="506">
        <v>240</v>
      </c>
      <c r="R114" s="507">
        <v>915</v>
      </c>
      <c r="S114" s="506">
        <v>0</v>
      </c>
      <c r="T114" s="506">
        <v>0</v>
      </c>
      <c r="U114" s="506">
        <v>105</v>
      </c>
      <c r="V114" s="506">
        <v>75</v>
      </c>
      <c r="W114" s="507">
        <v>180</v>
      </c>
      <c r="X114" s="506">
        <v>5</v>
      </c>
      <c r="Y114" s="506">
        <v>75</v>
      </c>
      <c r="Z114" s="508">
        <v>0</v>
      </c>
      <c r="AA114" s="506">
        <v>32</v>
      </c>
      <c r="AB114" s="506">
        <v>480</v>
      </c>
      <c r="AC114" s="508">
        <v>75</v>
      </c>
      <c r="AD114" s="506">
        <v>5</v>
      </c>
      <c r="AE114" s="506">
        <v>75</v>
      </c>
      <c r="AF114" s="508">
        <v>45</v>
      </c>
      <c r="AG114" s="509">
        <v>0</v>
      </c>
      <c r="AH114" s="509">
        <v>0</v>
      </c>
      <c r="AI114" s="508">
        <v>0</v>
      </c>
      <c r="AJ114" s="509">
        <v>26</v>
      </c>
      <c r="AK114" s="509">
        <v>390</v>
      </c>
      <c r="AL114" s="508">
        <v>60</v>
      </c>
      <c r="AM114" s="506">
        <v>26</v>
      </c>
      <c r="AN114" s="506">
        <v>390</v>
      </c>
      <c r="AO114" s="508">
        <v>60</v>
      </c>
      <c r="AP114" s="508"/>
      <c r="AQ114" s="508">
        <f t="shared" si="35"/>
        <v>26</v>
      </c>
      <c r="AR114" s="509">
        <v>0</v>
      </c>
      <c r="AS114" s="509">
        <v>0</v>
      </c>
      <c r="AT114" s="508">
        <v>0</v>
      </c>
      <c r="AU114" s="509">
        <v>26</v>
      </c>
      <c r="AV114" s="509">
        <v>390</v>
      </c>
      <c r="AW114" s="508">
        <v>60</v>
      </c>
      <c r="AX114" s="506">
        <v>26</v>
      </c>
      <c r="AY114" s="506">
        <v>390</v>
      </c>
      <c r="AZ114" s="508">
        <v>60</v>
      </c>
      <c r="BA114" s="508"/>
      <c r="BB114" s="508">
        <f t="shared" si="36"/>
        <v>52</v>
      </c>
      <c r="BC114" s="509">
        <v>0</v>
      </c>
      <c r="BD114" s="509">
        <v>0</v>
      </c>
      <c r="BE114" s="506">
        <v>0</v>
      </c>
      <c r="BF114" s="200"/>
      <c r="BG114" s="200"/>
      <c r="BH114" s="200"/>
      <c r="BI114" s="200"/>
      <c r="BJ114" s="200"/>
      <c r="BK114" s="200"/>
      <c r="BL114" s="200"/>
      <c r="BM114" s="505">
        <f t="shared" si="37"/>
        <v>0</v>
      </c>
      <c r="BN114" s="200">
        <f t="shared" si="38"/>
        <v>0</v>
      </c>
      <c r="BO114" s="200">
        <f t="shared" si="58"/>
        <v>0</v>
      </c>
      <c r="BP114" s="200">
        <f t="shared" si="39"/>
        <v>11895</v>
      </c>
      <c r="BQ114" s="200">
        <f t="shared" si="40"/>
        <v>2340</v>
      </c>
      <c r="BR114" s="200">
        <f t="shared" si="41"/>
        <v>975</v>
      </c>
      <c r="BS114" s="200">
        <f t="shared" si="42"/>
        <v>7215</v>
      </c>
      <c r="BT114" s="200">
        <f t="shared" si="43"/>
        <v>1560</v>
      </c>
      <c r="BU114" s="200">
        <f t="shared" si="44"/>
        <v>5070</v>
      </c>
      <c r="BV114" s="200">
        <v>22</v>
      </c>
      <c r="BW114" s="200">
        <v>4</v>
      </c>
      <c r="BX114" s="200">
        <f t="shared" si="45"/>
        <v>0</v>
      </c>
      <c r="CB114" s="381">
        <f>_xlfn.IFNA(VLOOKUP(A114,'Actuals Summer'!$A:$AG,23,FALSE),0)</f>
        <v>11895</v>
      </c>
      <c r="CC114" s="381">
        <f>_xlfn.IFNA(VLOOKUP(A114,'Actuals Summer'!$A:$AG,24,FALSE),0)</f>
        <v>2340</v>
      </c>
      <c r="CD114" s="381">
        <f>_xlfn.IFNA(VLOOKUP(A114,'Actuals Summer'!$A:$AG,25,FALSE),0)</f>
        <v>0</v>
      </c>
      <c r="CE114" s="381">
        <f>_xlfn.IFNA(VLOOKUP(A114,'Actuals Summer'!$A:$AG,26,FALSE),0)</f>
        <v>0</v>
      </c>
      <c r="CF114" s="381">
        <f>_xlfn.IFNA(VLOOKUP(A114,'Actuals Summer'!$A:$AG,27,FALSE),0)</f>
        <v>0</v>
      </c>
      <c r="CG114" s="381">
        <f>_xlfn.IFNA(VLOOKUP(A114,'Actuals Dep Summer'!B:O,6,FALSE)*$BN$3,0)</f>
        <v>975</v>
      </c>
      <c r="CH114" s="381">
        <f>_xlfn.IFNA(VLOOKUP(A114,'Actuals Dep Summer'!B:O,7,FALSE)*$BN$3,0)</f>
        <v>6240</v>
      </c>
      <c r="CI114" s="381">
        <f>_xlfn.IFNA(VLOOKUP(A114,'Actuals Dep Summer'!B:O,8,FALSE)*$BN$3,0)</f>
        <v>975</v>
      </c>
      <c r="CJ114" s="381">
        <f>_xlfn.IFNA(VLOOKUP(A114,'Actuals Summer'!$A:$AG,31,FALSE),0)*$BN$3</f>
        <v>337.81404731340547</v>
      </c>
      <c r="CK114" s="381"/>
      <c r="CL114" s="381">
        <f>_xlfn.IFNA(VLOOKUP(A114,'Actuals Summer'!$A:$AG,32,FALSE),0)*$BN$3</f>
        <v>65910</v>
      </c>
      <c r="CM114" s="381">
        <f>_xlfn.IFNA(VLOOKUP(A114,'Actuals Summer'!$A:$AG,33,FALSE),0)</f>
        <v>0</v>
      </c>
      <c r="CP114" s="458">
        <f t="shared" si="46"/>
        <v>0</v>
      </c>
      <c r="CQ114" s="458">
        <f t="shared" si="47"/>
        <v>0</v>
      </c>
      <c r="CR114" s="458">
        <f t="shared" si="59"/>
        <v>0</v>
      </c>
      <c r="CS114" s="458">
        <f t="shared" si="48"/>
        <v>67325.7</v>
      </c>
      <c r="CT114" s="458">
        <f t="shared" si="49"/>
        <v>13244.4</v>
      </c>
      <c r="CU114" s="458">
        <f t="shared" si="50"/>
        <v>594.75</v>
      </c>
      <c r="CV114" s="458">
        <f t="shared" si="51"/>
        <v>2092.35</v>
      </c>
      <c r="CW114" s="458">
        <f t="shared" si="52"/>
        <v>124.8</v>
      </c>
      <c r="CX114" s="458">
        <f t="shared" si="53"/>
        <v>5070</v>
      </c>
      <c r="CY114" s="458">
        <f t="shared" si="54"/>
        <v>1640.7368421052631</v>
      </c>
      <c r="CZ114" s="458">
        <f t="shared" si="55"/>
        <v>745.78947368421052</v>
      </c>
      <c r="DA114" s="458">
        <f t="shared" si="56"/>
        <v>0</v>
      </c>
      <c r="DB114" s="458">
        <f t="shared" si="57"/>
        <v>90838.526315789481</v>
      </c>
      <c r="DC114" s="452">
        <f>_xlfn.XLOOKUP($A114,'Actuals Summer'!$A:$A,'Actuals Summer'!L:L,0,0)</f>
        <v>0</v>
      </c>
      <c r="DD114" s="452">
        <f>_xlfn.XLOOKUP($A114,'Actuals Summer'!$A:$A,'Actuals Summer'!K:K,0,0)+_xlfn.XLOOKUP($A114,'Actuals Summer'!$A:$A,'Actuals Summer'!Q:Q,0,0)</f>
        <v>0</v>
      </c>
      <c r="DE114" s="452">
        <f>_xlfn.XLOOKUP($A114,'Actuals Summer'!$A:$A,'Actuals Summer'!I:I,0,0)+_xlfn.XLOOKUP($A114,'Actuals Summer'!$A:$A,'Actuals Summer'!R:R,0,0)</f>
        <v>67325.7</v>
      </c>
      <c r="DF114" s="452">
        <f>_xlfn.XLOOKUP($A114,'Actuals Summer'!$A:$A,'Actuals Summer'!J:J,0,0)</f>
        <v>13244.4</v>
      </c>
      <c r="DG114" s="452">
        <f>_xlfn.XLOOKUP($A114,'Actuals Dep Summer'!$B:$B,'Actuals Dep Summer'!G:G,0,0)*'Actuals Dep Summer'!$F$2*'Actuals Dep Summer'!$C$2</f>
        <v>594.75</v>
      </c>
      <c r="DH114" s="452">
        <f>_xlfn.XLOOKUP($A114,'Actuals Dep Summer'!$B:$B,'Actuals Dep Summer'!H:H,0,0)*'Actuals Dep Summer'!$F$2*'Actuals Dep Summer'!$C$3</f>
        <v>1809.6</v>
      </c>
      <c r="DI114" s="452">
        <f>_xlfn.XLOOKUP($A114,'Actuals Dep Summer'!$B:$B,'Actuals Dep Summer'!I:I,0,0)*'Actuals Dep Summer'!$F$2*'Actuals Dep Summer'!$C$4</f>
        <v>78</v>
      </c>
      <c r="DJ114" s="452">
        <f>_xlfn.XLOOKUP($A114,'Actuals Summer'!$A:$A,'Actuals Summer'!P:P,0,0)</f>
        <v>5070</v>
      </c>
      <c r="DK114" s="452">
        <f>_xlfn.XLOOKUP($A114,'Actuals Summer'!$A:$A,'Actuals Summer'!O:O,0,0)</f>
        <v>1939.0526315789475</v>
      </c>
      <c r="DL114" s="452"/>
      <c r="DM114" s="452">
        <f>_xlfn.XLOOKUP($A114,'Actuals Summer'!$A:$A,'Actuals Summer'!M:M,0,0)</f>
        <v>0</v>
      </c>
      <c r="DN114" s="453">
        <f t="shared" si="60"/>
        <v>90061.502631578944</v>
      </c>
      <c r="DO114" s="453">
        <f>_xlfn.XLOOKUP(A114,'Actuals Summer'!A:A,'Actuals Summer'!S:S,0,0)-'Summer data team '!DN114</f>
        <v>0</v>
      </c>
      <c r="DP114" s="463">
        <f t="shared" si="61"/>
        <v>777.02368421053689</v>
      </c>
    </row>
    <row r="115" spans="1:120" ht="13" x14ac:dyDescent="0.3">
      <c r="A115" s="364">
        <v>2212</v>
      </c>
      <c r="B115" s="364">
        <v>3302212</v>
      </c>
      <c r="C115" s="364" t="s">
        <v>648</v>
      </c>
      <c r="D115" s="506">
        <v>0</v>
      </c>
      <c r="E115" s="506">
        <v>0</v>
      </c>
      <c r="F115" s="506">
        <v>0</v>
      </c>
      <c r="G115" s="506">
        <v>5</v>
      </c>
      <c r="H115" s="506">
        <v>9</v>
      </c>
      <c r="I115" s="507">
        <v>0</v>
      </c>
      <c r="J115" s="507">
        <v>14</v>
      </c>
      <c r="K115" s="506">
        <v>0</v>
      </c>
      <c r="L115" s="506">
        <v>0</v>
      </c>
      <c r="M115" s="507">
        <v>0</v>
      </c>
      <c r="N115" s="506">
        <v>0</v>
      </c>
      <c r="O115" s="506">
        <v>0</v>
      </c>
      <c r="P115" s="506">
        <v>75</v>
      </c>
      <c r="Q115" s="506">
        <v>135</v>
      </c>
      <c r="R115" s="507">
        <v>210</v>
      </c>
      <c r="S115" s="506">
        <v>0</v>
      </c>
      <c r="T115" s="506">
        <v>0</v>
      </c>
      <c r="U115" s="506">
        <v>0</v>
      </c>
      <c r="V115" s="506">
        <v>0</v>
      </c>
      <c r="W115" s="507">
        <v>0</v>
      </c>
      <c r="X115" s="506">
        <v>6</v>
      </c>
      <c r="Y115" s="506">
        <v>90</v>
      </c>
      <c r="Z115" s="508">
        <v>0</v>
      </c>
      <c r="AA115" s="506">
        <v>8</v>
      </c>
      <c r="AB115" s="506">
        <v>120</v>
      </c>
      <c r="AC115" s="508">
        <v>0</v>
      </c>
      <c r="AD115" s="506">
        <v>0</v>
      </c>
      <c r="AE115" s="506">
        <v>0</v>
      </c>
      <c r="AF115" s="508">
        <v>0</v>
      </c>
      <c r="AG115" s="509">
        <v>0</v>
      </c>
      <c r="AH115" s="509">
        <v>0</v>
      </c>
      <c r="AI115" s="508">
        <v>0</v>
      </c>
      <c r="AJ115" s="509">
        <v>0</v>
      </c>
      <c r="AK115" s="509">
        <v>0</v>
      </c>
      <c r="AL115" s="508">
        <v>0</v>
      </c>
      <c r="AM115" s="506">
        <v>0</v>
      </c>
      <c r="AN115" s="506">
        <v>0</v>
      </c>
      <c r="AO115" s="508">
        <v>0</v>
      </c>
      <c r="AP115" s="508"/>
      <c r="AQ115" s="508">
        <f t="shared" si="35"/>
        <v>0</v>
      </c>
      <c r="AR115" s="509">
        <v>0</v>
      </c>
      <c r="AS115" s="509">
        <v>0</v>
      </c>
      <c r="AT115" s="508">
        <v>0</v>
      </c>
      <c r="AU115" s="509">
        <v>0</v>
      </c>
      <c r="AV115" s="509">
        <v>0</v>
      </c>
      <c r="AW115" s="508">
        <v>0</v>
      </c>
      <c r="AX115" s="506">
        <v>0</v>
      </c>
      <c r="AY115" s="506">
        <v>0</v>
      </c>
      <c r="AZ115" s="508">
        <v>0</v>
      </c>
      <c r="BA115" s="508"/>
      <c r="BB115" s="508">
        <f t="shared" si="36"/>
        <v>0</v>
      </c>
      <c r="BC115" s="509">
        <v>0</v>
      </c>
      <c r="BD115" s="509">
        <v>0</v>
      </c>
      <c r="BE115" s="506">
        <v>0</v>
      </c>
      <c r="BF115" s="200"/>
      <c r="BG115" s="200"/>
      <c r="BH115" s="200"/>
      <c r="BI115" s="200"/>
      <c r="BJ115" s="200"/>
      <c r="BK115" s="200"/>
      <c r="BL115" s="200"/>
      <c r="BM115" s="505">
        <f t="shared" si="37"/>
        <v>0</v>
      </c>
      <c r="BN115" s="200">
        <f t="shared" si="38"/>
        <v>0</v>
      </c>
      <c r="BO115" s="200">
        <f t="shared" si="58"/>
        <v>0</v>
      </c>
      <c r="BP115" s="200">
        <f t="shared" si="39"/>
        <v>2730</v>
      </c>
      <c r="BQ115" s="200">
        <f t="shared" si="40"/>
        <v>0</v>
      </c>
      <c r="BR115" s="200">
        <f t="shared" si="41"/>
        <v>1170</v>
      </c>
      <c r="BS115" s="200">
        <f t="shared" si="42"/>
        <v>1560</v>
      </c>
      <c r="BT115" s="200">
        <f t="shared" si="43"/>
        <v>0</v>
      </c>
      <c r="BU115" s="200">
        <f t="shared" si="44"/>
        <v>0</v>
      </c>
      <c r="BV115" s="200">
        <v>0</v>
      </c>
      <c r="BW115" s="200">
        <v>0</v>
      </c>
      <c r="BX115" s="200">
        <f t="shared" si="45"/>
        <v>0</v>
      </c>
      <c r="CB115" s="381">
        <f>_xlfn.IFNA(VLOOKUP(A115,'Actuals Summer'!$A:$AG,23,FALSE),0)</f>
        <v>2730</v>
      </c>
      <c r="CC115" s="381">
        <f>_xlfn.IFNA(VLOOKUP(A115,'Actuals Summer'!$A:$AG,24,FALSE),0)</f>
        <v>0</v>
      </c>
      <c r="CD115" s="381">
        <f>_xlfn.IFNA(VLOOKUP(A115,'Actuals Summer'!$A:$AG,25,FALSE),0)</f>
        <v>0</v>
      </c>
      <c r="CE115" s="381">
        <f>_xlfn.IFNA(VLOOKUP(A115,'Actuals Summer'!$A:$AG,26,FALSE),0)</f>
        <v>0</v>
      </c>
      <c r="CF115" s="381">
        <f>_xlfn.IFNA(VLOOKUP(A115,'Actuals Summer'!$A:$AG,27,FALSE),0)</f>
        <v>0</v>
      </c>
      <c r="CG115" s="381">
        <f>_xlfn.IFNA(VLOOKUP(A115,'Actuals Dep Summer'!B:O,6,FALSE)*$BN$3,0)</f>
        <v>1170</v>
      </c>
      <c r="CH115" s="381">
        <f>_xlfn.IFNA(VLOOKUP(A115,'Actuals Dep Summer'!B:O,7,FALSE)*$BN$3,0)</f>
        <v>1560</v>
      </c>
      <c r="CI115" s="381">
        <f>_xlfn.IFNA(VLOOKUP(A115,'Actuals Dep Summer'!B:O,8,FALSE)*$BN$3,0)</f>
        <v>0</v>
      </c>
      <c r="CJ115" s="381">
        <f>_xlfn.IFNA(VLOOKUP(A115,'Actuals Summer'!$A:$AG,31,FALSE),0)*$BN$3</f>
        <v>0</v>
      </c>
      <c r="CK115" s="381"/>
      <c r="CL115" s="381">
        <f>_xlfn.IFNA(VLOOKUP(A115,'Actuals Summer'!$A:$AG,32,FALSE),0)*$BN$3</f>
        <v>0</v>
      </c>
      <c r="CM115" s="381">
        <f>_xlfn.IFNA(VLOOKUP(A115,'Actuals Summer'!$A:$AG,33,FALSE),0)</f>
        <v>0</v>
      </c>
      <c r="CP115" s="458">
        <f t="shared" si="46"/>
        <v>0</v>
      </c>
      <c r="CQ115" s="458">
        <f t="shared" si="47"/>
        <v>0</v>
      </c>
      <c r="CR115" s="458">
        <f t="shared" si="59"/>
        <v>0</v>
      </c>
      <c r="CS115" s="458">
        <f t="shared" si="48"/>
        <v>15451.800000000001</v>
      </c>
      <c r="CT115" s="458">
        <f t="shared" si="49"/>
        <v>0</v>
      </c>
      <c r="CU115" s="458">
        <f t="shared" si="50"/>
        <v>713.69999999999993</v>
      </c>
      <c r="CV115" s="458">
        <f t="shared" si="51"/>
        <v>452.4</v>
      </c>
      <c r="CW115" s="458">
        <f t="shared" si="52"/>
        <v>0</v>
      </c>
      <c r="CX115" s="458">
        <f t="shared" si="53"/>
        <v>0</v>
      </c>
      <c r="CY115" s="458">
        <f t="shared" si="54"/>
        <v>0</v>
      </c>
      <c r="CZ115" s="458">
        <f t="shared" si="55"/>
        <v>0</v>
      </c>
      <c r="DA115" s="458">
        <f t="shared" si="56"/>
        <v>0</v>
      </c>
      <c r="DB115" s="458">
        <f t="shared" si="57"/>
        <v>16617.900000000001</v>
      </c>
      <c r="DC115" s="452">
        <f>_xlfn.XLOOKUP($A115,'Actuals Summer'!$A:$A,'Actuals Summer'!L:L,0,0)</f>
        <v>0</v>
      </c>
      <c r="DD115" s="452">
        <f>_xlfn.XLOOKUP($A115,'Actuals Summer'!$A:$A,'Actuals Summer'!K:K,0,0)+_xlfn.XLOOKUP($A115,'Actuals Summer'!$A:$A,'Actuals Summer'!Q:Q,0,0)</f>
        <v>0</v>
      </c>
      <c r="DE115" s="452">
        <f>_xlfn.XLOOKUP($A115,'Actuals Summer'!$A:$A,'Actuals Summer'!I:I,0,0)+_xlfn.XLOOKUP($A115,'Actuals Summer'!$A:$A,'Actuals Summer'!R:R,0,0)</f>
        <v>15451.800000000001</v>
      </c>
      <c r="DF115" s="452">
        <f>_xlfn.XLOOKUP($A115,'Actuals Summer'!$A:$A,'Actuals Summer'!J:J,0,0)</f>
        <v>0</v>
      </c>
      <c r="DG115" s="452">
        <f>_xlfn.XLOOKUP($A115,'Actuals Dep Summer'!$B:$B,'Actuals Dep Summer'!G:G,0,0)*'Actuals Dep Summer'!$F$2*'Actuals Dep Summer'!$C$2</f>
        <v>713.69999999999993</v>
      </c>
      <c r="DH115" s="452">
        <f>_xlfn.XLOOKUP($A115,'Actuals Dep Summer'!$B:$B,'Actuals Dep Summer'!H:H,0,0)*'Actuals Dep Summer'!$F$2*'Actuals Dep Summer'!$C$3</f>
        <v>452.4</v>
      </c>
      <c r="DI115" s="452">
        <f>_xlfn.XLOOKUP($A115,'Actuals Dep Summer'!$B:$B,'Actuals Dep Summer'!I:I,0,0)*'Actuals Dep Summer'!$F$2*'Actuals Dep Summer'!$C$4</f>
        <v>0</v>
      </c>
      <c r="DJ115" s="452">
        <f>_xlfn.XLOOKUP($A115,'Actuals Summer'!$A:$A,'Actuals Summer'!P:P,0,0)</f>
        <v>0</v>
      </c>
      <c r="DK115" s="452">
        <f>_xlfn.XLOOKUP($A115,'Actuals Summer'!$A:$A,'Actuals Summer'!O:O,0,0)</f>
        <v>0</v>
      </c>
      <c r="DL115" s="452"/>
      <c r="DM115" s="452">
        <f>_xlfn.XLOOKUP($A115,'Actuals Summer'!$A:$A,'Actuals Summer'!M:M,0,0)</f>
        <v>0</v>
      </c>
      <c r="DN115" s="453">
        <f t="shared" si="60"/>
        <v>16617.900000000001</v>
      </c>
      <c r="DO115" s="453">
        <f>_xlfn.XLOOKUP(A115,'Actuals Summer'!A:A,'Actuals Summer'!S:S,0,0)-'Summer data team '!DN115</f>
        <v>0</v>
      </c>
      <c r="DP115" s="463">
        <f t="shared" si="61"/>
        <v>0</v>
      </c>
    </row>
    <row r="116" spans="1:120" ht="13" x14ac:dyDescent="0.3">
      <c r="A116" s="364">
        <v>2214</v>
      </c>
      <c r="B116" s="364">
        <v>3302214</v>
      </c>
      <c r="C116" s="364" t="s">
        <v>852</v>
      </c>
      <c r="D116" s="506">
        <v>0</v>
      </c>
      <c r="E116" s="506">
        <v>0</v>
      </c>
      <c r="F116" s="506">
        <v>0</v>
      </c>
      <c r="G116" s="506">
        <v>16</v>
      </c>
      <c r="H116" s="506">
        <v>22</v>
      </c>
      <c r="I116" s="507">
        <v>0</v>
      </c>
      <c r="J116" s="507">
        <v>38</v>
      </c>
      <c r="K116" s="506">
        <v>0</v>
      </c>
      <c r="L116" s="506">
        <v>0</v>
      </c>
      <c r="M116" s="507">
        <v>0</v>
      </c>
      <c r="N116" s="506">
        <v>0</v>
      </c>
      <c r="O116" s="506">
        <v>0</v>
      </c>
      <c r="P116" s="506">
        <v>240</v>
      </c>
      <c r="Q116" s="506">
        <v>330</v>
      </c>
      <c r="R116" s="507">
        <v>570</v>
      </c>
      <c r="S116" s="506">
        <v>0</v>
      </c>
      <c r="T116" s="506">
        <v>0</v>
      </c>
      <c r="U116" s="506">
        <v>0</v>
      </c>
      <c r="V116" s="506">
        <v>0</v>
      </c>
      <c r="W116" s="507">
        <v>0</v>
      </c>
      <c r="X116" s="506">
        <v>16</v>
      </c>
      <c r="Y116" s="506">
        <v>240</v>
      </c>
      <c r="Z116" s="508">
        <v>0</v>
      </c>
      <c r="AA116" s="506">
        <v>3</v>
      </c>
      <c r="AB116" s="506">
        <v>45</v>
      </c>
      <c r="AC116" s="508">
        <v>0</v>
      </c>
      <c r="AD116" s="506">
        <v>3</v>
      </c>
      <c r="AE116" s="506">
        <v>45</v>
      </c>
      <c r="AF116" s="508">
        <v>0</v>
      </c>
      <c r="AG116" s="509">
        <v>0</v>
      </c>
      <c r="AH116" s="509">
        <v>0</v>
      </c>
      <c r="AI116" s="508">
        <v>0</v>
      </c>
      <c r="AJ116" s="509">
        <v>20</v>
      </c>
      <c r="AK116" s="509">
        <v>300</v>
      </c>
      <c r="AL116" s="508">
        <v>0</v>
      </c>
      <c r="AM116" s="506">
        <v>20</v>
      </c>
      <c r="AN116" s="506">
        <v>300</v>
      </c>
      <c r="AO116" s="508">
        <v>0</v>
      </c>
      <c r="AP116" s="508"/>
      <c r="AQ116" s="508">
        <f t="shared" si="35"/>
        <v>20</v>
      </c>
      <c r="AR116" s="509">
        <v>0</v>
      </c>
      <c r="AS116" s="509">
        <v>0</v>
      </c>
      <c r="AT116" s="508">
        <v>0</v>
      </c>
      <c r="AU116" s="509">
        <v>0</v>
      </c>
      <c r="AV116" s="509">
        <v>0</v>
      </c>
      <c r="AW116" s="508">
        <v>0</v>
      </c>
      <c r="AX116" s="506">
        <v>0</v>
      </c>
      <c r="AY116" s="506">
        <v>0</v>
      </c>
      <c r="AZ116" s="508">
        <v>0</v>
      </c>
      <c r="BA116" s="508"/>
      <c r="BB116" s="508">
        <f t="shared" si="36"/>
        <v>0</v>
      </c>
      <c r="BC116" s="509">
        <v>0</v>
      </c>
      <c r="BD116" s="509">
        <v>0</v>
      </c>
      <c r="BE116" s="506">
        <v>0</v>
      </c>
      <c r="BF116" s="200"/>
      <c r="BG116" s="200"/>
      <c r="BH116" s="200"/>
      <c r="BI116" s="200"/>
      <c r="BJ116" s="200"/>
      <c r="BK116" s="200"/>
      <c r="BL116" s="200"/>
      <c r="BM116" s="505">
        <f t="shared" si="37"/>
        <v>0</v>
      </c>
      <c r="BN116" s="200">
        <f t="shared" si="38"/>
        <v>0</v>
      </c>
      <c r="BO116" s="200">
        <f t="shared" si="58"/>
        <v>0</v>
      </c>
      <c r="BP116" s="200">
        <f t="shared" si="39"/>
        <v>7410</v>
      </c>
      <c r="BQ116" s="200">
        <f t="shared" si="40"/>
        <v>0</v>
      </c>
      <c r="BR116" s="200">
        <f t="shared" si="41"/>
        <v>3120</v>
      </c>
      <c r="BS116" s="200">
        <f t="shared" si="42"/>
        <v>585</v>
      </c>
      <c r="BT116" s="200">
        <f t="shared" si="43"/>
        <v>585</v>
      </c>
      <c r="BU116" s="200">
        <f t="shared" si="44"/>
        <v>3900</v>
      </c>
      <c r="BV116" s="200">
        <v>0</v>
      </c>
      <c r="BW116" s="200">
        <v>0</v>
      </c>
      <c r="BX116" s="200">
        <f t="shared" si="45"/>
        <v>0</v>
      </c>
      <c r="CB116" s="381">
        <f>_xlfn.IFNA(VLOOKUP(A116,'Actuals Summer'!$A:$AG,23,FALSE),0)</f>
        <v>7410</v>
      </c>
      <c r="CC116" s="381">
        <f>_xlfn.IFNA(VLOOKUP(A116,'Actuals Summer'!$A:$AG,24,FALSE),0)</f>
        <v>0</v>
      </c>
      <c r="CD116" s="381">
        <f>_xlfn.IFNA(VLOOKUP(A116,'Actuals Summer'!$A:$AG,25,FALSE),0)</f>
        <v>0</v>
      </c>
      <c r="CE116" s="381">
        <f>_xlfn.IFNA(VLOOKUP(A116,'Actuals Summer'!$A:$AG,26,FALSE),0)</f>
        <v>0</v>
      </c>
      <c r="CF116" s="381">
        <f>_xlfn.IFNA(VLOOKUP(A116,'Actuals Summer'!$A:$AG,27,FALSE),0)</f>
        <v>0</v>
      </c>
      <c r="CG116" s="381">
        <f>_xlfn.IFNA(VLOOKUP(A116,'Actuals Dep Summer'!B:O,6,FALSE)*$BN$3,0)</f>
        <v>3120</v>
      </c>
      <c r="CH116" s="381">
        <f>_xlfn.IFNA(VLOOKUP(A116,'Actuals Dep Summer'!B:O,7,FALSE)*$BN$3,0)</f>
        <v>585</v>
      </c>
      <c r="CI116" s="381">
        <f>_xlfn.IFNA(VLOOKUP(A116,'Actuals Dep Summer'!B:O,8,FALSE)*$BN$3,0)</f>
        <v>585</v>
      </c>
      <c r="CJ116" s="381">
        <f>_xlfn.IFNA(VLOOKUP(A116,'Actuals Summer'!$A:$AG,31,FALSE),0)*$BN$3</f>
        <v>0</v>
      </c>
      <c r="CK116" s="381"/>
      <c r="CL116" s="381">
        <f>_xlfn.IFNA(VLOOKUP(A116,'Actuals Summer'!$A:$AG,32,FALSE),0)*$BN$3</f>
        <v>50700</v>
      </c>
      <c r="CM116" s="381">
        <f>_xlfn.IFNA(VLOOKUP(A116,'Actuals Summer'!$A:$AG,33,FALSE),0)</f>
        <v>0</v>
      </c>
      <c r="CP116" s="458">
        <f t="shared" si="46"/>
        <v>0</v>
      </c>
      <c r="CQ116" s="458">
        <f t="shared" si="47"/>
        <v>0</v>
      </c>
      <c r="CR116" s="458">
        <f t="shared" si="59"/>
        <v>0</v>
      </c>
      <c r="CS116" s="458">
        <f t="shared" si="48"/>
        <v>41940.6</v>
      </c>
      <c r="CT116" s="458">
        <f t="shared" si="49"/>
        <v>0</v>
      </c>
      <c r="CU116" s="458">
        <f t="shared" si="50"/>
        <v>1903.2</v>
      </c>
      <c r="CV116" s="458">
        <f t="shared" si="51"/>
        <v>169.64999999999998</v>
      </c>
      <c r="CW116" s="458">
        <f t="shared" si="52"/>
        <v>46.800000000000004</v>
      </c>
      <c r="CX116" s="458">
        <f t="shared" si="53"/>
        <v>3900</v>
      </c>
      <c r="CY116" s="458">
        <f t="shared" si="54"/>
        <v>0</v>
      </c>
      <c r="CZ116" s="458">
        <f t="shared" si="55"/>
        <v>0</v>
      </c>
      <c r="DA116" s="458">
        <f t="shared" si="56"/>
        <v>0</v>
      </c>
      <c r="DB116" s="458">
        <f t="shared" si="57"/>
        <v>47960.25</v>
      </c>
      <c r="DC116" s="452">
        <f>_xlfn.XLOOKUP($A116,'Actuals Summer'!$A:$A,'Actuals Summer'!L:L,0,0)</f>
        <v>0</v>
      </c>
      <c r="DD116" s="452">
        <f>_xlfn.XLOOKUP($A116,'Actuals Summer'!$A:$A,'Actuals Summer'!K:K,0,0)+_xlfn.XLOOKUP($A116,'Actuals Summer'!$A:$A,'Actuals Summer'!Q:Q,0,0)</f>
        <v>0</v>
      </c>
      <c r="DE116" s="452">
        <f>_xlfn.XLOOKUP($A116,'Actuals Summer'!$A:$A,'Actuals Summer'!I:I,0,0)+_xlfn.XLOOKUP($A116,'Actuals Summer'!$A:$A,'Actuals Summer'!R:R,0,0)</f>
        <v>41940.6</v>
      </c>
      <c r="DF116" s="452">
        <f>_xlfn.XLOOKUP($A116,'Actuals Summer'!$A:$A,'Actuals Summer'!J:J,0,0)</f>
        <v>0</v>
      </c>
      <c r="DG116" s="452">
        <f>_xlfn.XLOOKUP($A116,'Actuals Dep Summer'!$B:$B,'Actuals Dep Summer'!G:G,0,0)*'Actuals Dep Summer'!$F$2*'Actuals Dep Summer'!$C$2</f>
        <v>1903.2</v>
      </c>
      <c r="DH116" s="452">
        <f>_xlfn.XLOOKUP($A116,'Actuals Dep Summer'!$B:$B,'Actuals Dep Summer'!H:H,0,0)*'Actuals Dep Summer'!$F$2*'Actuals Dep Summer'!$C$3</f>
        <v>169.64999999999998</v>
      </c>
      <c r="DI116" s="452">
        <f>_xlfn.XLOOKUP($A116,'Actuals Dep Summer'!$B:$B,'Actuals Dep Summer'!I:I,0,0)*'Actuals Dep Summer'!$F$2*'Actuals Dep Summer'!$C$4</f>
        <v>46.800000000000004</v>
      </c>
      <c r="DJ116" s="452">
        <f>_xlfn.XLOOKUP($A116,'Actuals Summer'!$A:$A,'Actuals Summer'!P:P,0,0)</f>
        <v>3900</v>
      </c>
      <c r="DK116" s="452">
        <f>_xlfn.XLOOKUP($A116,'Actuals Summer'!$A:$A,'Actuals Summer'!O:O,0,0)</f>
        <v>0</v>
      </c>
      <c r="DL116" s="452"/>
      <c r="DM116" s="452">
        <f>_xlfn.XLOOKUP($A116,'Actuals Summer'!$A:$A,'Actuals Summer'!M:M,0,0)</f>
        <v>0</v>
      </c>
      <c r="DN116" s="453">
        <f t="shared" si="60"/>
        <v>47960.25</v>
      </c>
      <c r="DO116" s="453">
        <f>_xlfn.XLOOKUP(A116,'Actuals Summer'!A:A,'Actuals Summer'!S:S,0,0)-'Summer data team '!DN116</f>
        <v>0</v>
      </c>
      <c r="DP116" s="463">
        <f t="shared" si="61"/>
        <v>0</v>
      </c>
    </row>
    <row r="117" spans="1:120" ht="13" x14ac:dyDescent="0.3">
      <c r="A117" s="364">
        <v>2221</v>
      </c>
      <c r="B117" s="364">
        <v>3302221</v>
      </c>
      <c r="C117" s="364" t="s">
        <v>649</v>
      </c>
      <c r="D117" s="506">
        <v>0</v>
      </c>
      <c r="E117" s="506">
        <v>0</v>
      </c>
      <c r="F117" s="506">
        <v>0</v>
      </c>
      <c r="G117" s="506">
        <v>19</v>
      </c>
      <c r="H117" s="506">
        <v>24</v>
      </c>
      <c r="I117" s="507">
        <v>0</v>
      </c>
      <c r="J117" s="507">
        <v>43</v>
      </c>
      <c r="K117" s="506">
        <v>0</v>
      </c>
      <c r="L117" s="506">
        <v>0</v>
      </c>
      <c r="M117" s="507">
        <v>0</v>
      </c>
      <c r="N117" s="506">
        <v>0</v>
      </c>
      <c r="O117" s="506">
        <v>0</v>
      </c>
      <c r="P117" s="506">
        <v>285</v>
      </c>
      <c r="Q117" s="506">
        <v>360</v>
      </c>
      <c r="R117" s="507">
        <v>645</v>
      </c>
      <c r="S117" s="506">
        <v>0</v>
      </c>
      <c r="T117" s="506">
        <v>0</v>
      </c>
      <c r="U117" s="506">
        <v>0</v>
      </c>
      <c r="V117" s="506">
        <v>0</v>
      </c>
      <c r="W117" s="507">
        <v>0</v>
      </c>
      <c r="X117" s="506">
        <v>0</v>
      </c>
      <c r="Y117" s="506">
        <v>0</v>
      </c>
      <c r="Z117" s="508">
        <v>0</v>
      </c>
      <c r="AA117" s="506">
        <v>1</v>
      </c>
      <c r="AB117" s="506">
        <v>15</v>
      </c>
      <c r="AC117" s="508">
        <v>0</v>
      </c>
      <c r="AD117" s="506">
        <v>37</v>
      </c>
      <c r="AE117" s="506">
        <v>555</v>
      </c>
      <c r="AF117" s="508">
        <v>0</v>
      </c>
      <c r="AG117" s="509">
        <v>0</v>
      </c>
      <c r="AH117" s="509">
        <v>0</v>
      </c>
      <c r="AI117" s="508">
        <v>0</v>
      </c>
      <c r="AJ117" s="509">
        <v>16</v>
      </c>
      <c r="AK117" s="509">
        <v>240</v>
      </c>
      <c r="AL117" s="508">
        <v>0</v>
      </c>
      <c r="AM117" s="506">
        <v>16</v>
      </c>
      <c r="AN117" s="506">
        <v>240</v>
      </c>
      <c r="AO117" s="508">
        <v>0</v>
      </c>
      <c r="AP117" s="508"/>
      <c r="AQ117" s="508">
        <f t="shared" si="35"/>
        <v>16</v>
      </c>
      <c r="AR117" s="509">
        <v>0</v>
      </c>
      <c r="AS117" s="509">
        <v>0</v>
      </c>
      <c r="AT117" s="508">
        <v>0</v>
      </c>
      <c r="AU117" s="509">
        <v>15</v>
      </c>
      <c r="AV117" s="509">
        <v>225</v>
      </c>
      <c r="AW117" s="508">
        <v>0</v>
      </c>
      <c r="AX117" s="506">
        <v>15</v>
      </c>
      <c r="AY117" s="506">
        <v>225</v>
      </c>
      <c r="AZ117" s="508">
        <v>0</v>
      </c>
      <c r="BA117" s="508"/>
      <c r="BB117" s="508">
        <f t="shared" si="36"/>
        <v>30</v>
      </c>
      <c r="BC117" s="509">
        <v>0</v>
      </c>
      <c r="BD117" s="509">
        <v>0</v>
      </c>
      <c r="BE117" s="506">
        <v>0</v>
      </c>
      <c r="BF117" s="200"/>
      <c r="BG117" s="200"/>
      <c r="BH117" s="200"/>
      <c r="BI117" s="200"/>
      <c r="BJ117" s="200"/>
      <c r="BK117" s="200"/>
      <c r="BL117" s="200"/>
      <c r="BM117" s="505">
        <f t="shared" si="37"/>
        <v>0</v>
      </c>
      <c r="BN117" s="200">
        <f t="shared" si="38"/>
        <v>0</v>
      </c>
      <c r="BO117" s="200">
        <f t="shared" si="58"/>
        <v>0</v>
      </c>
      <c r="BP117" s="200">
        <f t="shared" si="39"/>
        <v>8385</v>
      </c>
      <c r="BQ117" s="200">
        <f t="shared" si="40"/>
        <v>0</v>
      </c>
      <c r="BR117" s="200">
        <f t="shared" si="41"/>
        <v>0</v>
      </c>
      <c r="BS117" s="200">
        <f t="shared" si="42"/>
        <v>195</v>
      </c>
      <c r="BT117" s="200">
        <f t="shared" si="43"/>
        <v>7215</v>
      </c>
      <c r="BU117" s="200">
        <f t="shared" si="44"/>
        <v>3120</v>
      </c>
      <c r="BV117" s="200">
        <v>15</v>
      </c>
      <c r="BW117" s="200">
        <v>0</v>
      </c>
      <c r="BX117" s="200">
        <f t="shared" si="45"/>
        <v>0</v>
      </c>
      <c r="CB117" s="381">
        <f>_xlfn.IFNA(VLOOKUP(A117,'Actuals Summer'!$A:$AG,23,FALSE),0)</f>
        <v>8385</v>
      </c>
      <c r="CC117" s="381">
        <f>_xlfn.IFNA(VLOOKUP(A117,'Actuals Summer'!$A:$AG,24,FALSE),0)</f>
        <v>0</v>
      </c>
      <c r="CD117" s="381">
        <f>_xlfn.IFNA(VLOOKUP(A117,'Actuals Summer'!$A:$AG,25,FALSE),0)</f>
        <v>0</v>
      </c>
      <c r="CE117" s="381">
        <f>_xlfn.IFNA(VLOOKUP(A117,'Actuals Summer'!$A:$AG,26,FALSE),0)</f>
        <v>0</v>
      </c>
      <c r="CF117" s="381">
        <f>_xlfn.IFNA(VLOOKUP(A117,'Actuals Summer'!$A:$AG,27,FALSE),0)</f>
        <v>0</v>
      </c>
      <c r="CG117" s="381">
        <f>_xlfn.IFNA(VLOOKUP(A117,'Actuals Dep Summer'!B:O,6,FALSE)*$BN$3,0)</f>
        <v>0</v>
      </c>
      <c r="CH117" s="381">
        <f>_xlfn.IFNA(VLOOKUP(A117,'Actuals Dep Summer'!B:O,7,FALSE)*$BN$3,0)</f>
        <v>195</v>
      </c>
      <c r="CI117" s="381">
        <f>_xlfn.IFNA(VLOOKUP(A117,'Actuals Dep Summer'!B:O,8,FALSE)*$BN$3,0)</f>
        <v>7215</v>
      </c>
      <c r="CJ117" s="381">
        <f>_xlfn.IFNA(VLOOKUP(A117,'Actuals Summer'!$A:$AG,31,FALSE),0)*$BN$3</f>
        <v>0</v>
      </c>
      <c r="CK117" s="381"/>
      <c r="CL117" s="381">
        <f>_xlfn.IFNA(VLOOKUP(A117,'Actuals Summer'!$A:$AG,32,FALSE),0)*$BN$3</f>
        <v>0</v>
      </c>
      <c r="CM117" s="381">
        <f>_xlfn.IFNA(VLOOKUP(A117,'Actuals Summer'!$A:$AG,33,FALSE),0)</f>
        <v>0</v>
      </c>
      <c r="CP117" s="458">
        <f t="shared" si="46"/>
        <v>0</v>
      </c>
      <c r="CQ117" s="458">
        <f t="shared" si="47"/>
        <v>0</v>
      </c>
      <c r="CR117" s="458">
        <f t="shared" si="59"/>
        <v>0</v>
      </c>
      <c r="CS117" s="458">
        <f t="shared" si="48"/>
        <v>47459.1</v>
      </c>
      <c r="CT117" s="458">
        <f t="shared" si="49"/>
        <v>0</v>
      </c>
      <c r="CU117" s="458">
        <f t="shared" si="50"/>
        <v>0</v>
      </c>
      <c r="CV117" s="458">
        <f t="shared" si="51"/>
        <v>56.55</v>
      </c>
      <c r="CW117" s="458">
        <f t="shared" si="52"/>
        <v>577.20000000000005</v>
      </c>
      <c r="CX117" s="458">
        <f t="shared" si="53"/>
        <v>3120</v>
      </c>
      <c r="CY117" s="458">
        <f t="shared" si="54"/>
        <v>1118.6842105263158</v>
      </c>
      <c r="CZ117" s="458">
        <f t="shared" si="55"/>
        <v>0</v>
      </c>
      <c r="DA117" s="458">
        <f t="shared" si="56"/>
        <v>0</v>
      </c>
      <c r="DB117" s="458">
        <f t="shared" si="57"/>
        <v>52331.534210526312</v>
      </c>
      <c r="DC117" s="452">
        <f>_xlfn.XLOOKUP($A117,'Actuals Summer'!$A:$A,'Actuals Summer'!L:L,0,0)</f>
        <v>0</v>
      </c>
      <c r="DD117" s="452">
        <f>_xlfn.XLOOKUP($A117,'Actuals Summer'!$A:$A,'Actuals Summer'!K:K,0,0)+_xlfn.XLOOKUP($A117,'Actuals Summer'!$A:$A,'Actuals Summer'!Q:Q,0,0)</f>
        <v>0</v>
      </c>
      <c r="DE117" s="452">
        <f>_xlfn.XLOOKUP($A117,'Actuals Summer'!$A:$A,'Actuals Summer'!I:I,0,0)+_xlfn.XLOOKUP($A117,'Actuals Summer'!$A:$A,'Actuals Summer'!R:R,0,0)</f>
        <v>47459.1</v>
      </c>
      <c r="DF117" s="452">
        <f>_xlfn.XLOOKUP($A117,'Actuals Summer'!$A:$A,'Actuals Summer'!J:J,0,0)</f>
        <v>0</v>
      </c>
      <c r="DG117" s="452">
        <f>_xlfn.XLOOKUP($A117,'Actuals Dep Summer'!$B:$B,'Actuals Dep Summer'!G:G,0,0)*'Actuals Dep Summer'!$F$2*'Actuals Dep Summer'!$C$2</f>
        <v>0</v>
      </c>
      <c r="DH117" s="452">
        <f>_xlfn.XLOOKUP($A117,'Actuals Dep Summer'!$B:$B,'Actuals Dep Summer'!H:H,0,0)*'Actuals Dep Summer'!$F$2*'Actuals Dep Summer'!$C$3</f>
        <v>56.55</v>
      </c>
      <c r="DI117" s="452">
        <f>_xlfn.XLOOKUP($A117,'Actuals Dep Summer'!$B:$B,'Actuals Dep Summer'!I:I,0,0)*'Actuals Dep Summer'!$F$2*'Actuals Dep Summer'!$C$4</f>
        <v>577.20000000000005</v>
      </c>
      <c r="DJ117" s="452">
        <f>_xlfn.XLOOKUP($A117,'Actuals Summer'!$A:$A,'Actuals Summer'!P:P,0,0)</f>
        <v>0</v>
      </c>
      <c r="DK117" s="452">
        <f>_xlfn.XLOOKUP($A117,'Actuals Summer'!$A:$A,'Actuals Summer'!O:O,0,0)</f>
        <v>0</v>
      </c>
      <c r="DL117" s="452"/>
      <c r="DM117" s="452">
        <f>_xlfn.XLOOKUP($A117,'Actuals Summer'!$A:$A,'Actuals Summer'!M:M,0,0)</f>
        <v>0</v>
      </c>
      <c r="DN117" s="453">
        <f t="shared" si="60"/>
        <v>48092.85</v>
      </c>
      <c r="DO117" s="453">
        <f>_xlfn.XLOOKUP(A117,'Actuals Summer'!A:A,'Actuals Summer'!S:S,0,0)-'Summer data team '!DN117</f>
        <v>0</v>
      </c>
      <c r="DP117" s="463">
        <f t="shared" si="61"/>
        <v>4238.6842105263131</v>
      </c>
    </row>
    <row r="118" spans="1:120" ht="13" x14ac:dyDescent="0.3">
      <c r="A118" s="364">
        <v>2227</v>
      </c>
      <c r="B118" s="364">
        <v>3302227</v>
      </c>
      <c r="C118" s="364" t="s">
        <v>319</v>
      </c>
      <c r="D118" s="506">
        <v>0</v>
      </c>
      <c r="E118" s="506">
        <v>0</v>
      </c>
      <c r="F118" s="506">
        <v>0</v>
      </c>
      <c r="G118" s="506">
        <v>30</v>
      </c>
      <c r="H118" s="506">
        <v>17</v>
      </c>
      <c r="I118" s="507">
        <v>0</v>
      </c>
      <c r="J118" s="507">
        <v>47</v>
      </c>
      <c r="K118" s="506">
        <v>3</v>
      </c>
      <c r="L118" s="506">
        <v>3</v>
      </c>
      <c r="M118" s="507">
        <v>6</v>
      </c>
      <c r="N118" s="506">
        <v>0</v>
      </c>
      <c r="O118" s="506">
        <v>0</v>
      </c>
      <c r="P118" s="506">
        <v>450</v>
      </c>
      <c r="Q118" s="506">
        <v>255</v>
      </c>
      <c r="R118" s="507">
        <v>705</v>
      </c>
      <c r="S118" s="506">
        <v>0</v>
      </c>
      <c r="T118" s="506">
        <v>0</v>
      </c>
      <c r="U118" s="506">
        <v>45</v>
      </c>
      <c r="V118" s="506">
        <v>45</v>
      </c>
      <c r="W118" s="507">
        <v>90</v>
      </c>
      <c r="X118" s="506">
        <v>7</v>
      </c>
      <c r="Y118" s="506">
        <v>105</v>
      </c>
      <c r="Z118" s="508">
        <v>45</v>
      </c>
      <c r="AA118" s="506">
        <v>21</v>
      </c>
      <c r="AB118" s="506">
        <v>315</v>
      </c>
      <c r="AC118" s="508">
        <v>15</v>
      </c>
      <c r="AD118" s="506">
        <v>12</v>
      </c>
      <c r="AE118" s="506">
        <v>180</v>
      </c>
      <c r="AF118" s="508">
        <v>15</v>
      </c>
      <c r="AG118" s="509">
        <v>0</v>
      </c>
      <c r="AH118" s="509">
        <v>0</v>
      </c>
      <c r="AI118" s="508">
        <v>0</v>
      </c>
      <c r="AJ118" s="509">
        <v>27</v>
      </c>
      <c r="AK118" s="509">
        <v>405</v>
      </c>
      <c r="AL118" s="508">
        <v>15</v>
      </c>
      <c r="AM118" s="506">
        <v>27</v>
      </c>
      <c r="AN118" s="506">
        <v>405</v>
      </c>
      <c r="AO118" s="508">
        <v>15</v>
      </c>
      <c r="AP118" s="508"/>
      <c r="AQ118" s="508">
        <f t="shared" si="35"/>
        <v>27</v>
      </c>
      <c r="AR118" s="509">
        <v>0</v>
      </c>
      <c r="AS118" s="509">
        <v>0</v>
      </c>
      <c r="AT118" s="508">
        <v>0</v>
      </c>
      <c r="AU118" s="509">
        <v>27</v>
      </c>
      <c r="AV118" s="509">
        <v>405</v>
      </c>
      <c r="AW118" s="508">
        <v>15</v>
      </c>
      <c r="AX118" s="506">
        <v>27</v>
      </c>
      <c r="AY118" s="506">
        <v>405</v>
      </c>
      <c r="AZ118" s="508">
        <v>15</v>
      </c>
      <c r="BA118" s="508"/>
      <c r="BB118" s="508">
        <f t="shared" si="36"/>
        <v>54</v>
      </c>
      <c r="BC118" s="509">
        <v>0</v>
      </c>
      <c r="BD118" s="509">
        <v>1</v>
      </c>
      <c r="BE118" s="506">
        <v>1</v>
      </c>
      <c r="BF118" s="200"/>
      <c r="BG118" s="200"/>
      <c r="BH118" s="200"/>
      <c r="BI118" s="200"/>
      <c r="BJ118" s="200"/>
      <c r="BK118" s="200"/>
      <c r="BL118" s="200"/>
      <c r="BM118" s="505">
        <f t="shared" si="37"/>
        <v>0</v>
      </c>
      <c r="BN118" s="200">
        <f t="shared" si="38"/>
        <v>0</v>
      </c>
      <c r="BO118" s="200">
        <f t="shared" si="58"/>
        <v>0</v>
      </c>
      <c r="BP118" s="200">
        <f t="shared" si="39"/>
        <v>9165</v>
      </c>
      <c r="BQ118" s="200">
        <f t="shared" si="40"/>
        <v>1170</v>
      </c>
      <c r="BR118" s="200">
        <f t="shared" si="41"/>
        <v>1950</v>
      </c>
      <c r="BS118" s="200">
        <f t="shared" si="42"/>
        <v>4290</v>
      </c>
      <c r="BT118" s="200">
        <f t="shared" si="43"/>
        <v>2535</v>
      </c>
      <c r="BU118" s="200">
        <f t="shared" si="44"/>
        <v>5265</v>
      </c>
      <c r="BV118" s="200">
        <v>26</v>
      </c>
      <c r="BW118" s="200">
        <v>1</v>
      </c>
      <c r="BX118" s="200">
        <f t="shared" si="45"/>
        <v>1</v>
      </c>
      <c r="CB118" s="381">
        <f>_xlfn.IFNA(VLOOKUP(A118,'Actuals Summer'!$A:$AG,23,FALSE),0)</f>
        <v>9165</v>
      </c>
      <c r="CC118" s="381">
        <f>_xlfn.IFNA(VLOOKUP(A118,'Actuals Summer'!$A:$AG,24,FALSE),0)</f>
        <v>1170</v>
      </c>
      <c r="CD118" s="381">
        <f>_xlfn.IFNA(VLOOKUP(A118,'Actuals Summer'!$A:$AG,25,FALSE),0)</f>
        <v>0</v>
      </c>
      <c r="CE118" s="381">
        <f>_xlfn.IFNA(VLOOKUP(A118,'Actuals Summer'!$A:$AG,26,FALSE),0)</f>
        <v>0</v>
      </c>
      <c r="CF118" s="381">
        <f>_xlfn.IFNA(VLOOKUP(A118,'Actuals Summer'!$A:$AG,27,FALSE),0)</f>
        <v>0</v>
      </c>
      <c r="CG118" s="381">
        <f>_xlfn.IFNA(VLOOKUP(A118,'Actuals Dep Summer'!B:O,6,FALSE)*$BN$3,0)</f>
        <v>1365</v>
      </c>
      <c r="CH118" s="381">
        <f>_xlfn.IFNA(VLOOKUP(A118,'Actuals Dep Summer'!B:O,7,FALSE)*$BN$3,0)</f>
        <v>4095</v>
      </c>
      <c r="CI118" s="381">
        <f>_xlfn.IFNA(VLOOKUP(A118,'Actuals Dep Summer'!B:O,8,FALSE)*$BN$3,0)</f>
        <v>2340</v>
      </c>
      <c r="CJ118" s="381">
        <f>_xlfn.IFNA(VLOOKUP(A118,'Actuals Summer'!$A:$AG,31,FALSE),0)*$BN$3</f>
        <v>350.80689528699793</v>
      </c>
      <c r="CK118" s="381"/>
      <c r="CL118" s="381">
        <f>_xlfn.IFNA(VLOOKUP(A118,'Actuals Summer'!$A:$AG,32,FALSE),0)*$BN$3</f>
        <v>68445</v>
      </c>
      <c r="CM118" s="381">
        <f>_xlfn.IFNA(VLOOKUP(A118,'Actuals Summer'!$A:$AG,33,FALSE),0)</f>
        <v>0.99998523864195499</v>
      </c>
      <c r="CP118" s="458">
        <f t="shared" si="46"/>
        <v>0</v>
      </c>
      <c r="CQ118" s="458">
        <f t="shared" si="47"/>
        <v>0</v>
      </c>
      <c r="CR118" s="458">
        <f t="shared" si="59"/>
        <v>0</v>
      </c>
      <c r="CS118" s="458">
        <f t="shared" si="48"/>
        <v>51873.9</v>
      </c>
      <c r="CT118" s="458">
        <f t="shared" si="49"/>
        <v>6622.2</v>
      </c>
      <c r="CU118" s="458">
        <f t="shared" si="50"/>
        <v>1189.5</v>
      </c>
      <c r="CV118" s="458">
        <f t="shared" si="51"/>
        <v>1244.0999999999999</v>
      </c>
      <c r="CW118" s="458">
        <f t="shared" si="52"/>
        <v>202.8</v>
      </c>
      <c r="CX118" s="458">
        <f t="shared" si="53"/>
        <v>5265</v>
      </c>
      <c r="CY118" s="458">
        <f t="shared" si="54"/>
        <v>1939.0526315789471</v>
      </c>
      <c r="CZ118" s="458">
        <f t="shared" si="55"/>
        <v>186.44736842105263</v>
      </c>
      <c r="DA118" s="458">
        <f t="shared" si="56"/>
        <v>938</v>
      </c>
      <c r="DB118" s="458">
        <f t="shared" si="57"/>
        <v>69461</v>
      </c>
      <c r="DC118" s="452">
        <f>_xlfn.XLOOKUP($A118,'Actuals Summer'!$A:$A,'Actuals Summer'!L:L,0,0)</f>
        <v>0</v>
      </c>
      <c r="DD118" s="452">
        <f>_xlfn.XLOOKUP($A118,'Actuals Summer'!$A:$A,'Actuals Summer'!K:K,0,0)+_xlfn.XLOOKUP($A118,'Actuals Summer'!$A:$A,'Actuals Summer'!Q:Q,0,0)</f>
        <v>0</v>
      </c>
      <c r="DE118" s="452">
        <f>_xlfn.XLOOKUP($A118,'Actuals Summer'!$A:$A,'Actuals Summer'!I:I,0,0)+_xlfn.XLOOKUP($A118,'Actuals Summer'!$A:$A,'Actuals Summer'!R:R,0,0)</f>
        <v>51873.9</v>
      </c>
      <c r="DF118" s="452">
        <f>_xlfn.XLOOKUP($A118,'Actuals Summer'!$A:$A,'Actuals Summer'!J:J,0,0)</f>
        <v>6622.2</v>
      </c>
      <c r="DG118" s="452">
        <f>_xlfn.XLOOKUP($A118,'Actuals Dep Summer'!$B:$B,'Actuals Dep Summer'!G:G,0,0)*'Actuals Dep Summer'!$F$2*'Actuals Dep Summer'!$C$2</f>
        <v>832.65</v>
      </c>
      <c r="DH118" s="452">
        <f>_xlfn.XLOOKUP($A118,'Actuals Dep Summer'!$B:$B,'Actuals Dep Summer'!H:H,0,0)*'Actuals Dep Summer'!$F$2*'Actuals Dep Summer'!$C$3</f>
        <v>1187.55</v>
      </c>
      <c r="DI118" s="452">
        <f>_xlfn.XLOOKUP($A118,'Actuals Dep Summer'!$B:$B,'Actuals Dep Summer'!I:I,0,0)*'Actuals Dep Summer'!$F$2*'Actuals Dep Summer'!$C$4</f>
        <v>187.20000000000002</v>
      </c>
      <c r="DJ118" s="452">
        <f>_xlfn.XLOOKUP($A118,'Actuals Summer'!$A:$A,'Actuals Summer'!P:P,0,0)</f>
        <v>5265</v>
      </c>
      <c r="DK118" s="452">
        <f>_xlfn.XLOOKUP($A118,'Actuals Summer'!$A:$A,'Actuals Summer'!O:O,0,0)</f>
        <v>2013.6315789473686</v>
      </c>
      <c r="DL118" s="452"/>
      <c r="DM118" s="452">
        <f>_xlfn.XLOOKUP($A118,'Actuals Summer'!$A:$A,'Actuals Summer'!M:M,0,0)</f>
        <v>320.89</v>
      </c>
      <c r="DN118" s="453">
        <f t="shared" si="60"/>
        <v>68303.021578947373</v>
      </c>
      <c r="DO118" s="453">
        <f>_xlfn.XLOOKUP(A118,'Actuals Summer'!A:A,'Actuals Summer'!S:S,0,0)-'Summer data team '!DN118</f>
        <v>0</v>
      </c>
      <c r="DP118" s="463">
        <f t="shared" si="61"/>
        <v>1157.9784210526268</v>
      </c>
    </row>
    <row r="119" spans="1:120" ht="13" x14ac:dyDescent="0.3">
      <c r="A119" s="364">
        <v>2231</v>
      </c>
      <c r="B119" s="364">
        <v>3302231</v>
      </c>
      <c r="C119" s="364" t="s">
        <v>320</v>
      </c>
      <c r="D119" s="506">
        <v>0</v>
      </c>
      <c r="E119" s="506">
        <v>0</v>
      </c>
      <c r="F119" s="506">
        <v>0</v>
      </c>
      <c r="G119" s="506">
        <v>9</v>
      </c>
      <c r="H119" s="506">
        <v>20</v>
      </c>
      <c r="I119" s="507">
        <v>0</v>
      </c>
      <c r="J119" s="507">
        <v>29</v>
      </c>
      <c r="K119" s="506">
        <v>3</v>
      </c>
      <c r="L119" s="506">
        <v>3</v>
      </c>
      <c r="M119" s="507">
        <v>6</v>
      </c>
      <c r="N119" s="506">
        <v>0</v>
      </c>
      <c r="O119" s="506">
        <v>0</v>
      </c>
      <c r="P119" s="506">
        <v>135</v>
      </c>
      <c r="Q119" s="506">
        <v>300</v>
      </c>
      <c r="R119" s="507">
        <v>435</v>
      </c>
      <c r="S119" s="506">
        <v>0</v>
      </c>
      <c r="T119" s="506">
        <v>0</v>
      </c>
      <c r="U119" s="506">
        <v>45</v>
      </c>
      <c r="V119" s="506">
        <v>45</v>
      </c>
      <c r="W119" s="507">
        <v>90</v>
      </c>
      <c r="X119" s="506">
        <v>0</v>
      </c>
      <c r="Y119" s="506">
        <v>0</v>
      </c>
      <c r="Z119" s="508">
        <v>0</v>
      </c>
      <c r="AA119" s="506">
        <v>1</v>
      </c>
      <c r="AB119" s="506">
        <v>15</v>
      </c>
      <c r="AC119" s="508">
        <v>0</v>
      </c>
      <c r="AD119" s="506">
        <v>14</v>
      </c>
      <c r="AE119" s="506">
        <v>210</v>
      </c>
      <c r="AF119" s="508">
        <v>60</v>
      </c>
      <c r="AG119" s="509">
        <v>0</v>
      </c>
      <c r="AH119" s="509">
        <v>0</v>
      </c>
      <c r="AI119" s="508">
        <v>0</v>
      </c>
      <c r="AJ119" s="509">
        <v>0</v>
      </c>
      <c r="AK119" s="509">
        <v>0</v>
      </c>
      <c r="AL119" s="508">
        <v>0</v>
      </c>
      <c r="AM119" s="506">
        <v>0</v>
      </c>
      <c r="AN119" s="506">
        <v>0</v>
      </c>
      <c r="AO119" s="508">
        <v>0</v>
      </c>
      <c r="AP119" s="508"/>
      <c r="AQ119" s="508">
        <f t="shared" si="35"/>
        <v>0</v>
      </c>
      <c r="AR119" s="509">
        <v>0</v>
      </c>
      <c r="AS119" s="509">
        <v>0</v>
      </c>
      <c r="AT119" s="508">
        <v>0</v>
      </c>
      <c r="AU119" s="509">
        <v>0</v>
      </c>
      <c r="AV119" s="509">
        <v>0</v>
      </c>
      <c r="AW119" s="508">
        <v>0</v>
      </c>
      <c r="AX119" s="506">
        <v>0</v>
      </c>
      <c r="AY119" s="506">
        <v>0</v>
      </c>
      <c r="AZ119" s="508">
        <v>0</v>
      </c>
      <c r="BA119" s="508"/>
      <c r="BB119" s="508">
        <f t="shared" si="36"/>
        <v>0</v>
      </c>
      <c r="BC119" s="509">
        <v>0</v>
      </c>
      <c r="BD119" s="509">
        <v>0</v>
      </c>
      <c r="BE119" s="506">
        <v>0</v>
      </c>
      <c r="BF119" s="200"/>
      <c r="BG119" s="200"/>
      <c r="BH119" s="200"/>
      <c r="BI119" s="200"/>
      <c r="BJ119" s="200"/>
      <c r="BK119" s="200"/>
      <c r="BL119" s="200"/>
      <c r="BM119" s="505">
        <f t="shared" si="37"/>
        <v>0</v>
      </c>
      <c r="BN119" s="200">
        <f t="shared" si="38"/>
        <v>0</v>
      </c>
      <c r="BO119" s="200">
        <f t="shared" si="58"/>
        <v>0</v>
      </c>
      <c r="BP119" s="200">
        <f t="shared" si="39"/>
        <v>5655</v>
      </c>
      <c r="BQ119" s="200">
        <f t="shared" si="40"/>
        <v>1170</v>
      </c>
      <c r="BR119" s="200">
        <f t="shared" si="41"/>
        <v>0</v>
      </c>
      <c r="BS119" s="200">
        <f t="shared" si="42"/>
        <v>195</v>
      </c>
      <c r="BT119" s="200">
        <f t="shared" si="43"/>
        <v>3510</v>
      </c>
      <c r="BU119" s="200">
        <f t="shared" si="44"/>
        <v>0</v>
      </c>
      <c r="BV119" s="200">
        <v>0</v>
      </c>
      <c r="BW119" s="200">
        <v>0</v>
      </c>
      <c r="BX119" s="200">
        <f t="shared" si="45"/>
        <v>0</v>
      </c>
      <c r="CB119" s="381">
        <f>_xlfn.IFNA(VLOOKUP(A119,'Actuals Summer'!$A:$AG,23,FALSE),0)</f>
        <v>5655</v>
      </c>
      <c r="CC119" s="381">
        <f>_xlfn.IFNA(VLOOKUP(A119,'Actuals Summer'!$A:$AG,24,FALSE),0)</f>
        <v>1170</v>
      </c>
      <c r="CD119" s="381">
        <f>_xlfn.IFNA(VLOOKUP(A119,'Actuals Summer'!$A:$AG,25,FALSE),0)</f>
        <v>0</v>
      </c>
      <c r="CE119" s="381">
        <f>_xlfn.IFNA(VLOOKUP(A119,'Actuals Summer'!$A:$AG,26,FALSE),0)</f>
        <v>0</v>
      </c>
      <c r="CF119" s="381">
        <f>_xlfn.IFNA(VLOOKUP(A119,'Actuals Summer'!$A:$AG,27,FALSE),0)</f>
        <v>0</v>
      </c>
      <c r="CG119" s="381">
        <f>_xlfn.IFNA(VLOOKUP(A119,'Actuals Dep Summer'!B:O,6,FALSE)*$BN$3,0)</f>
        <v>0</v>
      </c>
      <c r="CH119" s="381">
        <f>_xlfn.IFNA(VLOOKUP(A119,'Actuals Dep Summer'!B:O,7,FALSE)*$BN$3,0)</f>
        <v>195</v>
      </c>
      <c r="CI119" s="381">
        <f>_xlfn.IFNA(VLOOKUP(A119,'Actuals Dep Summer'!B:O,8,FALSE)*$BN$3,0)</f>
        <v>2730</v>
      </c>
      <c r="CJ119" s="381">
        <f>_xlfn.IFNA(VLOOKUP(A119,'Actuals Summer'!$A:$AG,31,FALSE),0)*$BN$3</f>
        <v>0</v>
      </c>
      <c r="CK119" s="381"/>
      <c r="CL119" s="381">
        <f>_xlfn.IFNA(VLOOKUP(A119,'Actuals Summer'!$A:$AG,32,FALSE),0)*$BN$3</f>
        <v>0</v>
      </c>
      <c r="CM119" s="381">
        <f>_xlfn.IFNA(VLOOKUP(A119,'Actuals Summer'!$A:$AG,33,FALSE),0)</f>
        <v>0</v>
      </c>
      <c r="CP119" s="458">
        <f t="shared" si="46"/>
        <v>0</v>
      </c>
      <c r="CQ119" s="458">
        <f t="shared" si="47"/>
        <v>0</v>
      </c>
      <c r="CR119" s="458">
        <f t="shared" si="59"/>
        <v>0</v>
      </c>
      <c r="CS119" s="458">
        <f t="shared" si="48"/>
        <v>32007.3</v>
      </c>
      <c r="CT119" s="458">
        <f t="shared" si="49"/>
        <v>6622.2</v>
      </c>
      <c r="CU119" s="458">
        <f t="shared" si="50"/>
        <v>0</v>
      </c>
      <c r="CV119" s="458">
        <f t="shared" si="51"/>
        <v>56.55</v>
      </c>
      <c r="CW119" s="458">
        <f t="shared" si="52"/>
        <v>280.8</v>
      </c>
      <c r="CX119" s="458">
        <f t="shared" si="53"/>
        <v>0</v>
      </c>
      <c r="CY119" s="458">
        <f t="shared" si="54"/>
        <v>0</v>
      </c>
      <c r="CZ119" s="458">
        <f t="shared" si="55"/>
        <v>0</v>
      </c>
      <c r="DA119" s="458">
        <f t="shared" si="56"/>
        <v>0</v>
      </c>
      <c r="DB119" s="458">
        <f t="shared" si="57"/>
        <v>38966.850000000006</v>
      </c>
      <c r="DC119" s="452">
        <f>_xlfn.XLOOKUP($A119,'Actuals Summer'!$A:$A,'Actuals Summer'!L:L,0,0)</f>
        <v>0</v>
      </c>
      <c r="DD119" s="452">
        <f>_xlfn.XLOOKUP($A119,'Actuals Summer'!$A:$A,'Actuals Summer'!K:K,0,0)+_xlfn.XLOOKUP($A119,'Actuals Summer'!$A:$A,'Actuals Summer'!Q:Q,0,0)</f>
        <v>0</v>
      </c>
      <c r="DE119" s="452">
        <f>_xlfn.XLOOKUP($A119,'Actuals Summer'!$A:$A,'Actuals Summer'!I:I,0,0)+_xlfn.XLOOKUP($A119,'Actuals Summer'!$A:$A,'Actuals Summer'!R:R,0,0)</f>
        <v>32007.3</v>
      </c>
      <c r="DF119" s="452">
        <f>_xlfn.XLOOKUP($A119,'Actuals Summer'!$A:$A,'Actuals Summer'!J:J,0,0)</f>
        <v>6622.2</v>
      </c>
      <c r="DG119" s="452">
        <f>_xlfn.XLOOKUP($A119,'Actuals Dep Summer'!$B:$B,'Actuals Dep Summer'!G:G,0,0)*'Actuals Dep Summer'!$F$2*'Actuals Dep Summer'!$C$2</f>
        <v>0</v>
      </c>
      <c r="DH119" s="452">
        <f>_xlfn.XLOOKUP($A119,'Actuals Dep Summer'!$B:$B,'Actuals Dep Summer'!H:H,0,0)*'Actuals Dep Summer'!$F$2*'Actuals Dep Summer'!$C$3</f>
        <v>56.55</v>
      </c>
      <c r="DI119" s="452">
        <f>_xlfn.XLOOKUP($A119,'Actuals Dep Summer'!$B:$B,'Actuals Dep Summer'!I:I,0,0)*'Actuals Dep Summer'!$F$2*'Actuals Dep Summer'!$C$4</f>
        <v>218.4</v>
      </c>
      <c r="DJ119" s="452">
        <f>_xlfn.XLOOKUP($A119,'Actuals Summer'!$A:$A,'Actuals Summer'!P:P,0,0)</f>
        <v>0</v>
      </c>
      <c r="DK119" s="452">
        <f>_xlfn.XLOOKUP($A119,'Actuals Summer'!$A:$A,'Actuals Summer'!O:O,0,0)</f>
        <v>0</v>
      </c>
      <c r="DL119" s="452"/>
      <c r="DM119" s="452">
        <f>_xlfn.XLOOKUP($A119,'Actuals Summer'!$A:$A,'Actuals Summer'!M:M,0,0)</f>
        <v>0</v>
      </c>
      <c r="DN119" s="453">
        <f t="shared" si="60"/>
        <v>38904.450000000004</v>
      </c>
      <c r="DO119" s="453">
        <f>_xlfn.XLOOKUP(A119,'Actuals Summer'!A:A,'Actuals Summer'!S:S,0,0)-'Summer data team '!DN119</f>
        <v>0</v>
      </c>
      <c r="DP119" s="463">
        <f t="shared" si="61"/>
        <v>62.400000000001455</v>
      </c>
    </row>
    <row r="120" spans="1:120" ht="13" x14ac:dyDescent="0.3">
      <c r="A120" s="364">
        <v>2238</v>
      </c>
      <c r="B120" s="364">
        <v>3302238</v>
      </c>
      <c r="C120" s="364" t="s">
        <v>48</v>
      </c>
      <c r="D120" s="506">
        <v>0</v>
      </c>
      <c r="E120" s="506">
        <v>0</v>
      </c>
      <c r="F120" s="506">
        <v>0</v>
      </c>
      <c r="G120" s="506">
        <v>9</v>
      </c>
      <c r="H120" s="506">
        <v>15</v>
      </c>
      <c r="I120" s="507">
        <v>0</v>
      </c>
      <c r="J120" s="507">
        <v>24</v>
      </c>
      <c r="K120" s="506">
        <v>4</v>
      </c>
      <c r="L120" s="506">
        <v>5</v>
      </c>
      <c r="M120" s="507">
        <v>9</v>
      </c>
      <c r="N120" s="506">
        <v>0</v>
      </c>
      <c r="O120" s="506">
        <v>0</v>
      </c>
      <c r="P120" s="506">
        <v>135</v>
      </c>
      <c r="Q120" s="506">
        <v>225</v>
      </c>
      <c r="R120" s="507">
        <v>360</v>
      </c>
      <c r="S120" s="506">
        <v>0</v>
      </c>
      <c r="T120" s="506">
        <v>0</v>
      </c>
      <c r="U120" s="506">
        <v>60</v>
      </c>
      <c r="V120" s="506">
        <v>75</v>
      </c>
      <c r="W120" s="507">
        <v>135</v>
      </c>
      <c r="X120" s="506">
        <v>5</v>
      </c>
      <c r="Y120" s="506">
        <v>75</v>
      </c>
      <c r="Z120" s="508">
        <v>30</v>
      </c>
      <c r="AA120" s="506">
        <v>3</v>
      </c>
      <c r="AB120" s="506">
        <v>45</v>
      </c>
      <c r="AC120" s="508">
        <v>30</v>
      </c>
      <c r="AD120" s="506">
        <v>1</v>
      </c>
      <c r="AE120" s="506">
        <v>15</v>
      </c>
      <c r="AF120" s="508">
        <v>15</v>
      </c>
      <c r="AG120" s="509">
        <v>0</v>
      </c>
      <c r="AH120" s="509">
        <v>0</v>
      </c>
      <c r="AI120" s="508">
        <v>0</v>
      </c>
      <c r="AJ120" s="509">
        <v>10</v>
      </c>
      <c r="AK120" s="509">
        <v>150</v>
      </c>
      <c r="AL120" s="508">
        <v>30</v>
      </c>
      <c r="AM120" s="506">
        <v>10</v>
      </c>
      <c r="AN120" s="506">
        <v>150</v>
      </c>
      <c r="AO120" s="508">
        <v>30</v>
      </c>
      <c r="AP120" s="508"/>
      <c r="AQ120" s="508">
        <f t="shared" si="35"/>
        <v>10</v>
      </c>
      <c r="AR120" s="509">
        <v>0</v>
      </c>
      <c r="AS120" s="509">
        <v>0</v>
      </c>
      <c r="AT120" s="508">
        <v>0</v>
      </c>
      <c r="AU120" s="509">
        <v>0</v>
      </c>
      <c r="AV120" s="509">
        <v>0</v>
      </c>
      <c r="AW120" s="508">
        <v>0</v>
      </c>
      <c r="AX120" s="506">
        <v>0</v>
      </c>
      <c r="AY120" s="506">
        <v>0</v>
      </c>
      <c r="AZ120" s="508">
        <v>0</v>
      </c>
      <c r="BA120" s="508"/>
      <c r="BB120" s="508">
        <f t="shared" si="36"/>
        <v>0</v>
      </c>
      <c r="BC120" s="509">
        <v>0</v>
      </c>
      <c r="BD120" s="509">
        <v>0</v>
      </c>
      <c r="BE120" s="506">
        <v>0</v>
      </c>
      <c r="BF120" s="200"/>
      <c r="BG120" s="200"/>
      <c r="BH120" s="200"/>
      <c r="BI120" s="200"/>
      <c r="BJ120" s="200"/>
      <c r="BK120" s="200"/>
      <c r="BL120" s="200"/>
      <c r="BM120" s="505">
        <f t="shared" si="37"/>
        <v>0</v>
      </c>
      <c r="BN120" s="200">
        <f t="shared" si="38"/>
        <v>0</v>
      </c>
      <c r="BO120" s="200">
        <f t="shared" si="58"/>
        <v>0</v>
      </c>
      <c r="BP120" s="200">
        <f t="shared" si="39"/>
        <v>4680</v>
      </c>
      <c r="BQ120" s="200">
        <f t="shared" si="40"/>
        <v>1755</v>
      </c>
      <c r="BR120" s="200">
        <f t="shared" si="41"/>
        <v>1365</v>
      </c>
      <c r="BS120" s="200">
        <f t="shared" si="42"/>
        <v>975</v>
      </c>
      <c r="BT120" s="200">
        <f t="shared" si="43"/>
        <v>390</v>
      </c>
      <c r="BU120" s="200">
        <f t="shared" si="44"/>
        <v>1950</v>
      </c>
      <c r="BV120" s="200">
        <v>0</v>
      </c>
      <c r="BW120" s="200">
        <v>0</v>
      </c>
      <c r="BX120" s="200">
        <f t="shared" si="45"/>
        <v>0</v>
      </c>
      <c r="CB120" s="381">
        <f>_xlfn.IFNA(VLOOKUP(A120,'Actuals Summer'!$A:$AG,23,FALSE),0)</f>
        <v>4680</v>
      </c>
      <c r="CC120" s="381">
        <f>_xlfn.IFNA(VLOOKUP(A120,'Actuals Summer'!$A:$AG,24,FALSE),0)</f>
        <v>1755.0000000000002</v>
      </c>
      <c r="CD120" s="381">
        <f>_xlfn.IFNA(VLOOKUP(A120,'Actuals Summer'!$A:$AG,25,FALSE),0)</f>
        <v>0</v>
      </c>
      <c r="CE120" s="381">
        <f>_xlfn.IFNA(VLOOKUP(A120,'Actuals Summer'!$A:$AG,26,FALSE),0)</f>
        <v>0</v>
      </c>
      <c r="CF120" s="381">
        <f>_xlfn.IFNA(VLOOKUP(A120,'Actuals Summer'!$A:$AG,27,FALSE),0)</f>
        <v>0</v>
      </c>
      <c r="CG120" s="381">
        <f>_xlfn.IFNA(VLOOKUP(A120,'Actuals Dep Summer'!B:O,6,FALSE)*$BN$3,0)</f>
        <v>975</v>
      </c>
      <c r="CH120" s="381">
        <f>_xlfn.IFNA(VLOOKUP(A120,'Actuals Dep Summer'!B:O,7,FALSE)*$BN$3,0)</f>
        <v>585</v>
      </c>
      <c r="CI120" s="381">
        <f>_xlfn.IFNA(VLOOKUP(A120,'Actuals Dep Summer'!B:O,8,FALSE)*$BN$3,0)</f>
        <v>195</v>
      </c>
      <c r="CJ120" s="381">
        <f>_xlfn.IFNA(VLOOKUP(A120,'Actuals Summer'!$A:$AG,31,FALSE),0)*$BN$3</f>
        <v>0</v>
      </c>
      <c r="CK120" s="381"/>
      <c r="CL120" s="381">
        <f>_xlfn.IFNA(VLOOKUP(A120,'Actuals Summer'!$A:$AG,32,FALSE),0)*$BN$3</f>
        <v>25350</v>
      </c>
      <c r="CM120" s="381">
        <f>_xlfn.IFNA(VLOOKUP(A120,'Actuals Summer'!$A:$AG,33,FALSE),0)</f>
        <v>0</v>
      </c>
      <c r="CP120" s="458">
        <f t="shared" si="46"/>
        <v>0</v>
      </c>
      <c r="CQ120" s="458">
        <f t="shared" si="47"/>
        <v>0</v>
      </c>
      <c r="CR120" s="458">
        <f t="shared" si="59"/>
        <v>0</v>
      </c>
      <c r="CS120" s="458">
        <f t="shared" si="48"/>
        <v>26488.799999999999</v>
      </c>
      <c r="CT120" s="458">
        <f t="shared" si="49"/>
        <v>9933.3000000000011</v>
      </c>
      <c r="CU120" s="458">
        <f t="shared" si="50"/>
        <v>832.65</v>
      </c>
      <c r="CV120" s="458">
        <f t="shared" si="51"/>
        <v>282.75</v>
      </c>
      <c r="CW120" s="458">
        <f t="shared" si="52"/>
        <v>31.2</v>
      </c>
      <c r="CX120" s="458">
        <f t="shared" si="53"/>
        <v>1950</v>
      </c>
      <c r="CY120" s="458">
        <f t="shared" si="54"/>
        <v>0</v>
      </c>
      <c r="CZ120" s="458">
        <f t="shared" si="55"/>
        <v>0</v>
      </c>
      <c r="DA120" s="458">
        <f t="shared" si="56"/>
        <v>0</v>
      </c>
      <c r="DB120" s="458">
        <f t="shared" si="57"/>
        <v>39518.699999999997</v>
      </c>
      <c r="DC120" s="452">
        <f>_xlfn.XLOOKUP($A120,'Actuals Summer'!$A:$A,'Actuals Summer'!L:L,0,0)</f>
        <v>0</v>
      </c>
      <c r="DD120" s="452">
        <f>_xlfn.XLOOKUP($A120,'Actuals Summer'!$A:$A,'Actuals Summer'!K:K,0,0)+_xlfn.XLOOKUP($A120,'Actuals Summer'!$A:$A,'Actuals Summer'!Q:Q,0,0)</f>
        <v>0</v>
      </c>
      <c r="DE120" s="452">
        <f>_xlfn.XLOOKUP($A120,'Actuals Summer'!$A:$A,'Actuals Summer'!I:I,0,0)+_xlfn.XLOOKUP($A120,'Actuals Summer'!$A:$A,'Actuals Summer'!R:R,0,0)</f>
        <v>26488.799999999999</v>
      </c>
      <c r="DF120" s="452">
        <f>_xlfn.XLOOKUP($A120,'Actuals Summer'!$A:$A,'Actuals Summer'!J:J,0,0)</f>
        <v>9933.3000000000011</v>
      </c>
      <c r="DG120" s="452">
        <f>_xlfn.XLOOKUP($A120,'Actuals Dep Summer'!$B:$B,'Actuals Dep Summer'!G:G,0,0)*'Actuals Dep Summer'!$F$2*'Actuals Dep Summer'!$C$2</f>
        <v>594.75</v>
      </c>
      <c r="DH120" s="452">
        <f>_xlfn.XLOOKUP($A120,'Actuals Dep Summer'!$B:$B,'Actuals Dep Summer'!H:H,0,0)*'Actuals Dep Summer'!$F$2*'Actuals Dep Summer'!$C$3</f>
        <v>169.64999999999998</v>
      </c>
      <c r="DI120" s="452">
        <f>_xlfn.XLOOKUP($A120,'Actuals Dep Summer'!$B:$B,'Actuals Dep Summer'!I:I,0,0)*'Actuals Dep Summer'!$F$2*'Actuals Dep Summer'!$C$4</f>
        <v>15.6</v>
      </c>
      <c r="DJ120" s="452">
        <f>_xlfn.XLOOKUP($A120,'Actuals Summer'!$A:$A,'Actuals Summer'!P:P,0,0)</f>
        <v>1950</v>
      </c>
      <c r="DK120" s="452">
        <f>_xlfn.XLOOKUP($A120,'Actuals Summer'!$A:$A,'Actuals Summer'!O:O,0,0)</f>
        <v>0</v>
      </c>
      <c r="DL120" s="452"/>
      <c r="DM120" s="452">
        <f>_xlfn.XLOOKUP($A120,'Actuals Summer'!$A:$A,'Actuals Summer'!M:M,0,0)</f>
        <v>0</v>
      </c>
      <c r="DN120" s="453">
        <f t="shared" si="60"/>
        <v>39152.1</v>
      </c>
      <c r="DO120" s="453">
        <f>_xlfn.XLOOKUP(A120,'Actuals Summer'!A:A,'Actuals Summer'!S:S,0,0)-'Summer data team '!DN120</f>
        <v>0</v>
      </c>
      <c r="DP120" s="463">
        <f t="shared" si="61"/>
        <v>366.59999999999854</v>
      </c>
    </row>
    <row r="121" spans="1:120" ht="13" x14ac:dyDescent="0.3">
      <c r="A121" s="364">
        <v>2239</v>
      </c>
      <c r="B121" s="364">
        <v>3302239</v>
      </c>
      <c r="C121" s="364" t="s">
        <v>322</v>
      </c>
      <c r="D121" s="506">
        <v>0</v>
      </c>
      <c r="E121" s="506">
        <v>0</v>
      </c>
      <c r="F121" s="506">
        <v>0</v>
      </c>
      <c r="G121" s="506">
        <v>16</v>
      </c>
      <c r="H121" s="506">
        <v>25</v>
      </c>
      <c r="I121" s="507">
        <v>0</v>
      </c>
      <c r="J121" s="507">
        <v>41</v>
      </c>
      <c r="K121" s="506">
        <v>7</v>
      </c>
      <c r="L121" s="506">
        <v>8</v>
      </c>
      <c r="M121" s="507">
        <v>15</v>
      </c>
      <c r="N121" s="506">
        <v>0</v>
      </c>
      <c r="O121" s="506">
        <v>0</v>
      </c>
      <c r="P121" s="506">
        <v>240</v>
      </c>
      <c r="Q121" s="506">
        <v>375</v>
      </c>
      <c r="R121" s="507">
        <v>615</v>
      </c>
      <c r="S121" s="506">
        <v>0</v>
      </c>
      <c r="T121" s="506">
        <v>0</v>
      </c>
      <c r="U121" s="506">
        <v>105</v>
      </c>
      <c r="V121" s="506">
        <v>120</v>
      </c>
      <c r="W121" s="507">
        <v>225</v>
      </c>
      <c r="X121" s="506">
        <v>18</v>
      </c>
      <c r="Y121" s="506">
        <v>270</v>
      </c>
      <c r="Z121" s="508">
        <v>75</v>
      </c>
      <c r="AA121" s="506">
        <v>6</v>
      </c>
      <c r="AB121" s="506">
        <v>90</v>
      </c>
      <c r="AC121" s="508">
        <v>60</v>
      </c>
      <c r="AD121" s="506">
        <v>6</v>
      </c>
      <c r="AE121" s="506">
        <v>90</v>
      </c>
      <c r="AF121" s="508">
        <v>30</v>
      </c>
      <c r="AG121" s="509">
        <v>0</v>
      </c>
      <c r="AH121" s="509">
        <v>0</v>
      </c>
      <c r="AI121" s="508">
        <v>0</v>
      </c>
      <c r="AJ121" s="509">
        <v>16</v>
      </c>
      <c r="AK121" s="509">
        <v>240</v>
      </c>
      <c r="AL121" s="508">
        <v>30</v>
      </c>
      <c r="AM121" s="506">
        <v>16</v>
      </c>
      <c r="AN121" s="506">
        <v>240</v>
      </c>
      <c r="AO121" s="508">
        <v>30</v>
      </c>
      <c r="AP121" s="508"/>
      <c r="AQ121" s="508">
        <f t="shared" si="35"/>
        <v>16</v>
      </c>
      <c r="AR121" s="509">
        <v>0</v>
      </c>
      <c r="AS121" s="509">
        <v>0</v>
      </c>
      <c r="AT121" s="508">
        <v>0</v>
      </c>
      <c r="AU121" s="509">
        <v>16</v>
      </c>
      <c r="AV121" s="509">
        <v>240</v>
      </c>
      <c r="AW121" s="508">
        <v>30</v>
      </c>
      <c r="AX121" s="506">
        <v>16</v>
      </c>
      <c r="AY121" s="506">
        <v>240</v>
      </c>
      <c r="AZ121" s="508">
        <v>30</v>
      </c>
      <c r="BA121" s="508"/>
      <c r="BB121" s="508">
        <f t="shared" si="36"/>
        <v>32</v>
      </c>
      <c r="BC121" s="509">
        <v>0</v>
      </c>
      <c r="BD121" s="509">
        <v>3</v>
      </c>
      <c r="BE121" s="506">
        <v>3</v>
      </c>
      <c r="BF121" s="200"/>
      <c r="BG121" s="200"/>
      <c r="BH121" s="200"/>
      <c r="BI121" s="200"/>
      <c r="BJ121" s="200"/>
      <c r="BK121" s="200"/>
      <c r="BL121" s="200"/>
      <c r="BM121" s="505">
        <f t="shared" si="37"/>
        <v>0</v>
      </c>
      <c r="BN121" s="200">
        <f t="shared" si="38"/>
        <v>0</v>
      </c>
      <c r="BO121" s="200">
        <f t="shared" si="58"/>
        <v>0</v>
      </c>
      <c r="BP121" s="200">
        <f t="shared" si="39"/>
        <v>7995</v>
      </c>
      <c r="BQ121" s="200">
        <f t="shared" si="40"/>
        <v>2925</v>
      </c>
      <c r="BR121" s="200">
        <f t="shared" si="41"/>
        <v>4485</v>
      </c>
      <c r="BS121" s="200">
        <f t="shared" si="42"/>
        <v>1950</v>
      </c>
      <c r="BT121" s="200">
        <f t="shared" si="43"/>
        <v>1560</v>
      </c>
      <c r="BU121" s="200">
        <f t="shared" si="44"/>
        <v>3120</v>
      </c>
      <c r="BV121" s="200">
        <v>14</v>
      </c>
      <c r="BW121" s="200">
        <v>2</v>
      </c>
      <c r="BX121" s="200">
        <f t="shared" si="45"/>
        <v>3</v>
      </c>
      <c r="CB121" s="381">
        <f>_xlfn.IFNA(VLOOKUP(A121,'Actuals Summer'!$A:$AG,23,FALSE),0)</f>
        <v>7995.0000000000009</v>
      </c>
      <c r="CC121" s="381">
        <f>_xlfn.IFNA(VLOOKUP(A121,'Actuals Summer'!$A:$AG,24,FALSE),0)</f>
        <v>2925</v>
      </c>
      <c r="CD121" s="381">
        <f>_xlfn.IFNA(VLOOKUP(A121,'Actuals Summer'!$A:$AG,25,FALSE),0)</f>
        <v>0</v>
      </c>
      <c r="CE121" s="381">
        <f>_xlfn.IFNA(VLOOKUP(A121,'Actuals Summer'!$A:$AG,26,FALSE),0)</f>
        <v>0</v>
      </c>
      <c r="CF121" s="381">
        <f>_xlfn.IFNA(VLOOKUP(A121,'Actuals Summer'!$A:$AG,27,FALSE),0)</f>
        <v>0</v>
      </c>
      <c r="CG121" s="381">
        <f>_xlfn.IFNA(VLOOKUP(A121,'Actuals Dep Summer'!B:O,6,FALSE)*$BN$3,0)</f>
        <v>3510</v>
      </c>
      <c r="CH121" s="381">
        <f>_xlfn.IFNA(VLOOKUP(A121,'Actuals Dep Summer'!B:O,7,FALSE)*$BN$3,0)</f>
        <v>1170</v>
      </c>
      <c r="CI121" s="381">
        <f>_xlfn.IFNA(VLOOKUP(A121,'Actuals Dep Summer'!B:O,8,FALSE)*$BN$3,0)</f>
        <v>1170</v>
      </c>
      <c r="CJ121" s="381">
        <f>_xlfn.IFNA(VLOOKUP(A121,'Actuals Summer'!$A:$AG,31,FALSE),0)*$BN$3</f>
        <v>207.88556757748029</v>
      </c>
      <c r="CK121" s="381"/>
      <c r="CL121" s="381">
        <f>_xlfn.IFNA(VLOOKUP(A121,'Actuals Summer'!$A:$AG,32,FALSE),0)*$BN$3</f>
        <v>40560</v>
      </c>
      <c r="CM121" s="381">
        <f>_xlfn.IFNA(VLOOKUP(A121,'Actuals Summer'!$A:$AG,33,FALSE),0)</f>
        <v>2.9999557159258652</v>
      </c>
      <c r="CP121" s="458">
        <f t="shared" si="46"/>
        <v>0</v>
      </c>
      <c r="CQ121" s="458">
        <f t="shared" si="47"/>
        <v>0</v>
      </c>
      <c r="CR121" s="458">
        <f t="shared" si="59"/>
        <v>0</v>
      </c>
      <c r="CS121" s="458">
        <f t="shared" si="48"/>
        <v>45251.700000000004</v>
      </c>
      <c r="CT121" s="458">
        <f t="shared" si="49"/>
        <v>16555.5</v>
      </c>
      <c r="CU121" s="458">
        <f t="shared" si="50"/>
        <v>2735.85</v>
      </c>
      <c r="CV121" s="458">
        <f t="shared" si="51"/>
        <v>565.5</v>
      </c>
      <c r="CW121" s="458">
        <f t="shared" si="52"/>
        <v>124.8</v>
      </c>
      <c r="CX121" s="458">
        <f t="shared" si="53"/>
        <v>3120</v>
      </c>
      <c r="CY121" s="458">
        <f t="shared" si="54"/>
        <v>1044.1052631578946</v>
      </c>
      <c r="CZ121" s="458">
        <f t="shared" si="55"/>
        <v>372.89473684210526</v>
      </c>
      <c r="DA121" s="458">
        <f t="shared" si="56"/>
        <v>2814</v>
      </c>
      <c r="DB121" s="458">
        <f t="shared" si="57"/>
        <v>72584.350000000006</v>
      </c>
      <c r="DC121" s="452">
        <f>_xlfn.XLOOKUP($A121,'Actuals Summer'!$A:$A,'Actuals Summer'!L:L,0,0)</f>
        <v>0</v>
      </c>
      <c r="DD121" s="452">
        <f>_xlfn.XLOOKUP($A121,'Actuals Summer'!$A:$A,'Actuals Summer'!K:K,0,0)+_xlfn.XLOOKUP($A121,'Actuals Summer'!$A:$A,'Actuals Summer'!Q:Q,0,0)</f>
        <v>0</v>
      </c>
      <c r="DE121" s="452">
        <f>_xlfn.XLOOKUP($A121,'Actuals Summer'!$A:$A,'Actuals Summer'!I:I,0,0)+_xlfn.XLOOKUP($A121,'Actuals Summer'!$A:$A,'Actuals Summer'!R:R,0,0)</f>
        <v>45251.700000000004</v>
      </c>
      <c r="DF121" s="452">
        <f>_xlfn.XLOOKUP($A121,'Actuals Summer'!$A:$A,'Actuals Summer'!J:J,0,0)</f>
        <v>16555.5</v>
      </c>
      <c r="DG121" s="452">
        <f>_xlfn.XLOOKUP($A121,'Actuals Dep Summer'!$B:$B,'Actuals Dep Summer'!G:G,0,0)*'Actuals Dep Summer'!$F$2*'Actuals Dep Summer'!$C$2</f>
        <v>2141.1</v>
      </c>
      <c r="DH121" s="452">
        <f>_xlfn.XLOOKUP($A121,'Actuals Dep Summer'!$B:$B,'Actuals Dep Summer'!H:H,0,0)*'Actuals Dep Summer'!$F$2*'Actuals Dep Summer'!$C$3</f>
        <v>339.29999999999995</v>
      </c>
      <c r="DI121" s="452">
        <f>_xlfn.XLOOKUP($A121,'Actuals Dep Summer'!$B:$B,'Actuals Dep Summer'!I:I,0,0)*'Actuals Dep Summer'!$F$2*'Actuals Dep Summer'!$C$4</f>
        <v>93.600000000000009</v>
      </c>
      <c r="DJ121" s="452">
        <f>_xlfn.XLOOKUP($A121,'Actuals Summer'!$A:$A,'Actuals Summer'!P:P,0,0)</f>
        <v>3120</v>
      </c>
      <c r="DK121" s="452">
        <f>_xlfn.XLOOKUP($A121,'Actuals Summer'!$A:$A,'Actuals Summer'!O:O,0,0)</f>
        <v>1193.2631578947369</v>
      </c>
      <c r="DL121" s="452"/>
      <c r="DM121" s="452">
        <f>_xlfn.XLOOKUP($A121,'Actuals Summer'!$A:$A,'Actuals Summer'!M:M,0,0)</f>
        <v>962.67</v>
      </c>
      <c r="DN121" s="453">
        <f t="shared" si="60"/>
        <v>69657.133157894743</v>
      </c>
      <c r="DO121" s="453">
        <f>_xlfn.XLOOKUP(A121,'Actuals Summer'!A:A,'Actuals Summer'!S:S,0,0)-'Summer data team '!DN121</f>
        <v>0</v>
      </c>
      <c r="DP121" s="463">
        <f t="shared" si="61"/>
        <v>2927.2168421052629</v>
      </c>
    </row>
    <row r="122" spans="1:120" ht="13" x14ac:dyDescent="0.3">
      <c r="A122" s="364">
        <v>2245</v>
      </c>
      <c r="B122" s="364">
        <v>3302245</v>
      </c>
      <c r="C122" s="364" t="s">
        <v>323</v>
      </c>
      <c r="D122" s="506">
        <v>0</v>
      </c>
      <c r="E122" s="506">
        <v>0</v>
      </c>
      <c r="F122" s="506">
        <v>0</v>
      </c>
      <c r="G122" s="506">
        <v>11</v>
      </c>
      <c r="H122" s="506">
        <v>11</v>
      </c>
      <c r="I122" s="507">
        <v>0</v>
      </c>
      <c r="J122" s="507">
        <v>22</v>
      </c>
      <c r="K122" s="506">
        <v>0</v>
      </c>
      <c r="L122" s="506">
        <v>0</v>
      </c>
      <c r="M122" s="507">
        <v>0</v>
      </c>
      <c r="N122" s="506">
        <v>0</v>
      </c>
      <c r="O122" s="506">
        <v>0</v>
      </c>
      <c r="P122" s="506">
        <v>165</v>
      </c>
      <c r="Q122" s="506">
        <v>165</v>
      </c>
      <c r="R122" s="507">
        <v>330</v>
      </c>
      <c r="S122" s="506">
        <v>0</v>
      </c>
      <c r="T122" s="506">
        <v>0</v>
      </c>
      <c r="U122" s="506">
        <v>0</v>
      </c>
      <c r="V122" s="506">
        <v>0</v>
      </c>
      <c r="W122" s="507">
        <v>0</v>
      </c>
      <c r="X122" s="506">
        <v>19</v>
      </c>
      <c r="Y122" s="506">
        <v>285</v>
      </c>
      <c r="Z122" s="508">
        <v>0</v>
      </c>
      <c r="AA122" s="506">
        <v>1</v>
      </c>
      <c r="AB122" s="506">
        <v>15</v>
      </c>
      <c r="AC122" s="508">
        <v>0</v>
      </c>
      <c r="AD122" s="506">
        <v>0</v>
      </c>
      <c r="AE122" s="506">
        <v>0</v>
      </c>
      <c r="AF122" s="508">
        <v>0</v>
      </c>
      <c r="AG122" s="509">
        <v>0</v>
      </c>
      <c r="AH122" s="509">
        <v>0</v>
      </c>
      <c r="AI122" s="508">
        <v>0</v>
      </c>
      <c r="AJ122" s="509">
        <v>19</v>
      </c>
      <c r="AK122" s="509">
        <v>285</v>
      </c>
      <c r="AL122" s="508">
        <v>0</v>
      </c>
      <c r="AM122" s="506">
        <v>19</v>
      </c>
      <c r="AN122" s="506">
        <v>285</v>
      </c>
      <c r="AO122" s="508">
        <v>0</v>
      </c>
      <c r="AP122" s="508"/>
      <c r="AQ122" s="508">
        <f t="shared" si="35"/>
        <v>19</v>
      </c>
      <c r="AR122" s="509">
        <v>0</v>
      </c>
      <c r="AS122" s="509">
        <v>0</v>
      </c>
      <c r="AT122" s="508">
        <v>0</v>
      </c>
      <c r="AU122" s="509">
        <v>19</v>
      </c>
      <c r="AV122" s="509">
        <v>285</v>
      </c>
      <c r="AW122" s="508">
        <v>0</v>
      </c>
      <c r="AX122" s="506">
        <v>19</v>
      </c>
      <c r="AY122" s="506">
        <v>285</v>
      </c>
      <c r="AZ122" s="508">
        <v>0</v>
      </c>
      <c r="BA122" s="508"/>
      <c r="BB122" s="508">
        <f t="shared" si="36"/>
        <v>38</v>
      </c>
      <c r="BC122" s="509">
        <v>0</v>
      </c>
      <c r="BD122" s="509">
        <v>0</v>
      </c>
      <c r="BE122" s="506">
        <v>0</v>
      </c>
      <c r="BF122" s="200"/>
      <c r="BG122" s="200"/>
      <c r="BH122" s="200"/>
      <c r="BI122" s="200"/>
      <c r="BJ122" s="200"/>
      <c r="BK122" s="200"/>
      <c r="BL122" s="200"/>
      <c r="BM122" s="505">
        <f t="shared" si="37"/>
        <v>0</v>
      </c>
      <c r="BN122" s="200">
        <f t="shared" si="38"/>
        <v>0</v>
      </c>
      <c r="BO122" s="200">
        <f t="shared" si="58"/>
        <v>0</v>
      </c>
      <c r="BP122" s="200">
        <f t="shared" si="39"/>
        <v>4290</v>
      </c>
      <c r="BQ122" s="200">
        <f t="shared" si="40"/>
        <v>0</v>
      </c>
      <c r="BR122" s="200">
        <f t="shared" si="41"/>
        <v>3705</v>
      </c>
      <c r="BS122" s="200">
        <f t="shared" si="42"/>
        <v>195</v>
      </c>
      <c r="BT122" s="200">
        <f t="shared" si="43"/>
        <v>0</v>
      </c>
      <c r="BU122" s="200">
        <f t="shared" si="44"/>
        <v>3705</v>
      </c>
      <c r="BV122" s="200">
        <v>19</v>
      </c>
      <c r="BW122" s="200">
        <v>0</v>
      </c>
      <c r="BX122" s="200">
        <f t="shared" si="45"/>
        <v>0</v>
      </c>
      <c r="CB122" s="381">
        <f>_xlfn.IFNA(VLOOKUP(A122,'Actuals Summer'!$A:$AG,23,FALSE),0)</f>
        <v>4290</v>
      </c>
      <c r="CC122" s="381">
        <f>_xlfn.IFNA(VLOOKUP(A122,'Actuals Summer'!$A:$AG,24,FALSE),0)</f>
        <v>0</v>
      </c>
      <c r="CD122" s="381">
        <f>_xlfn.IFNA(VLOOKUP(A122,'Actuals Summer'!$A:$AG,25,FALSE),0)</f>
        <v>0</v>
      </c>
      <c r="CE122" s="381">
        <f>_xlfn.IFNA(VLOOKUP(A122,'Actuals Summer'!$A:$AG,26,FALSE),0)</f>
        <v>0</v>
      </c>
      <c r="CF122" s="381">
        <f>_xlfn.IFNA(VLOOKUP(A122,'Actuals Summer'!$A:$AG,27,FALSE),0)</f>
        <v>0</v>
      </c>
      <c r="CG122" s="381">
        <f>_xlfn.IFNA(VLOOKUP(A122,'Actuals Dep Summer'!B:O,6,FALSE)*$BN$3,0)</f>
        <v>3705</v>
      </c>
      <c r="CH122" s="381">
        <f>_xlfn.IFNA(VLOOKUP(A122,'Actuals Dep Summer'!B:O,7,FALSE)*$BN$3,0)</f>
        <v>195</v>
      </c>
      <c r="CI122" s="381">
        <f>_xlfn.IFNA(VLOOKUP(A122,'Actuals Dep Summer'!B:O,8,FALSE)*$BN$3,0)</f>
        <v>0</v>
      </c>
      <c r="CJ122" s="381">
        <f>_xlfn.IFNA(VLOOKUP(A122,'Actuals Summer'!$A:$AG,31,FALSE),0)*$BN$3</f>
        <v>246.86411149825784</v>
      </c>
      <c r="CK122" s="381"/>
      <c r="CL122" s="381">
        <f>_xlfn.IFNA(VLOOKUP(A122,'Actuals Summer'!$A:$AG,32,FALSE),0)*$BN$3</f>
        <v>48165</v>
      </c>
      <c r="CM122" s="381">
        <f>_xlfn.IFNA(VLOOKUP(A122,'Actuals Summer'!$A:$AG,33,FALSE),0)</f>
        <v>0</v>
      </c>
      <c r="CP122" s="458">
        <f t="shared" si="46"/>
        <v>0</v>
      </c>
      <c r="CQ122" s="458">
        <f t="shared" si="47"/>
        <v>0</v>
      </c>
      <c r="CR122" s="458">
        <f t="shared" si="59"/>
        <v>0</v>
      </c>
      <c r="CS122" s="458">
        <f t="shared" si="48"/>
        <v>24281.4</v>
      </c>
      <c r="CT122" s="458">
        <f t="shared" si="49"/>
        <v>0</v>
      </c>
      <c r="CU122" s="458">
        <f t="shared" si="50"/>
        <v>2260.0499999999997</v>
      </c>
      <c r="CV122" s="458">
        <f t="shared" si="51"/>
        <v>56.55</v>
      </c>
      <c r="CW122" s="458">
        <f t="shared" si="52"/>
        <v>0</v>
      </c>
      <c r="CX122" s="458">
        <f t="shared" si="53"/>
        <v>3705</v>
      </c>
      <c r="CY122" s="458">
        <f t="shared" si="54"/>
        <v>1417</v>
      </c>
      <c r="CZ122" s="458">
        <f t="shared" si="55"/>
        <v>0</v>
      </c>
      <c r="DA122" s="458">
        <f t="shared" si="56"/>
        <v>0</v>
      </c>
      <c r="DB122" s="458">
        <f t="shared" si="57"/>
        <v>31720</v>
      </c>
      <c r="DC122" s="452">
        <f>_xlfn.XLOOKUP($A122,'Actuals Summer'!$A:$A,'Actuals Summer'!L:L,0,0)</f>
        <v>0</v>
      </c>
      <c r="DD122" s="452">
        <f>_xlfn.XLOOKUP($A122,'Actuals Summer'!$A:$A,'Actuals Summer'!K:K,0,0)+_xlfn.XLOOKUP($A122,'Actuals Summer'!$A:$A,'Actuals Summer'!Q:Q,0,0)</f>
        <v>0</v>
      </c>
      <c r="DE122" s="452">
        <f>_xlfn.XLOOKUP($A122,'Actuals Summer'!$A:$A,'Actuals Summer'!I:I,0,0)+_xlfn.XLOOKUP($A122,'Actuals Summer'!$A:$A,'Actuals Summer'!R:R,0,0)</f>
        <v>24281.4</v>
      </c>
      <c r="DF122" s="452">
        <f>_xlfn.XLOOKUP($A122,'Actuals Summer'!$A:$A,'Actuals Summer'!J:J,0,0)</f>
        <v>0</v>
      </c>
      <c r="DG122" s="452">
        <f>_xlfn.XLOOKUP($A122,'Actuals Dep Summer'!$B:$B,'Actuals Dep Summer'!G:G,0,0)*'Actuals Dep Summer'!$F$2*'Actuals Dep Summer'!$C$2</f>
        <v>2260.0499999999997</v>
      </c>
      <c r="DH122" s="452">
        <f>_xlfn.XLOOKUP($A122,'Actuals Dep Summer'!$B:$B,'Actuals Dep Summer'!H:H,0,0)*'Actuals Dep Summer'!$F$2*'Actuals Dep Summer'!$C$3</f>
        <v>56.55</v>
      </c>
      <c r="DI122" s="452">
        <f>_xlfn.XLOOKUP($A122,'Actuals Dep Summer'!$B:$B,'Actuals Dep Summer'!I:I,0,0)*'Actuals Dep Summer'!$F$2*'Actuals Dep Summer'!$C$4</f>
        <v>0</v>
      </c>
      <c r="DJ122" s="452">
        <f>_xlfn.XLOOKUP($A122,'Actuals Summer'!$A:$A,'Actuals Summer'!P:P,0,0)</f>
        <v>3705</v>
      </c>
      <c r="DK122" s="452">
        <f>_xlfn.XLOOKUP($A122,'Actuals Summer'!$A:$A,'Actuals Summer'!O:O,0,0)</f>
        <v>1417</v>
      </c>
      <c r="DL122" s="452"/>
      <c r="DM122" s="452">
        <f>_xlfn.XLOOKUP($A122,'Actuals Summer'!$A:$A,'Actuals Summer'!M:M,0,0)</f>
        <v>0</v>
      </c>
      <c r="DN122" s="453">
        <f t="shared" si="60"/>
        <v>31720</v>
      </c>
      <c r="DO122" s="453">
        <f>_xlfn.XLOOKUP(A122,'Actuals Summer'!A:A,'Actuals Summer'!S:S,0,0)-'Summer data team '!DN122</f>
        <v>0</v>
      </c>
      <c r="DP122" s="463">
        <f t="shared" si="61"/>
        <v>0</v>
      </c>
    </row>
    <row r="123" spans="1:120" ht="13" x14ac:dyDescent="0.3">
      <c r="A123" s="364">
        <v>2251</v>
      </c>
      <c r="B123" s="364">
        <v>3302251</v>
      </c>
      <c r="C123" s="364" t="s">
        <v>324</v>
      </c>
      <c r="D123" s="506">
        <v>0</v>
      </c>
      <c r="E123" s="506">
        <v>0</v>
      </c>
      <c r="F123" s="506">
        <v>0</v>
      </c>
      <c r="G123" s="506">
        <v>9</v>
      </c>
      <c r="H123" s="506">
        <v>15</v>
      </c>
      <c r="I123" s="507">
        <v>0</v>
      </c>
      <c r="J123" s="507">
        <v>24</v>
      </c>
      <c r="K123" s="506">
        <v>8</v>
      </c>
      <c r="L123" s="506">
        <v>13</v>
      </c>
      <c r="M123" s="507">
        <v>21</v>
      </c>
      <c r="N123" s="506">
        <v>0</v>
      </c>
      <c r="O123" s="506">
        <v>0</v>
      </c>
      <c r="P123" s="506">
        <v>135</v>
      </c>
      <c r="Q123" s="506">
        <v>225</v>
      </c>
      <c r="R123" s="507">
        <v>360</v>
      </c>
      <c r="S123" s="506">
        <v>0</v>
      </c>
      <c r="T123" s="506">
        <v>0</v>
      </c>
      <c r="U123" s="506">
        <v>120</v>
      </c>
      <c r="V123" s="506">
        <v>195</v>
      </c>
      <c r="W123" s="507">
        <v>315</v>
      </c>
      <c r="X123" s="506">
        <v>0</v>
      </c>
      <c r="Y123" s="506">
        <v>0</v>
      </c>
      <c r="Z123" s="508">
        <v>0</v>
      </c>
      <c r="AA123" s="506">
        <v>0</v>
      </c>
      <c r="AB123" s="506">
        <v>0</v>
      </c>
      <c r="AC123" s="508">
        <v>0</v>
      </c>
      <c r="AD123" s="506">
        <v>1</v>
      </c>
      <c r="AE123" s="506">
        <v>15</v>
      </c>
      <c r="AF123" s="508">
        <v>0</v>
      </c>
      <c r="AG123" s="509">
        <v>0</v>
      </c>
      <c r="AH123" s="509">
        <v>0</v>
      </c>
      <c r="AI123" s="508">
        <v>0</v>
      </c>
      <c r="AJ123" s="509">
        <v>2</v>
      </c>
      <c r="AK123" s="509">
        <v>30</v>
      </c>
      <c r="AL123" s="508">
        <v>30</v>
      </c>
      <c r="AM123" s="506">
        <v>2</v>
      </c>
      <c r="AN123" s="506">
        <v>30</v>
      </c>
      <c r="AO123" s="508">
        <v>30</v>
      </c>
      <c r="AP123" s="508"/>
      <c r="AQ123" s="508">
        <f t="shared" si="35"/>
        <v>2</v>
      </c>
      <c r="AR123" s="509">
        <v>0</v>
      </c>
      <c r="AS123" s="509">
        <v>0</v>
      </c>
      <c r="AT123" s="508">
        <v>0</v>
      </c>
      <c r="AU123" s="509">
        <v>2</v>
      </c>
      <c r="AV123" s="509">
        <v>30</v>
      </c>
      <c r="AW123" s="508">
        <v>30</v>
      </c>
      <c r="AX123" s="506">
        <v>2</v>
      </c>
      <c r="AY123" s="506">
        <v>30</v>
      </c>
      <c r="AZ123" s="508">
        <v>30</v>
      </c>
      <c r="BA123" s="508"/>
      <c r="BB123" s="508">
        <f t="shared" si="36"/>
        <v>4</v>
      </c>
      <c r="BC123" s="509">
        <v>0</v>
      </c>
      <c r="BD123" s="509">
        <v>0</v>
      </c>
      <c r="BE123" s="506">
        <v>0</v>
      </c>
      <c r="BF123" s="200"/>
      <c r="BG123" s="200"/>
      <c r="BH123" s="200"/>
      <c r="BI123" s="200"/>
      <c r="BJ123" s="200"/>
      <c r="BK123" s="200"/>
      <c r="BL123" s="200"/>
      <c r="BM123" s="505">
        <f t="shared" si="37"/>
        <v>0</v>
      </c>
      <c r="BN123" s="200">
        <f t="shared" si="38"/>
        <v>0</v>
      </c>
      <c r="BO123" s="200">
        <f t="shared" si="58"/>
        <v>0</v>
      </c>
      <c r="BP123" s="200">
        <f t="shared" si="39"/>
        <v>4680</v>
      </c>
      <c r="BQ123" s="200">
        <f t="shared" si="40"/>
        <v>4095</v>
      </c>
      <c r="BR123" s="200">
        <f t="shared" si="41"/>
        <v>0</v>
      </c>
      <c r="BS123" s="200">
        <f t="shared" si="42"/>
        <v>0</v>
      </c>
      <c r="BT123" s="200">
        <f t="shared" si="43"/>
        <v>195</v>
      </c>
      <c r="BU123" s="200">
        <f t="shared" si="44"/>
        <v>390</v>
      </c>
      <c r="BV123" s="200">
        <v>0</v>
      </c>
      <c r="BW123" s="200">
        <v>2</v>
      </c>
      <c r="BX123" s="200">
        <f t="shared" si="45"/>
        <v>0</v>
      </c>
      <c r="CB123" s="381">
        <f>_xlfn.IFNA(VLOOKUP(A123,'Actuals Summer'!$A:$AG,23,FALSE),0)</f>
        <v>4680</v>
      </c>
      <c r="CC123" s="381">
        <f>_xlfn.IFNA(VLOOKUP(A123,'Actuals Summer'!$A:$AG,24,FALSE),0)</f>
        <v>4095</v>
      </c>
      <c r="CD123" s="381">
        <f>_xlfn.IFNA(VLOOKUP(A123,'Actuals Summer'!$A:$AG,25,FALSE),0)</f>
        <v>0</v>
      </c>
      <c r="CE123" s="381">
        <f>_xlfn.IFNA(VLOOKUP(A123,'Actuals Summer'!$A:$AG,26,FALSE),0)</f>
        <v>0</v>
      </c>
      <c r="CF123" s="381">
        <f>_xlfn.IFNA(VLOOKUP(A123,'Actuals Summer'!$A:$AG,27,FALSE),0)</f>
        <v>0</v>
      </c>
      <c r="CG123" s="381">
        <f>_xlfn.IFNA(VLOOKUP(A123,'Actuals Dep Summer'!B:O,6,FALSE)*$BN$3,0)</f>
        <v>0</v>
      </c>
      <c r="CH123" s="381">
        <f>_xlfn.IFNA(VLOOKUP(A123,'Actuals Dep Summer'!B:O,7,FALSE)*$BN$3,0)</f>
        <v>0</v>
      </c>
      <c r="CI123" s="381">
        <f>_xlfn.IFNA(VLOOKUP(A123,'Actuals Dep Summer'!B:O,8,FALSE)*$BN$3,0)</f>
        <v>195</v>
      </c>
      <c r="CJ123" s="381">
        <f>_xlfn.IFNA(VLOOKUP(A123,'Actuals Summer'!$A:$AG,31,FALSE),0)*$BN$3</f>
        <v>25.985695947185036</v>
      </c>
      <c r="CK123" s="381"/>
      <c r="CL123" s="381">
        <f>_xlfn.IFNA(VLOOKUP(A123,'Actuals Summer'!$A:$AG,32,FALSE),0)*$BN$3</f>
        <v>5070</v>
      </c>
      <c r="CM123" s="381">
        <f>_xlfn.IFNA(VLOOKUP(A123,'Actuals Summer'!$A:$AG,33,FALSE),0)</f>
        <v>0</v>
      </c>
      <c r="CP123" s="458">
        <f t="shared" si="46"/>
        <v>0</v>
      </c>
      <c r="CQ123" s="458">
        <f t="shared" si="47"/>
        <v>0</v>
      </c>
      <c r="CR123" s="458">
        <f t="shared" si="59"/>
        <v>0</v>
      </c>
      <c r="CS123" s="458">
        <f t="shared" si="48"/>
        <v>26488.799999999999</v>
      </c>
      <c r="CT123" s="458">
        <f t="shared" si="49"/>
        <v>23177.7</v>
      </c>
      <c r="CU123" s="458">
        <f t="shared" si="50"/>
        <v>0</v>
      </c>
      <c r="CV123" s="458">
        <f t="shared" si="51"/>
        <v>0</v>
      </c>
      <c r="CW123" s="458">
        <f t="shared" si="52"/>
        <v>15.6</v>
      </c>
      <c r="CX123" s="458">
        <f t="shared" si="53"/>
        <v>390</v>
      </c>
      <c r="CY123" s="458">
        <f t="shared" si="54"/>
        <v>0</v>
      </c>
      <c r="CZ123" s="458">
        <f t="shared" si="55"/>
        <v>372.89473684210526</v>
      </c>
      <c r="DA123" s="458">
        <f t="shared" si="56"/>
        <v>0</v>
      </c>
      <c r="DB123" s="458">
        <f t="shared" si="57"/>
        <v>50444.994736842105</v>
      </c>
      <c r="DC123" s="452">
        <f>_xlfn.XLOOKUP($A123,'Actuals Summer'!$A:$A,'Actuals Summer'!L:L,0,0)</f>
        <v>0</v>
      </c>
      <c r="DD123" s="452">
        <f>_xlfn.XLOOKUP($A123,'Actuals Summer'!$A:$A,'Actuals Summer'!K:K,0,0)+_xlfn.XLOOKUP($A123,'Actuals Summer'!$A:$A,'Actuals Summer'!Q:Q,0,0)</f>
        <v>0</v>
      </c>
      <c r="DE123" s="452">
        <f>_xlfn.XLOOKUP($A123,'Actuals Summer'!$A:$A,'Actuals Summer'!I:I,0,0)+_xlfn.XLOOKUP($A123,'Actuals Summer'!$A:$A,'Actuals Summer'!R:R,0,0)</f>
        <v>26488.799999999999</v>
      </c>
      <c r="DF123" s="452">
        <f>_xlfn.XLOOKUP($A123,'Actuals Summer'!$A:$A,'Actuals Summer'!J:J,0,0)</f>
        <v>23177.7</v>
      </c>
      <c r="DG123" s="452">
        <f>_xlfn.XLOOKUP($A123,'Actuals Dep Summer'!$B:$B,'Actuals Dep Summer'!G:G,0,0)*'Actuals Dep Summer'!$F$2*'Actuals Dep Summer'!$C$2</f>
        <v>0</v>
      </c>
      <c r="DH123" s="452">
        <f>_xlfn.XLOOKUP($A123,'Actuals Dep Summer'!$B:$B,'Actuals Dep Summer'!H:H,0,0)*'Actuals Dep Summer'!$F$2*'Actuals Dep Summer'!$C$3</f>
        <v>0</v>
      </c>
      <c r="DI123" s="452">
        <f>_xlfn.XLOOKUP($A123,'Actuals Dep Summer'!$B:$B,'Actuals Dep Summer'!I:I,0,0)*'Actuals Dep Summer'!$F$2*'Actuals Dep Summer'!$C$4</f>
        <v>15.6</v>
      </c>
      <c r="DJ123" s="452">
        <f>_xlfn.XLOOKUP($A123,'Actuals Summer'!$A:$A,'Actuals Summer'!P:P,0,0)</f>
        <v>390</v>
      </c>
      <c r="DK123" s="452">
        <f>_xlfn.XLOOKUP($A123,'Actuals Summer'!$A:$A,'Actuals Summer'!O:O,0,0)</f>
        <v>149.15789473684211</v>
      </c>
      <c r="DL123" s="452"/>
      <c r="DM123" s="452">
        <f>_xlfn.XLOOKUP($A123,'Actuals Summer'!$A:$A,'Actuals Summer'!M:M,0,0)</f>
        <v>0</v>
      </c>
      <c r="DN123" s="453">
        <f t="shared" si="60"/>
        <v>50221.257894736838</v>
      </c>
      <c r="DO123" s="453">
        <f>_xlfn.XLOOKUP(A123,'Actuals Summer'!A:A,'Actuals Summer'!S:S,0,0)-'Summer data team '!DN123</f>
        <v>0</v>
      </c>
      <c r="DP123" s="463">
        <f t="shared" si="61"/>
        <v>223.73684210526699</v>
      </c>
    </row>
    <row r="124" spans="1:120" ht="13" x14ac:dyDescent="0.3">
      <c r="A124" s="364">
        <v>2293</v>
      </c>
      <c r="B124" s="364">
        <v>3302293</v>
      </c>
      <c r="C124" s="364" t="s">
        <v>173</v>
      </c>
      <c r="D124" s="506">
        <v>0</v>
      </c>
      <c r="E124" s="506">
        <v>0</v>
      </c>
      <c r="F124" s="506">
        <v>0</v>
      </c>
      <c r="G124" s="506">
        <v>23</v>
      </c>
      <c r="H124" s="506">
        <v>43</v>
      </c>
      <c r="I124" s="507">
        <v>0</v>
      </c>
      <c r="J124" s="507">
        <v>66</v>
      </c>
      <c r="K124" s="506">
        <v>0</v>
      </c>
      <c r="L124" s="506">
        <v>0</v>
      </c>
      <c r="M124" s="507">
        <v>0</v>
      </c>
      <c r="N124" s="506">
        <v>0</v>
      </c>
      <c r="O124" s="506">
        <v>0</v>
      </c>
      <c r="P124" s="506">
        <v>345</v>
      </c>
      <c r="Q124" s="506">
        <v>645</v>
      </c>
      <c r="R124" s="507">
        <v>990</v>
      </c>
      <c r="S124" s="506">
        <v>0</v>
      </c>
      <c r="T124" s="506">
        <v>0</v>
      </c>
      <c r="U124" s="506">
        <v>0</v>
      </c>
      <c r="V124" s="506">
        <v>0</v>
      </c>
      <c r="W124" s="507">
        <v>0</v>
      </c>
      <c r="X124" s="506">
        <v>0</v>
      </c>
      <c r="Y124" s="506">
        <v>0</v>
      </c>
      <c r="Z124" s="508">
        <v>0</v>
      </c>
      <c r="AA124" s="506">
        <v>11</v>
      </c>
      <c r="AB124" s="506">
        <v>165</v>
      </c>
      <c r="AC124" s="508">
        <v>0</v>
      </c>
      <c r="AD124" s="506">
        <v>50</v>
      </c>
      <c r="AE124" s="506">
        <v>750</v>
      </c>
      <c r="AF124" s="508">
        <v>0</v>
      </c>
      <c r="AG124" s="509">
        <v>0</v>
      </c>
      <c r="AH124" s="509">
        <v>0</v>
      </c>
      <c r="AI124" s="508">
        <v>0</v>
      </c>
      <c r="AJ124" s="509">
        <v>24</v>
      </c>
      <c r="AK124" s="509">
        <v>360</v>
      </c>
      <c r="AL124" s="508">
        <v>0</v>
      </c>
      <c r="AM124" s="506">
        <v>24</v>
      </c>
      <c r="AN124" s="506">
        <v>360</v>
      </c>
      <c r="AO124" s="508">
        <v>0</v>
      </c>
      <c r="AP124" s="508"/>
      <c r="AQ124" s="508">
        <f t="shared" si="35"/>
        <v>24</v>
      </c>
      <c r="AR124" s="509">
        <v>0</v>
      </c>
      <c r="AS124" s="509">
        <v>0</v>
      </c>
      <c r="AT124" s="508">
        <v>0</v>
      </c>
      <c r="AU124" s="509">
        <v>0</v>
      </c>
      <c r="AV124" s="509">
        <v>0</v>
      </c>
      <c r="AW124" s="508">
        <v>0</v>
      </c>
      <c r="AX124" s="506">
        <v>0</v>
      </c>
      <c r="AY124" s="506">
        <v>0</v>
      </c>
      <c r="AZ124" s="508">
        <v>0</v>
      </c>
      <c r="BA124" s="508"/>
      <c r="BB124" s="508">
        <f t="shared" si="36"/>
        <v>0</v>
      </c>
      <c r="BC124" s="509">
        <v>0</v>
      </c>
      <c r="BD124" s="509">
        <v>0</v>
      </c>
      <c r="BE124" s="506">
        <v>0</v>
      </c>
      <c r="BF124" s="200"/>
      <c r="BG124" s="200"/>
      <c r="BH124" s="200"/>
      <c r="BI124" s="200"/>
      <c r="BJ124" s="200"/>
      <c r="BK124" s="200"/>
      <c r="BL124" s="200"/>
      <c r="BM124" s="505">
        <f t="shared" si="37"/>
        <v>0</v>
      </c>
      <c r="BN124" s="200">
        <f t="shared" si="38"/>
        <v>0</v>
      </c>
      <c r="BO124" s="200">
        <f t="shared" si="58"/>
        <v>0</v>
      </c>
      <c r="BP124" s="200">
        <f t="shared" si="39"/>
        <v>12870</v>
      </c>
      <c r="BQ124" s="200">
        <f t="shared" si="40"/>
        <v>0</v>
      </c>
      <c r="BR124" s="200">
        <f t="shared" si="41"/>
        <v>0</v>
      </c>
      <c r="BS124" s="200">
        <f t="shared" si="42"/>
        <v>2145</v>
      </c>
      <c r="BT124" s="200">
        <f t="shared" si="43"/>
        <v>9750</v>
      </c>
      <c r="BU124" s="200">
        <f t="shared" si="44"/>
        <v>4680</v>
      </c>
      <c r="BV124" s="200">
        <v>0</v>
      </c>
      <c r="BW124" s="200">
        <v>0</v>
      </c>
      <c r="BX124" s="200">
        <f t="shared" si="45"/>
        <v>0</v>
      </c>
      <c r="CB124" s="381">
        <f>_xlfn.IFNA(VLOOKUP(A124,'Actuals Summer'!$A:$AG,23,FALSE),0)</f>
        <v>12870</v>
      </c>
      <c r="CC124" s="381">
        <f>_xlfn.IFNA(VLOOKUP(A124,'Actuals Summer'!$A:$AG,24,FALSE),0)</f>
        <v>0</v>
      </c>
      <c r="CD124" s="381">
        <f>_xlfn.IFNA(VLOOKUP(A124,'Actuals Summer'!$A:$AG,25,FALSE),0)</f>
        <v>0</v>
      </c>
      <c r="CE124" s="381">
        <f>_xlfn.IFNA(VLOOKUP(A124,'Actuals Summer'!$A:$AG,26,FALSE),0)</f>
        <v>0</v>
      </c>
      <c r="CF124" s="381">
        <f>_xlfn.IFNA(VLOOKUP(A124,'Actuals Summer'!$A:$AG,27,FALSE),0)</f>
        <v>0</v>
      </c>
      <c r="CG124" s="381">
        <f>_xlfn.IFNA(VLOOKUP(A124,'Actuals Dep Summer'!B:O,6,FALSE)*$BN$3,0)</f>
        <v>0</v>
      </c>
      <c r="CH124" s="381">
        <f>_xlfn.IFNA(VLOOKUP(A124,'Actuals Dep Summer'!B:O,7,FALSE)*$BN$3,0)</f>
        <v>2145</v>
      </c>
      <c r="CI124" s="381">
        <f>_xlfn.IFNA(VLOOKUP(A124,'Actuals Dep Summer'!B:O,8,FALSE)*$BN$3,0)</f>
        <v>9750</v>
      </c>
      <c r="CJ124" s="381">
        <f>_xlfn.IFNA(VLOOKUP(A124,'Actuals Summer'!$A:$AG,31,FALSE),0)*$BN$3</f>
        <v>0</v>
      </c>
      <c r="CK124" s="381"/>
      <c r="CL124" s="381">
        <f>_xlfn.IFNA(VLOOKUP(A124,'Actuals Summer'!$A:$AG,32,FALSE),0)*$BN$3</f>
        <v>60840</v>
      </c>
      <c r="CM124" s="381">
        <f>_xlfn.IFNA(VLOOKUP(A124,'Actuals Summer'!$A:$AG,33,FALSE),0)</f>
        <v>0</v>
      </c>
      <c r="CP124" s="458">
        <f t="shared" si="46"/>
        <v>0</v>
      </c>
      <c r="CQ124" s="458">
        <f t="shared" si="47"/>
        <v>0</v>
      </c>
      <c r="CR124" s="458">
        <f t="shared" si="59"/>
        <v>0</v>
      </c>
      <c r="CS124" s="458">
        <f t="shared" si="48"/>
        <v>72844.2</v>
      </c>
      <c r="CT124" s="458">
        <f t="shared" si="49"/>
        <v>0</v>
      </c>
      <c r="CU124" s="458">
        <f t="shared" si="50"/>
        <v>0</v>
      </c>
      <c r="CV124" s="458">
        <f t="shared" si="51"/>
        <v>622.04999999999995</v>
      </c>
      <c r="CW124" s="458">
        <f t="shared" si="52"/>
        <v>780</v>
      </c>
      <c r="CX124" s="458">
        <f t="shared" si="53"/>
        <v>4680</v>
      </c>
      <c r="CY124" s="458">
        <f t="shared" si="54"/>
        <v>0</v>
      </c>
      <c r="CZ124" s="458">
        <f t="shared" si="55"/>
        <v>0</v>
      </c>
      <c r="DA124" s="458">
        <f t="shared" si="56"/>
        <v>0</v>
      </c>
      <c r="DB124" s="458">
        <f t="shared" si="57"/>
        <v>78926.25</v>
      </c>
      <c r="DC124" s="452">
        <f>_xlfn.XLOOKUP($A124,'Actuals Summer'!$A:$A,'Actuals Summer'!L:L,0,0)</f>
        <v>0</v>
      </c>
      <c r="DD124" s="452">
        <f>_xlfn.XLOOKUP($A124,'Actuals Summer'!$A:$A,'Actuals Summer'!K:K,0,0)+_xlfn.XLOOKUP($A124,'Actuals Summer'!$A:$A,'Actuals Summer'!Q:Q,0,0)</f>
        <v>0</v>
      </c>
      <c r="DE124" s="452">
        <f>_xlfn.XLOOKUP($A124,'Actuals Summer'!$A:$A,'Actuals Summer'!I:I,0,0)+_xlfn.XLOOKUP($A124,'Actuals Summer'!$A:$A,'Actuals Summer'!R:R,0,0)</f>
        <v>72844.2</v>
      </c>
      <c r="DF124" s="452">
        <f>_xlfn.XLOOKUP($A124,'Actuals Summer'!$A:$A,'Actuals Summer'!J:J,0,0)</f>
        <v>0</v>
      </c>
      <c r="DG124" s="452">
        <f>_xlfn.XLOOKUP($A124,'Actuals Dep Summer'!$B:$B,'Actuals Dep Summer'!G:G,0,0)*'Actuals Dep Summer'!$F$2*'Actuals Dep Summer'!$C$2</f>
        <v>0</v>
      </c>
      <c r="DH124" s="452">
        <f>_xlfn.XLOOKUP($A124,'Actuals Dep Summer'!$B:$B,'Actuals Dep Summer'!H:H,0,0)*'Actuals Dep Summer'!$F$2*'Actuals Dep Summer'!$C$3</f>
        <v>622.04999999999995</v>
      </c>
      <c r="DI124" s="452">
        <f>_xlfn.XLOOKUP($A124,'Actuals Dep Summer'!$B:$B,'Actuals Dep Summer'!I:I,0,0)*'Actuals Dep Summer'!$F$2*'Actuals Dep Summer'!$C$4</f>
        <v>780</v>
      </c>
      <c r="DJ124" s="452">
        <f>_xlfn.XLOOKUP($A124,'Actuals Summer'!$A:$A,'Actuals Summer'!P:P,0,0)</f>
        <v>4680</v>
      </c>
      <c r="DK124" s="452">
        <f>_xlfn.XLOOKUP($A124,'Actuals Summer'!$A:$A,'Actuals Summer'!O:O,0,0)</f>
        <v>0</v>
      </c>
      <c r="DL124" s="452"/>
      <c r="DM124" s="452">
        <f>_xlfn.XLOOKUP($A124,'Actuals Summer'!$A:$A,'Actuals Summer'!M:M,0,0)</f>
        <v>0</v>
      </c>
      <c r="DN124" s="453">
        <f t="shared" si="60"/>
        <v>78926.25</v>
      </c>
      <c r="DO124" s="453">
        <f>_xlfn.XLOOKUP(A124,'Actuals Summer'!A:A,'Actuals Summer'!S:S,0,0)-'Summer data team '!DN124</f>
        <v>0</v>
      </c>
      <c r="DP124" s="463">
        <f t="shared" si="61"/>
        <v>0</v>
      </c>
    </row>
    <row r="125" spans="1:120" ht="13" x14ac:dyDescent="0.3">
      <c r="A125" s="364">
        <v>2299</v>
      </c>
      <c r="B125" s="364">
        <v>3302299</v>
      </c>
      <c r="C125" s="364" t="s">
        <v>853</v>
      </c>
      <c r="D125" s="506">
        <v>0</v>
      </c>
      <c r="E125" s="506">
        <v>0</v>
      </c>
      <c r="F125" s="506">
        <v>0</v>
      </c>
      <c r="G125" s="506">
        <v>41</v>
      </c>
      <c r="H125" s="506">
        <v>27</v>
      </c>
      <c r="I125" s="507">
        <v>0</v>
      </c>
      <c r="J125" s="507">
        <v>68</v>
      </c>
      <c r="K125" s="506">
        <v>7</v>
      </c>
      <c r="L125" s="506">
        <v>1</v>
      </c>
      <c r="M125" s="507">
        <v>8</v>
      </c>
      <c r="N125" s="506">
        <v>0</v>
      </c>
      <c r="O125" s="506">
        <v>0</v>
      </c>
      <c r="P125" s="506">
        <v>615</v>
      </c>
      <c r="Q125" s="506">
        <v>405</v>
      </c>
      <c r="R125" s="507">
        <v>1020</v>
      </c>
      <c r="S125" s="506">
        <v>0</v>
      </c>
      <c r="T125" s="506">
        <v>0</v>
      </c>
      <c r="U125" s="506">
        <v>105</v>
      </c>
      <c r="V125" s="506">
        <v>15</v>
      </c>
      <c r="W125" s="507">
        <v>120</v>
      </c>
      <c r="X125" s="506">
        <v>0</v>
      </c>
      <c r="Y125" s="506">
        <v>0</v>
      </c>
      <c r="Z125" s="508">
        <v>0</v>
      </c>
      <c r="AA125" s="506">
        <v>14</v>
      </c>
      <c r="AB125" s="506">
        <v>210</v>
      </c>
      <c r="AC125" s="508">
        <v>45</v>
      </c>
      <c r="AD125" s="506">
        <v>6</v>
      </c>
      <c r="AE125" s="506">
        <v>90</v>
      </c>
      <c r="AF125" s="508">
        <v>15</v>
      </c>
      <c r="AG125" s="509">
        <v>0</v>
      </c>
      <c r="AH125" s="509">
        <v>0</v>
      </c>
      <c r="AI125" s="508">
        <v>0</v>
      </c>
      <c r="AJ125" s="509">
        <v>19</v>
      </c>
      <c r="AK125" s="509">
        <v>285</v>
      </c>
      <c r="AL125" s="508">
        <v>15</v>
      </c>
      <c r="AM125" s="506">
        <v>19</v>
      </c>
      <c r="AN125" s="506">
        <v>285</v>
      </c>
      <c r="AO125" s="508">
        <v>15</v>
      </c>
      <c r="AP125" s="508"/>
      <c r="AQ125" s="508">
        <f t="shared" si="35"/>
        <v>19</v>
      </c>
      <c r="AR125" s="509">
        <v>0</v>
      </c>
      <c r="AS125" s="509">
        <v>0</v>
      </c>
      <c r="AT125" s="508">
        <v>0</v>
      </c>
      <c r="AU125" s="509">
        <v>0</v>
      </c>
      <c r="AV125" s="509">
        <v>0</v>
      </c>
      <c r="AW125" s="508">
        <v>0</v>
      </c>
      <c r="AX125" s="506">
        <v>0</v>
      </c>
      <c r="AY125" s="506">
        <v>0</v>
      </c>
      <c r="AZ125" s="508">
        <v>0</v>
      </c>
      <c r="BA125" s="508"/>
      <c r="BB125" s="508">
        <f t="shared" si="36"/>
        <v>0</v>
      </c>
      <c r="BC125" s="509">
        <v>0</v>
      </c>
      <c r="BD125" s="509">
        <v>0</v>
      </c>
      <c r="BE125" s="506">
        <v>0</v>
      </c>
      <c r="BF125" s="200"/>
      <c r="BG125" s="200"/>
      <c r="BH125" s="200"/>
      <c r="BI125" s="200"/>
      <c r="BJ125" s="200"/>
      <c r="BK125" s="200"/>
      <c r="BL125" s="200"/>
      <c r="BM125" s="505">
        <f t="shared" si="37"/>
        <v>0</v>
      </c>
      <c r="BN125" s="200">
        <f t="shared" si="38"/>
        <v>0</v>
      </c>
      <c r="BO125" s="200">
        <f t="shared" si="58"/>
        <v>0</v>
      </c>
      <c r="BP125" s="200">
        <f t="shared" si="39"/>
        <v>13260</v>
      </c>
      <c r="BQ125" s="200">
        <f t="shared" si="40"/>
        <v>1560</v>
      </c>
      <c r="BR125" s="200">
        <f t="shared" si="41"/>
        <v>0</v>
      </c>
      <c r="BS125" s="200">
        <f t="shared" si="42"/>
        <v>3315</v>
      </c>
      <c r="BT125" s="200">
        <f t="shared" si="43"/>
        <v>1365</v>
      </c>
      <c r="BU125" s="200">
        <f t="shared" si="44"/>
        <v>3705</v>
      </c>
      <c r="BV125" s="200">
        <v>0</v>
      </c>
      <c r="BW125" s="200">
        <v>0</v>
      </c>
      <c r="BX125" s="200">
        <f t="shared" si="45"/>
        <v>0</v>
      </c>
      <c r="CB125" s="381">
        <f>_xlfn.IFNA(VLOOKUP(A125,'Actuals Summer'!$A:$AG,23,FALSE),0)</f>
        <v>13260</v>
      </c>
      <c r="CC125" s="381">
        <f>_xlfn.IFNA(VLOOKUP(A125,'Actuals Summer'!$A:$AG,24,FALSE),0)</f>
        <v>1560</v>
      </c>
      <c r="CD125" s="381">
        <f>_xlfn.IFNA(VLOOKUP(A125,'Actuals Summer'!$A:$AG,25,FALSE),0)</f>
        <v>0</v>
      </c>
      <c r="CE125" s="381">
        <f>_xlfn.IFNA(VLOOKUP(A125,'Actuals Summer'!$A:$AG,26,FALSE),0)</f>
        <v>0</v>
      </c>
      <c r="CF125" s="381">
        <f>_xlfn.IFNA(VLOOKUP(A125,'Actuals Summer'!$A:$AG,27,FALSE),0)</f>
        <v>0</v>
      </c>
      <c r="CG125" s="381">
        <f>_xlfn.IFNA(VLOOKUP(A125,'Actuals Dep Summer'!B:O,6,FALSE)*$BN$3,0)</f>
        <v>0</v>
      </c>
      <c r="CH125" s="381">
        <f>_xlfn.IFNA(VLOOKUP(A125,'Actuals Dep Summer'!B:O,7,FALSE)*$BN$3,0)</f>
        <v>2730</v>
      </c>
      <c r="CI125" s="381">
        <f>_xlfn.IFNA(VLOOKUP(A125,'Actuals Dep Summer'!B:O,8,FALSE)*$BN$3,0)</f>
        <v>1170</v>
      </c>
      <c r="CJ125" s="381">
        <f>_xlfn.IFNA(VLOOKUP(A125,'Actuals Summer'!$A:$AG,31,FALSE),0)*$BN$3</f>
        <v>0</v>
      </c>
      <c r="CK125" s="381"/>
      <c r="CL125" s="381">
        <f>_xlfn.IFNA(VLOOKUP(A125,'Actuals Summer'!$A:$AG,32,FALSE),0)*$BN$3</f>
        <v>48165</v>
      </c>
      <c r="CM125" s="381">
        <f>_xlfn.IFNA(VLOOKUP(A125,'Actuals Summer'!$A:$AG,33,FALSE),0)</f>
        <v>0</v>
      </c>
      <c r="CP125" s="458">
        <f t="shared" si="46"/>
        <v>0</v>
      </c>
      <c r="CQ125" s="458">
        <f t="shared" si="47"/>
        <v>0</v>
      </c>
      <c r="CR125" s="458">
        <f t="shared" si="59"/>
        <v>0</v>
      </c>
      <c r="CS125" s="458">
        <f t="shared" si="48"/>
        <v>75051.600000000006</v>
      </c>
      <c r="CT125" s="458">
        <f t="shared" si="49"/>
        <v>8829.6</v>
      </c>
      <c r="CU125" s="458">
        <f t="shared" si="50"/>
        <v>0</v>
      </c>
      <c r="CV125" s="458">
        <f t="shared" si="51"/>
        <v>961.34999999999991</v>
      </c>
      <c r="CW125" s="458">
        <f t="shared" si="52"/>
        <v>109.2</v>
      </c>
      <c r="CX125" s="458">
        <f t="shared" si="53"/>
        <v>3705</v>
      </c>
      <c r="CY125" s="458">
        <f t="shared" si="54"/>
        <v>0</v>
      </c>
      <c r="CZ125" s="458">
        <f t="shared" si="55"/>
        <v>0</v>
      </c>
      <c r="DA125" s="458">
        <f t="shared" si="56"/>
        <v>0</v>
      </c>
      <c r="DB125" s="458">
        <f t="shared" si="57"/>
        <v>88656.750000000015</v>
      </c>
      <c r="DC125" s="452">
        <f>_xlfn.XLOOKUP($A125,'Actuals Summer'!$A:$A,'Actuals Summer'!L:L,0,0)</f>
        <v>0</v>
      </c>
      <c r="DD125" s="452">
        <f>_xlfn.XLOOKUP($A125,'Actuals Summer'!$A:$A,'Actuals Summer'!K:K,0,0)+_xlfn.XLOOKUP($A125,'Actuals Summer'!$A:$A,'Actuals Summer'!Q:Q,0,0)</f>
        <v>0</v>
      </c>
      <c r="DE125" s="452">
        <f>_xlfn.XLOOKUP($A125,'Actuals Summer'!$A:$A,'Actuals Summer'!I:I,0,0)+_xlfn.XLOOKUP($A125,'Actuals Summer'!$A:$A,'Actuals Summer'!R:R,0,0)</f>
        <v>75051.600000000006</v>
      </c>
      <c r="DF125" s="452">
        <f>_xlfn.XLOOKUP($A125,'Actuals Summer'!$A:$A,'Actuals Summer'!J:J,0,0)</f>
        <v>8829.6</v>
      </c>
      <c r="DG125" s="452">
        <f>_xlfn.XLOOKUP($A125,'Actuals Dep Summer'!$B:$B,'Actuals Dep Summer'!G:G,0,0)*'Actuals Dep Summer'!$F$2*'Actuals Dep Summer'!$C$2</f>
        <v>0</v>
      </c>
      <c r="DH125" s="452">
        <f>_xlfn.XLOOKUP($A125,'Actuals Dep Summer'!$B:$B,'Actuals Dep Summer'!H:H,0,0)*'Actuals Dep Summer'!$F$2*'Actuals Dep Summer'!$C$3</f>
        <v>791.69999999999993</v>
      </c>
      <c r="DI125" s="452">
        <f>_xlfn.XLOOKUP($A125,'Actuals Dep Summer'!$B:$B,'Actuals Dep Summer'!I:I,0,0)*'Actuals Dep Summer'!$F$2*'Actuals Dep Summer'!$C$4</f>
        <v>93.600000000000009</v>
      </c>
      <c r="DJ125" s="452">
        <f>_xlfn.XLOOKUP($A125,'Actuals Summer'!$A:$A,'Actuals Summer'!P:P,0,0)</f>
        <v>3705</v>
      </c>
      <c r="DK125" s="452">
        <f>_xlfn.XLOOKUP($A125,'Actuals Summer'!$A:$A,'Actuals Summer'!O:O,0,0)</f>
        <v>0</v>
      </c>
      <c r="DL125" s="452"/>
      <c r="DM125" s="452">
        <f>_xlfn.XLOOKUP($A125,'Actuals Summer'!$A:$A,'Actuals Summer'!M:M,0,0)</f>
        <v>0</v>
      </c>
      <c r="DN125" s="453">
        <f t="shared" si="60"/>
        <v>88471.500000000015</v>
      </c>
      <c r="DO125" s="453">
        <f>_xlfn.XLOOKUP(A125,'Actuals Summer'!A:A,'Actuals Summer'!S:S,0,0)-'Summer data team '!DN125</f>
        <v>0</v>
      </c>
      <c r="DP125" s="463">
        <f t="shared" si="61"/>
        <v>185.25</v>
      </c>
    </row>
    <row r="126" spans="1:120" ht="13" x14ac:dyDescent="0.3">
      <c r="A126" s="364">
        <v>2300</v>
      </c>
      <c r="B126" s="364">
        <v>3302300</v>
      </c>
      <c r="C126" s="364" t="s">
        <v>36</v>
      </c>
      <c r="D126" s="506">
        <v>0</v>
      </c>
      <c r="E126" s="506">
        <v>0</v>
      </c>
      <c r="F126" s="506">
        <v>0</v>
      </c>
      <c r="G126" s="506">
        <v>30</v>
      </c>
      <c r="H126" s="506">
        <v>40</v>
      </c>
      <c r="I126" s="507">
        <v>0</v>
      </c>
      <c r="J126" s="507">
        <v>70</v>
      </c>
      <c r="K126" s="506">
        <v>2</v>
      </c>
      <c r="L126" s="506">
        <v>4</v>
      </c>
      <c r="M126" s="507">
        <v>6</v>
      </c>
      <c r="N126" s="506">
        <v>0</v>
      </c>
      <c r="O126" s="506">
        <v>0</v>
      </c>
      <c r="P126" s="506">
        <v>450</v>
      </c>
      <c r="Q126" s="506">
        <v>600</v>
      </c>
      <c r="R126" s="507">
        <v>1050</v>
      </c>
      <c r="S126" s="506">
        <v>0</v>
      </c>
      <c r="T126" s="506">
        <v>0</v>
      </c>
      <c r="U126" s="506">
        <v>30</v>
      </c>
      <c r="V126" s="506">
        <v>60</v>
      </c>
      <c r="W126" s="507">
        <v>90</v>
      </c>
      <c r="X126" s="506">
        <v>6</v>
      </c>
      <c r="Y126" s="506">
        <v>90</v>
      </c>
      <c r="Z126" s="508">
        <v>0</v>
      </c>
      <c r="AA126" s="506">
        <v>25</v>
      </c>
      <c r="AB126" s="506">
        <v>375</v>
      </c>
      <c r="AC126" s="508">
        <v>45</v>
      </c>
      <c r="AD126" s="506">
        <v>36</v>
      </c>
      <c r="AE126" s="506">
        <v>540</v>
      </c>
      <c r="AF126" s="508">
        <v>30</v>
      </c>
      <c r="AG126" s="509">
        <v>0</v>
      </c>
      <c r="AH126" s="509">
        <v>0</v>
      </c>
      <c r="AI126" s="508">
        <v>0</v>
      </c>
      <c r="AJ126" s="509">
        <v>26</v>
      </c>
      <c r="AK126" s="509">
        <v>390</v>
      </c>
      <c r="AL126" s="508">
        <v>0</v>
      </c>
      <c r="AM126" s="506">
        <v>26</v>
      </c>
      <c r="AN126" s="506">
        <v>390</v>
      </c>
      <c r="AO126" s="508">
        <v>0</v>
      </c>
      <c r="AP126" s="508"/>
      <c r="AQ126" s="508">
        <f t="shared" si="35"/>
        <v>26</v>
      </c>
      <c r="AR126" s="509">
        <v>0</v>
      </c>
      <c r="AS126" s="509">
        <v>0</v>
      </c>
      <c r="AT126" s="508">
        <v>0</v>
      </c>
      <c r="AU126" s="509">
        <v>26</v>
      </c>
      <c r="AV126" s="509">
        <v>390</v>
      </c>
      <c r="AW126" s="508">
        <v>0</v>
      </c>
      <c r="AX126" s="506">
        <v>26</v>
      </c>
      <c r="AY126" s="506">
        <v>390</v>
      </c>
      <c r="AZ126" s="508">
        <v>0</v>
      </c>
      <c r="BA126" s="508"/>
      <c r="BB126" s="508">
        <f t="shared" si="36"/>
        <v>52</v>
      </c>
      <c r="BC126" s="509">
        <v>0</v>
      </c>
      <c r="BD126" s="509">
        <v>0</v>
      </c>
      <c r="BE126" s="506">
        <v>0</v>
      </c>
      <c r="BF126" s="200"/>
      <c r="BG126" s="200"/>
      <c r="BH126" s="200"/>
      <c r="BI126" s="200"/>
      <c r="BJ126" s="200"/>
      <c r="BK126" s="200"/>
      <c r="BL126" s="200"/>
      <c r="BM126" s="505">
        <f t="shared" si="37"/>
        <v>0</v>
      </c>
      <c r="BN126" s="200">
        <f t="shared" si="38"/>
        <v>0</v>
      </c>
      <c r="BO126" s="200">
        <f t="shared" si="58"/>
        <v>0</v>
      </c>
      <c r="BP126" s="200">
        <f t="shared" si="39"/>
        <v>13650</v>
      </c>
      <c r="BQ126" s="200">
        <f t="shared" si="40"/>
        <v>1170</v>
      </c>
      <c r="BR126" s="200">
        <f t="shared" si="41"/>
        <v>1170</v>
      </c>
      <c r="BS126" s="200">
        <f t="shared" si="42"/>
        <v>5460</v>
      </c>
      <c r="BT126" s="200">
        <f t="shared" si="43"/>
        <v>7410</v>
      </c>
      <c r="BU126" s="200">
        <f t="shared" si="44"/>
        <v>5070</v>
      </c>
      <c r="BV126" s="200">
        <v>26</v>
      </c>
      <c r="BW126" s="200">
        <v>0</v>
      </c>
      <c r="BX126" s="200">
        <f t="shared" si="45"/>
        <v>0</v>
      </c>
      <c r="CB126" s="381">
        <f>_xlfn.IFNA(VLOOKUP(A126,'Actuals Summer'!$A:$AG,23,FALSE),0)</f>
        <v>13650</v>
      </c>
      <c r="CC126" s="381">
        <f>_xlfn.IFNA(VLOOKUP(A126,'Actuals Summer'!$A:$AG,24,FALSE),0)</f>
        <v>1170</v>
      </c>
      <c r="CD126" s="381">
        <f>_xlfn.IFNA(VLOOKUP(A126,'Actuals Summer'!$A:$AG,25,FALSE),0)</f>
        <v>0</v>
      </c>
      <c r="CE126" s="381">
        <f>_xlfn.IFNA(VLOOKUP(A126,'Actuals Summer'!$A:$AG,26,FALSE),0)</f>
        <v>0</v>
      </c>
      <c r="CF126" s="381">
        <f>_xlfn.IFNA(VLOOKUP(A126,'Actuals Summer'!$A:$AG,27,FALSE),0)</f>
        <v>0</v>
      </c>
      <c r="CG126" s="381">
        <f>_xlfn.IFNA(VLOOKUP(A126,'Actuals Dep Summer'!B:O,6,FALSE)*$BN$3,0)</f>
        <v>1170</v>
      </c>
      <c r="CH126" s="381">
        <f>_xlfn.IFNA(VLOOKUP(A126,'Actuals Dep Summer'!B:O,7,FALSE)*$BN$3,0)</f>
        <v>4875</v>
      </c>
      <c r="CI126" s="381">
        <f>_xlfn.IFNA(VLOOKUP(A126,'Actuals Dep Summer'!B:O,8,FALSE)*$BN$3,0)</f>
        <v>7020</v>
      </c>
      <c r="CJ126" s="381">
        <f>_xlfn.IFNA(VLOOKUP(A126,'Actuals Summer'!$A:$AG,31,FALSE),0)*$BN$3</f>
        <v>337.81404731340547</v>
      </c>
      <c r="CK126" s="381"/>
      <c r="CL126" s="381">
        <f>_xlfn.IFNA(VLOOKUP(A126,'Actuals Summer'!$A:$AG,32,FALSE),0)*$BN$3</f>
        <v>65910</v>
      </c>
      <c r="CM126" s="381">
        <f>_xlfn.IFNA(VLOOKUP(A126,'Actuals Summer'!$A:$AG,33,FALSE),0)</f>
        <v>0</v>
      </c>
      <c r="CP126" s="458">
        <f t="shared" si="46"/>
        <v>0</v>
      </c>
      <c r="CQ126" s="458">
        <f t="shared" si="47"/>
        <v>0</v>
      </c>
      <c r="CR126" s="458">
        <f t="shared" si="59"/>
        <v>0</v>
      </c>
      <c r="CS126" s="458">
        <f t="shared" si="48"/>
        <v>77259</v>
      </c>
      <c r="CT126" s="458">
        <f t="shared" si="49"/>
        <v>6622.2</v>
      </c>
      <c r="CU126" s="458">
        <f t="shared" si="50"/>
        <v>713.69999999999993</v>
      </c>
      <c r="CV126" s="458">
        <f t="shared" si="51"/>
        <v>1583.3999999999999</v>
      </c>
      <c r="CW126" s="458">
        <f t="shared" si="52"/>
        <v>592.80000000000007</v>
      </c>
      <c r="CX126" s="458">
        <f t="shared" si="53"/>
        <v>5070</v>
      </c>
      <c r="CY126" s="458">
        <f t="shared" si="54"/>
        <v>1939.0526315789471</v>
      </c>
      <c r="CZ126" s="458">
        <f t="shared" si="55"/>
        <v>0</v>
      </c>
      <c r="DA126" s="458">
        <f t="shared" si="56"/>
        <v>0</v>
      </c>
      <c r="DB126" s="458">
        <f t="shared" si="57"/>
        <v>93780.152631578938</v>
      </c>
      <c r="DC126" s="452">
        <f>_xlfn.XLOOKUP($A126,'Actuals Summer'!$A:$A,'Actuals Summer'!L:L,0,0)</f>
        <v>0</v>
      </c>
      <c r="DD126" s="452">
        <f>_xlfn.XLOOKUP($A126,'Actuals Summer'!$A:$A,'Actuals Summer'!K:K,0,0)+_xlfn.XLOOKUP($A126,'Actuals Summer'!$A:$A,'Actuals Summer'!Q:Q,0,0)</f>
        <v>0</v>
      </c>
      <c r="DE126" s="452">
        <f>_xlfn.XLOOKUP($A126,'Actuals Summer'!$A:$A,'Actuals Summer'!I:I,0,0)+_xlfn.XLOOKUP($A126,'Actuals Summer'!$A:$A,'Actuals Summer'!R:R,0,0)</f>
        <v>77259</v>
      </c>
      <c r="DF126" s="452">
        <f>_xlfn.XLOOKUP($A126,'Actuals Summer'!$A:$A,'Actuals Summer'!J:J,0,0)</f>
        <v>6622.2</v>
      </c>
      <c r="DG126" s="452">
        <f>_xlfn.XLOOKUP($A126,'Actuals Dep Summer'!$B:$B,'Actuals Dep Summer'!G:G,0,0)*'Actuals Dep Summer'!$F$2*'Actuals Dep Summer'!$C$2</f>
        <v>713.69999999999993</v>
      </c>
      <c r="DH126" s="452">
        <f>_xlfn.XLOOKUP($A126,'Actuals Dep Summer'!$B:$B,'Actuals Dep Summer'!H:H,0,0)*'Actuals Dep Summer'!$F$2*'Actuals Dep Summer'!$C$3</f>
        <v>1413.75</v>
      </c>
      <c r="DI126" s="452">
        <f>_xlfn.XLOOKUP($A126,'Actuals Dep Summer'!$B:$B,'Actuals Dep Summer'!I:I,0,0)*'Actuals Dep Summer'!$F$2*'Actuals Dep Summer'!$C$4</f>
        <v>561.6</v>
      </c>
      <c r="DJ126" s="452">
        <f>_xlfn.XLOOKUP($A126,'Actuals Summer'!$A:$A,'Actuals Summer'!P:P,0,0)</f>
        <v>5070</v>
      </c>
      <c r="DK126" s="452">
        <f>_xlfn.XLOOKUP($A126,'Actuals Summer'!$A:$A,'Actuals Summer'!O:O,0,0)</f>
        <v>1939.0526315789475</v>
      </c>
      <c r="DL126" s="452"/>
      <c r="DM126" s="452">
        <f>_xlfn.XLOOKUP($A126,'Actuals Summer'!$A:$A,'Actuals Summer'!M:M,0,0)</f>
        <v>0</v>
      </c>
      <c r="DN126" s="453">
        <f t="shared" si="60"/>
        <v>93579.302631578947</v>
      </c>
      <c r="DO126" s="453">
        <f>_xlfn.XLOOKUP(A126,'Actuals Summer'!A:A,'Actuals Summer'!S:S,0,0)-'Summer data team '!DN126</f>
        <v>0</v>
      </c>
      <c r="DP126" s="463">
        <f t="shared" si="61"/>
        <v>200.84999999999127</v>
      </c>
    </row>
    <row r="127" spans="1:120" ht="13" x14ac:dyDescent="0.3">
      <c r="A127" s="364">
        <v>2308</v>
      </c>
      <c r="B127" s="364">
        <v>3302308</v>
      </c>
      <c r="C127" s="364" t="s">
        <v>163</v>
      </c>
      <c r="D127" s="506">
        <v>0</v>
      </c>
      <c r="E127" s="506">
        <v>0</v>
      </c>
      <c r="F127" s="506">
        <v>0</v>
      </c>
      <c r="G127" s="506">
        <v>26</v>
      </c>
      <c r="H127" s="506">
        <v>12</v>
      </c>
      <c r="I127" s="507">
        <v>0</v>
      </c>
      <c r="J127" s="507">
        <v>38</v>
      </c>
      <c r="K127" s="506">
        <v>2</v>
      </c>
      <c r="L127" s="506">
        <v>4</v>
      </c>
      <c r="M127" s="507">
        <v>6</v>
      </c>
      <c r="N127" s="506">
        <v>0</v>
      </c>
      <c r="O127" s="506">
        <v>0</v>
      </c>
      <c r="P127" s="506">
        <v>390</v>
      </c>
      <c r="Q127" s="506">
        <v>180</v>
      </c>
      <c r="R127" s="507">
        <v>570</v>
      </c>
      <c r="S127" s="506">
        <v>0</v>
      </c>
      <c r="T127" s="506">
        <v>0</v>
      </c>
      <c r="U127" s="506">
        <v>30</v>
      </c>
      <c r="V127" s="506">
        <v>60</v>
      </c>
      <c r="W127" s="507">
        <v>90</v>
      </c>
      <c r="X127" s="506">
        <v>0</v>
      </c>
      <c r="Y127" s="506">
        <v>0</v>
      </c>
      <c r="Z127" s="508">
        <v>0</v>
      </c>
      <c r="AA127" s="506">
        <v>31</v>
      </c>
      <c r="AB127" s="506">
        <v>465</v>
      </c>
      <c r="AC127" s="508">
        <v>75</v>
      </c>
      <c r="AD127" s="506">
        <v>5</v>
      </c>
      <c r="AE127" s="506">
        <v>75</v>
      </c>
      <c r="AF127" s="508">
        <v>0</v>
      </c>
      <c r="AG127" s="509">
        <v>0</v>
      </c>
      <c r="AH127" s="509">
        <v>0</v>
      </c>
      <c r="AI127" s="508">
        <v>0</v>
      </c>
      <c r="AJ127" s="509">
        <v>11</v>
      </c>
      <c r="AK127" s="509">
        <v>165</v>
      </c>
      <c r="AL127" s="508">
        <v>0</v>
      </c>
      <c r="AM127" s="506">
        <v>11</v>
      </c>
      <c r="AN127" s="506">
        <v>165</v>
      </c>
      <c r="AO127" s="508">
        <v>0</v>
      </c>
      <c r="AP127" s="508"/>
      <c r="AQ127" s="508">
        <f t="shared" si="35"/>
        <v>11</v>
      </c>
      <c r="AR127" s="509">
        <v>0</v>
      </c>
      <c r="AS127" s="509">
        <v>0</v>
      </c>
      <c r="AT127" s="508">
        <v>0</v>
      </c>
      <c r="AU127" s="509">
        <v>0</v>
      </c>
      <c r="AV127" s="509">
        <v>0</v>
      </c>
      <c r="AW127" s="508">
        <v>0</v>
      </c>
      <c r="AX127" s="506">
        <v>0</v>
      </c>
      <c r="AY127" s="506">
        <v>0</v>
      </c>
      <c r="AZ127" s="508">
        <v>0</v>
      </c>
      <c r="BA127" s="508"/>
      <c r="BB127" s="508">
        <f t="shared" si="36"/>
        <v>0</v>
      </c>
      <c r="BC127" s="509">
        <v>0</v>
      </c>
      <c r="BD127" s="509">
        <v>0</v>
      </c>
      <c r="BE127" s="506">
        <v>0</v>
      </c>
      <c r="BF127" s="200"/>
      <c r="BG127" s="200"/>
      <c r="BH127" s="200"/>
      <c r="BI127" s="200"/>
      <c r="BJ127" s="200"/>
      <c r="BK127" s="200"/>
      <c r="BL127" s="200"/>
      <c r="BM127" s="505">
        <f t="shared" si="37"/>
        <v>0</v>
      </c>
      <c r="BN127" s="200">
        <f t="shared" si="38"/>
        <v>0</v>
      </c>
      <c r="BO127" s="200">
        <f t="shared" si="58"/>
        <v>0</v>
      </c>
      <c r="BP127" s="200">
        <f t="shared" si="39"/>
        <v>7410</v>
      </c>
      <c r="BQ127" s="200">
        <f t="shared" si="40"/>
        <v>1170</v>
      </c>
      <c r="BR127" s="200">
        <f t="shared" si="41"/>
        <v>0</v>
      </c>
      <c r="BS127" s="200">
        <f t="shared" si="42"/>
        <v>7020</v>
      </c>
      <c r="BT127" s="200">
        <f t="shared" si="43"/>
        <v>975</v>
      </c>
      <c r="BU127" s="200">
        <f t="shared" si="44"/>
        <v>2145</v>
      </c>
      <c r="BV127" s="200">
        <v>0</v>
      </c>
      <c r="BW127" s="200">
        <v>0</v>
      </c>
      <c r="BX127" s="200">
        <f t="shared" si="45"/>
        <v>0</v>
      </c>
      <c r="CB127" s="381">
        <f>_xlfn.IFNA(VLOOKUP(A127,'Actuals Summer'!$A:$AG,23,FALSE),0)</f>
        <v>7410</v>
      </c>
      <c r="CC127" s="381">
        <f>_xlfn.IFNA(VLOOKUP(A127,'Actuals Summer'!$A:$AG,24,FALSE),0)</f>
        <v>1170</v>
      </c>
      <c r="CD127" s="381">
        <f>_xlfn.IFNA(VLOOKUP(A127,'Actuals Summer'!$A:$AG,25,FALSE),0)</f>
        <v>0</v>
      </c>
      <c r="CE127" s="381">
        <f>_xlfn.IFNA(VLOOKUP(A127,'Actuals Summer'!$A:$AG,26,FALSE),0)</f>
        <v>0</v>
      </c>
      <c r="CF127" s="381">
        <f>_xlfn.IFNA(VLOOKUP(A127,'Actuals Summer'!$A:$AG,27,FALSE),0)</f>
        <v>0</v>
      </c>
      <c r="CG127" s="381">
        <f>_xlfn.IFNA(VLOOKUP(A127,'Actuals Dep Summer'!B:O,6,FALSE)*$BN$3,0)</f>
        <v>0</v>
      </c>
      <c r="CH127" s="381">
        <f>_xlfn.IFNA(VLOOKUP(A127,'Actuals Dep Summer'!B:O,7,FALSE)*$BN$3,0)</f>
        <v>6045</v>
      </c>
      <c r="CI127" s="381">
        <f>_xlfn.IFNA(VLOOKUP(A127,'Actuals Dep Summer'!B:O,8,FALSE)*$BN$3,0)</f>
        <v>975</v>
      </c>
      <c r="CJ127" s="381">
        <f>_xlfn.IFNA(VLOOKUP(A127,'Actuals Summer'!$A:$AG,31,FALSE),0)*$BN$3</f>
        <v>0</v>
      </c>
      <c r="CK127" s="381"/>
      <c r="CL127" s="381">
        <f>_xlfn.IFNA(VLOOKUP(A127,'Actuals Summer'!$A:$AG,32,FALSE),0)*$BN$3</f>
        <v>27885</v>
      </c>
      <c r="CM127" s="381">
        <f>_xlfn.IFNA(VLOOKUP(A127,'Actuals Summer'!$A:$AG,33,FALSE),0)</f>
        <v>0</v>
      </c>
      <c r="CP127" s="458">
        <f t="shared" si="46"/>
        <v>0</v>
      </c>
      <c r="CQ127" s="458">
        <f t="shared" si="47"/>
        <v>0</v>
      </c>
      <c r="CR127" s="458">
        <f t="shared" si="59"/>
        <v>0</v>
      </c>
      <c r="CS127" s="458">
        <f t="shared" si="48"/>
        <v>41940.6</v>
      </c>
      <c r="CT127" s="458">
        <f t="shared" si="49"/>
        <v>6622.2</v>
      </c>
      <c r="CU127" s="458">
        <f t="shared" si="50"/>
        <v>0</v>
      </c>
      <c r="CV127" s="458">
        <f t="shared" si="51"/>
        <v>2035.8</v>
      </c>
      <c r="CW127" s="458">
        <f t="shared" si="52"/>
        <v>78</v>
      </c>
      <c r="CX127" s="458">
        <f t="shared" si="53"/>
        <v>2145</v>
      </c>
      <c r="CY127" s="458">
        <f t="shared" si="54"/>
        <v>0</v>
      </c>
      <c r="CZ127" s="458">
        <f t="shared" si="55"/>
        <v>0</v>
      </c>
      <c r="DA127" s="458">
        <f t="shared" si="56"/>
        <v>0</v>
      </c>
      <c r="DB127" s="458">
        <f t="shared" si="57"/>
        <v>52821.599999999999</v>
      </c>
      <c r="DC127" s="452">
        <f>_xlfn.XLOOKUP($A127,'Actuals Summer'!$A:$A,'Actuals Summer'!L:L,0,0)</f>
        <v>0</v>
      </c>
      <c r="DD127" s="452">
        <f>_xlfn.XLOOKUP($A127,'Actuals Summer'!$A:$A,'Actuals Summer'!K:K,0,0)+_xlfn.XLOOKUP($A127,'Actuals Summer'!$A:$A,'Actuals Summer'!Q:Q,0,0)</f>
        <v>0</v>
      </c>
      <c r="DE127" s="452">
        <f>_xlfn.XLOOKUP($A127,'Actuals Summer'!$A:$A,'Actuals Summer'!I:I,0,0)+_xlfn.XLOOKUP($A127,'Actuals Summer'!$A:$A,'Actuals Summer'!R:R,0,0)</f>
        <v>41940.6</v>
      </c>
      <c r="DF127" s="452">
        <f>_xlfn.XLOOKUP($A127,'Actuals Summer'!$A:$A,'Actuals Summer'!J:J,0,0)</f>
        <v>6622.2</v>
      </c>
      <c r="DG127" s="452">
        <f>_xlfn.XLOOKUP($A127,'Actuals Dep Summer'!$B:$B,'Actuals Dep Summer'!G:G,0,0)*'Actuals Dep Summer'!$F$2*'Actuals Dep Summer'!$C$2</f>
        <v>0</v>
      </c>
      <c r="DH127" s="452">
        <f>_xlfn.XLOOKUP($A127,'Actuals Dep Summer'!$B:$B,'Actuals Dep Summer'!H:H,0,0)*'Actuals Dep Summer'!$F$2*'Actuals Dep Summer'!$C$3</f>
        <v>1753.05</v>
      </c>
      <c r="DI127" s="452">
        <f>_xlfn.XLOOKUP($A127,'Actuals Dep Summer'!$B:$B,'Actuals Dep Summer'!I:I,0,0)*'Actuals Dep Summer'!$F$2*'Actuals Dep Summer'!$C$4</f>
        <v>78</v>
      </c>
      <c r="DJ127" s="452">
        <f>_xlfn.XLOOKUP($A127,'Actuals Summer'!$A:$A,'Actuals Summer'!P:P,0,0)</f>
        <v>2145</v>
      </c>
      <c r="DK127" s="452">
        <f>_xlfn.XLOOKUP($A127,'Actuals Summer'!$A:$A,'Actuals Summer'!O:O,0,0)</f>
        <v>0</v>
      </c>
      <c r="DL127" s="452"/>
      <c r="DM127" s="452">
        <f>_xlfn.XLOOKUP($A127,'Actuals Summer'!$A:$A,'Actuals Summer'!M:M,0,0)</f>
        <v>0</v>
      </c>
      <c r="DN127" s="453">
        <f t="shared" si="60"/>
        <v>52538.85</v>
      </c>
      <c r="DO127" s="453">
        <f>_xlfn.XLOOKUP(A127,'Actuals Summer'!A:A,'Actuals Summer'!S:S,0,0)-'Summer data team '!DN127</f>
        <v>0</v>
      </c>
      <c r="DP127" s="463">
        <f t="shared" si="61"/>
        <v>282.75</v>
      </c>
    </row>
    <row r="128" spans="1:120" ht="13" x14ac:dyDescent="0.3">
      <c r="A128" s="364">
        <v>2309</v>
      </c>
      <c r="B128" s="364">
        <v>3302309</v>
      </c>
      <c r="C128" s="364" t="s">
        <v>327</v>
      </c>
      <c r="D128" s="506">
        <v>0</v>
      </c>
      <c r="E128" s="506">
        <v>0</v>
      </c>
      <c r="F128" s="506">
        <v>0</v>
      </c>
      <c r="G128" s="506">
        <v>18</v>
      </c>
      <c r="H128" s="506">
        <v>24</v>
      </c>
      <c r="I128" s="507">
        <v>0</v>
      </c>
      <c r="J128" s="507">
        <v>42</v>
      </c>
      <c r="K128" s="506">
        <v>4</v>
      </c>
      <c r="L128" s="506">
        <v>3</v>
      </c>
      <c r="M128" s="507">
        <v>7</v>
      </c>
      <c r="N128" s="506">
        <v>0</v>
      </c>
      <c r="O128" s="506">
        <v>0</v>
      </c>
      <c r="P128" s="506">
        <v>270</v>
      </c>
      <c r="Q128" s="506">
        <v>360</v>
      </c>
      <c r="R128" s="507">
        <v>630</v>
      </c>
      <c r="S128" s="506">
        <v>0</v>
      </c>
      <c r="T128" s="506">
        <v>0</v>
      </c>
      <c r="U128" s="506">
        <v>60</v>
      </c>
      <c r="V128" s="506">
        <v>45</v>
      </c>
      <c r="W128" s="507">
        <v>105</v>
      </c>
      <c r="X128" s="506">
        <v>1</v>
      </c>
      <c r="Y128" s="506">
        <v>15</v>
      </c>
      <c r="Z128" s="508">
        <v>15</v>
      </c>
      <c r="AA128" s="506">
        <v>17</v>
      </c>
      <c r="AB128" s="506">
        <v>255</v>
      </c>
      <c r="AC128" s="508">
        <v>30</v>
      </c>
      <c r="AD128" s="506">
        <v>24</v>
      </c>
      <c r="AE128" s="506">
        <v>360</v>
      </c>
      <c r="AF128" s="508">
        <v>60</v>
      </c>
      <c r="AG128" s="509">
        <v>0</v>
      </c>
      <c r="AH128" s="509">
        <v>0</v>
      </c>
      <c r="AI128" s="508">
        <v>0</v>
      </c>
      <c r="AJ128" s="509">
        <v>15</v>
      </c>
      <c r="AK128" s="509">
        <v>225</v>
      </c>
      <c r="AL128" s="508">
        <v>0</v>
      </c>
      <c r="AM128" s="506">
        <v>15</v>
      </c>
      <c r="AN128" s="506">
        <v>225</v>
      </c>
      <c r="AO128" s="508">
        <v>0</v>
      </c>
      <c r="AP128" s="508"/>
      <c r="AQ128" s="508">
        <f t="shared" si="35"/>
        <v>15</v>
      </c>
      <c r="AR128" s="509">
        <v>0</v>
      </c>
      <c r="AS128" s="509">
        <v>0</v>
      </c>
      <c r="AT128" s="508">
        <v>0</v>
      </c>
      <c r="AU128" s="509">
        <v>15</v>
      </c>
      <c r="AV128" s="509">
        <v>225</v>
      </c>
      <c r="AW128" s="508">
        <v>0</v>
      </c>
      <c r="AX128" s="506">
        <v>15</v>
      </c>
      <c r="AY128" s="506">
        <v>225</v>
      </c>
      <c r="AZ128" s="508">
        <v>0</v>
      </c>
      <c r="BA128" s="508"/>
      <c r="BB128" s="508">
        <f t="shared" si="36"/>
        <v>30</v>
      </c>
      <c r="BC128" s="509">
        <v>0</v>
      </c>
      <c r="BD128" s="509">
        <v>0</v>
      </c>
      <c r="BE128" s="506">
        <v>0</v>
      </c>
      <c r="BF128" s="200"/>
      <c r="BG128" s="200"/>
      <c r="BH128" s="200"/>
      <c r="BI128" s="200"/>
      <c r="BJ128" s="200"/>
      <c r="BK128" s="200"/>
      <c r="BL128" s="200"/>
      <c r="BM128" s="505">
        <f t="shared" si="37"/>
        <v>0</v>
      </c>
      <c r="BN128" s="200">
        <f t="shared" si="38"/>
        <v>0</v>
      </c>
      <c r="BO128" s="200">
        <f t="shared" si="58"/>
        <v>0</v>
      </c>
      <c r="BP128" s="200">
        <f t="shared" si="39"/>
        <v>8190</v>
      </c>
      <c r="BQ128" s="200">
        <f t="shared" si="40"/>
        <v>1365</v>
      </c>
      <c r="BR128" s="200">
        <f t="shared" si="41"/>
        <v>390</v>
      </c>
      <c r="BS128" s="200">
        <f t="shared" si="42"/>
        <v>3705</v>
      </c>
      <c r="BT128" s="200">
        <f t="shared" si="43"/>
        <v>5460</v>
      </c>
      <c r="BU128" s="200">
        <f t="shared" si="44"/>
        <v>2925</v>
      </c>
      <c r="BV128" s="200">
        <v>15</v>
      </c>
      <c r="BW128" s="200">
        <v>0</v>
      </c>
      <c r="BX128" s="200">
        <f t="shared" si="45"/>
        <v>0</v>
      </c>
      <c r="CB128" s="381">
        <f>_xlfn.IFNA(VLOOKUP(A128,'Actuals Summer'!$A:$AG,23,FALSE),0)</f>
        <v>8190</v>
      </c>
      <c r="CC128" s="381">
        <f>_xlfn.IFNA(VLOOKUP(A128,'Actuals Summer'!$A:$AG,24,FALSE),0)</f>
        <v>1365</v>
      </c>
      <c r="CD128" s="381">
        <f>_xlfn.IFNA(VLOOKUP(A128,'Actuals Summer'!$A:$AG,25,FALSE),0)</f>
        <v>0</v>
      </c>
      <c r="CE128" s="381">
        <f>_xlfn.IFNA(VLOOKUP(A128,'Actuals Summer'!$A:$AG,26,FALSE),0)</f>
        <v>0</v>
      </c>
      <c r="CF128" s="381">
        <f>_xlfn.IFNA(VLOOKUP(A128,'Actuals Summer'!$A:$AG,27,FALSE),0)</f>
        <v>0</v>
      </c>
      <c r="CG128" s="381">
        <f>_xlfn.IFNA(VLOOKUP(A128,'Actuals Dep Summer'!B:O,6,FALSE)*$BN$3,0)</f>
        <v>195</v>
      </c>
      <c r="CH128" s="381">
        <f>_xlfn.IFNA(VLOOKUP(A128,'Actuals Dep Summer'!B:O,7,FALSE)*$BN$3,0)</f>
        <v>3315</v>
      </c>
      <c r="CI128" s="381">
        <f>_xlfn.IFNA(VLOOKUP(A128,'Actuals Dep Summer'!B:O,8,FALSE)*$BN$3,0)</f>
        <v>4680</v>
      </c>
      <c r="CJ128" s="381">
        <f>_xlfn.IFNA(VLOOKUP(A128,'Actuals Summer'!$A:$AG,31,FALSE),0)*$BN$3</f>
        <v>194.89271960388777</v>
      </c>
      <c r="CK128" s="381"/>
      <c r="CL128" s="381">
        <f>_xlfn.IFNA(VLOOKUP(A128,'Actuals Summer'!$A:$AG,32,FALSE),0)*$BN$3</f>
        <v>38025</v>
      </c>
      <c r="CM128" s="381">
        <f>_xlfn.IFNA(VLOOKUP(A128,'Actuals Summer'!$A:$AG,33,FALSE),0)</f>
        <v>0</v>
      </c>
      <c r="CP128" s="458">
        <f t="shared" si="46"/>
        <v>0</v>
      </c>
      <c r="CQ128" s="458">
        <f t="shared" si="47"/>
        <v>0</v>
      </c>
      <c r="CR128" s="458">
        <f t="shared" si="59"/>
        <v>0</v>
      </c>
      <c r="CS128" s="458">
        <f t="shared" si="48"/>
        <v>46355.4</v>
      </c>
      <c r="CT128" s="458">
        <f t="shared" si="49"/>
        <v>7725.9000000000005</v>
      </c>
      <c r="CU128" s="458">
        <f t="shared" si="50"/>
        <v>237.9</v>
      </c>
      <c r="CV128" s="458">
        <f t="shared" si="51"/>
        <v>1074.4499999999998</v>
      </c>
      <c r="CW128" s="458">
        <f t="shared" si="52"/>
        <v>436.8</v>
      </c>
      <c r="CX128" s="458">
        <f t="shared" si="53"/>
        <v>2925</v>
      </c>
      <c r="CY128" s="458">
        <f t="shared" si="54"/>
        <v>1118.6842105263158</v>
      </c>
      <c r="CZ128" s="458">
        <f t="shared" si="55"/>
        <v>0</v>
      </c>
      <c r="DA128" s="458">
        <f t="shared" si="56"/>
        <v>0</v>
      </c>
      <c r="DB128" s="458">
        <f t="shared" si="57"/>
        <v>59874.134210526317</v>
      </c>
      <c r="DC128" s="452">
        <f>_xlfn.XLOOKUP($A128,'Actuals Summer'!$A:$A,'Actuals Summer'!L:L,0,0)</f>
        <v>0</v>
      </c>
      <c r="DD128" s="452">
        <f>_xlfn.XLOOKUP($A128,'Actuals Summer'!$A:$A,'Actuals Summer'!K:K,0,0)+_xlfn.XLOOKUP($A128,'Actuals Summer'!$A:$A,'Actuals Summer'!Q:Q,0,0)</f>
        <v>0</v>
      </c>
      <c r="DE128" s="452">
        <f>_xlfn.XLOOKUP($A128,'Actuals Summer'!$A:$A,'Actuals Summer'!I:I,0,0)+_xlfn.XLOOKUP($A128,'Actuals Summer'!$A:$A,'Actuals Summer'!R:R,0,0)</f>
        <v>46355.4</v>
      </c>
      <c r="DF128" s="452">
        <f>_xlfn.XLOOKUP($A128,'Actuals Summer'!$A:$A,'Actuals Summer'!J:J,0,0)</f>
        <v>7725.9000000000005</v>
      </c>
      <c r="DG128" s="452">
        <f>_xlfn.XLOOKUP($A128,'Actuals Dep Summer'!$B:$B,'Actuals Dep Summer'!G:G,0,0)*'Actuals Dep Summer'!$F$2*'Actuals Dep Summer'!$C$2</f>
        <v>118.95</v>
      </c>
      <c r="DH128" s="452">
        <f>_xlfn.XLOOKUP($A128,'Actuals Dep Summer'!$B:$B,'Actuals Dep Summer'!H:H,0,0)*'Actuals Dep Summer'!$F$2*'Actuals Dep Summer'!$C$3</f>
        <v>961.34999999999991</v>
      </c>
      <c r="DI128" s="452">
        <f>_xlfn.XLOOKUP($A128,'Actuals Dep Summer'!$B:$B,'Actuals Dep Summer'!I:I,0,0)*'Actuals Dep Summer'!$F$2*'Actuals Dep Summer'!$C$4</f>
        <v>374.40000000000003</v>
      </c>
      <c r="DJ128" s="452">
        <f>_xlfn.XLOOKUP($A128,'Actuals Summer'!$A:$A,'Actuals Summer'!P:P,0,0)</f>
        <v>2925</v>
      </c>
      <c r="DK128" s="452">
        <f>_xlfn.XLOOKUP($A128,'Actuals Summer'!$A:$A,'Actuals Summer'!O:O,0,0)</f>
        <v>1118.6842105263158</v>
      </c>
      <c r="DL128" s="452"/>
      <c r="DM128" s="452">
        <f>_xlfn.XLOOKUP($A128,'Actuals Summer'!$A:$A,'Actuals Summer'!M:M,0,0)</f>
        <v>0</v>
      </c>
      <c r="DN128" s="453">
        <f t="shared" si="60"/>
        <v>59579.684210526313</v>
      </c>
      <c r="DO128" s="453">
        <f>_xlfn.XLOOKUP(A128,'Actuals Summer'!A:A,'Actuals Summer'!S:S,0,0)-'Summer data team '!DN128</f>
        <v>0</v>
      </c>
      <c r="DP128" s="463">
        <f t="shared" si="61"/>
        <v>294.45000000000437</v>
      </c>
    </row>
    <row r="129" spans="1:120" ht="13" x14ac:dyDescent="0.3">
      <c r="A129" s="364">
        <v>2317</v>
      </c>
      <c r="B129" s="364">
        <v>3302317</v>
      </c>
      <c r="C129" s="364" t="s">
        <v>328</v>
      </c>
      <c r="D129" s="506">
        <v>0</v>
      </c>
      <c r="E129" s="506">
        <v>0</v>
      </c>
      <c r="F129" s="506">
        <v>0</v>
      </c>
      <c r="G129" s="506">
        <v>33</v>
      </c>
      <c r="H129" s="506">
        <v>25</v>
      </c>
      <c r="I129" s="507">
        <v>0</v>
      </c>
      <c r="J129" s="507">
        <v>58</v>
      </c>
      <c r="K129" s="506">
        <v>18</v>
      </c>
      <c r="L129" s="506">
        <v>7</v>
      </c>
      <c r="M129" s="507">
        <v>25</v>
      </c>
      <c r="N129" s="506">
        <v>0</v>
      </c>
      <c r="O129" s="506">
        <v>0</v>
      </c>
      <c r="P129" s="506">
        <v>495</v>
      </c>
      <c r="Q129" s="506">
        <v>375</v>
      </c>
      <c r="R129" s="507">
        <v>870</v>
      </c>
      <c r="S129" s="506">
        <v>0</v>
      </c>
      <c r="T129" s="506">
        <v>0</v>
      </c>
      <c r="U129" s="506">
        <v>270</v>
      </c>
      <c r="V129" s="506">
        <v>105</v>
      </c>
      <c r="W129" s="507">
        <v>375</v>
      </c>
      <c r="X129" s="506">
        <v>10</v>
      </c>
      <c r="Y129" s="506">
        <v>150</v>
      </c>
      <c r="Z129" s="508">
        <v>45</v>
      </c>
      <c r="AA129" s="506">
        <v>10</v>
      </c>
      <c r="AB129" s="506">
        <v>150</v>
      </c>
      <c r="AC129" s="508">
        <v>45</v>
      </c>
      <c r="AD129" s="506">
        <v>24</v>
      </c>
      <c r="AE129" s="506">
        <v>360</v>
      </c>
      <c r="AF129" s="508">
        <v>120</v>
      </c>
      <c r="AG129" s="509">
        <v>0</v>
      </c>
      <c r="AH129" s="509">
        <v>0</v>
      </c>
      <c r="AI129" s="508">
        <v>0</v>
      </c>
      <c r="AJ129" s="509">
        <v>12</v>
      </c>
      <c r="AK129" s="509">
        <v>180</v>
      </c>
      <c r="AL129" s="508">
        <v>15</v>
      </c>
      <c r="AM129" s="506">
        <v>12</v>
      </c>
      <c r="AN129" s="506">
        <v>180</v>
      </c>
      <c r="AO129" s="508">
        <v>15</v>
      </c>
      <c r="AP129" s="508"/>
      <c r="AQ129" s="508">
        <f t="shared" si="35"/>
        <v>12</v>
      </c>
      <c r="AR129" s="509">
        <v>0</v>
      </c>
      <c r="AS129" s="509">
        <v>0</v>
      </c>
      <c r="AT129" s="508">
        <v>0</v>
      </c>
      <c r="AU129" s="509">
        <v>12</v>
      </c>
      <c r="AV129" s="509">
        <v>180</v>
      </c>
      <c r="AW129" s="508">
        <v>15</v>
      </c>
      <c r="AX129" s="506">
        <v>12</v>
      </c>
      <c r="AY129" s="506">
        <v>180</v>
      </c>
      <c r="AZ129" s="508">
        <v>15</v>
      </c>
      <c r="BA129" s="508"/>
      <c r="BB129" s="508">
        <f t="shared" si="36"/>
        <v>24</v>
      </c>
      <c r="BC129" s="509">
        <v>0</v>
      </c>
      <c r="BD129" s="509">
        <v>0</v>
      </c>
      <c r="BE129" s="506">
        <v>0</v>
      </c>
      <c r="BF129" s="200"/>
      <c r="BG129" s="200"/>
      <c r="BH129" s="200"/>
      <c r="BI129" s="200"/>
      <c r="BJ129" s="200"/>
      <c r="BK129" s="200"/>
      <c r="BL129" s="200"/>
      <c r="BM129" s="505">
        <f t="shared" si="37"/>
        <v>0</v>
      </c>
      <c r="BN129" s="200">
        <f t="shared" si="38"/>
        <v>0</v>
      </c>
      <c r="BO129" s="200">
        <f t="shared" si="58"/>
        <v>0</v>
      </c>
      <c r="BP129" s="200">
        <f t="shared" si="39"/>
        <v>11310</v>
      </c>
      <c r="BQ129" s="200">
        <f t="shared" si="40"/>
        <v>4875</v>
      </c>
      <c r="BR129" s="200">
        <f t="shared" si="41"/>
        <v>2535</v>
      </c>
      <c r="BS129" s="200">
        <f t="shared" si="42"/>
        <v>2535</v>
      </c>
      <c r="BT129" s="200">
        <f t="shared" si="43"/>
        <v>6240</v>
      </c>
      <c r="BU129" s="200">
        <f t="shared" si="44"/>
        <v>2340</v>
      </c>
      <c r="BV129" s="200">
        <v>11</v>
      </c>
      <c r="BW129" s="200">
        <v>1</v>
      </c>
      <c r="BX129" s="200">
        <f t="shared" si="45"/>
        <v>0</v>
      </c>
      <c r="CB129" s="381">
        <f>_xlfn.IFNA(VLOOKUP(A129,'Actuals Summer'!$A:$AG,23,FALSE),0)</f>
        <v>11310</v>
      </c>
      <c r="CC129" s="381">
        <f>_xlfn.IFNA(VLOOKUP(A129,'Actuals Summer'!$A:$AG,24,FALSE),0)</f>
        <v>4875</v>
      </c>
      <c r="CD129" s="381">
        <f>_xlfn.IFNA(VLOOKUP(A129,'Actuals Summer'!$A:$AG,25,FALSE),0)</f>
        <v>0</v>
      </c>
      <c r="CE129" s="381">
        <f>_xlfn.IFNA(VLOOKUP(A129,'Actuals Summer'!$A:$AG,26,FALSE),0)</f>
        <v>0</v>
      </c>
      <c r="CF129" s="381">
        <f>_xlfn.IFNA(VLOOKUP(A129,'Actuals Summer'!$A:$AG,27,FALSE),0)</f>
        <v>0</v>
      </c>
      <c r="CG129" s="381">
        <f>_xlfn.IFNA(VLOOKUP(A129,'Actuals Dep Summer'!B:O,6,FALSE)*$BN$3,0)</f>
        <v>1950</v>
      </c>
      <c r="CH129" s="381">
        <f>_xlfn.IFNA(VLOOKUP(A129,'Actuals Dep Summer'!B:O,7,FALSE)*$BN$3,0)</f>
        <v>1950</v>
      </c>
      <c r="CI129" s="381">
        <f>_xlfn.IFNA(VLOOKUP(A129,'Actuals Dep Summer'!B:O,8,FALSE)*$BN$3,0)</f>
        <v>4680</v>
      </c>
      <c r="CJ129" s="381">
        <f>_xlfn.IFNA(VLOOKUP(A129,'Actuals Summer'!$A:$AG,31,FALSE),0)*$BN$3</f>
        <v>155.91417568311024</v>
      </c>
      <c r="CK129" s="381"/>
      <c r="CL129" s="381">
        <f>_xlfn.IFNA(VLOOKUP(A129,'Actuals Summer'!$A:$AG,32,FALSE),0)*$BN$3</f>
        <v>30420</v>
      </c>
      <c r="CM129" s="381">
        <f>_xlfn.IFNA(VLOOKUP(A129,'Actuals Summer'!$A:$AG,33,FALSE),0)</f>
        <v>0</v>
      </c>
      <c r="CP129" s="458">
        <f t="shared" si="46"/>
        <v>0</v>
      </c>
      <c r="CQ129" s="458">
        <f t="shared" si="47"/>
        <v>0</v>
      </c>
      <c r="CR129" s="458">
        <f t="shared" si="59"/>
        <v>0</v>
      </c>
      <c r="CS129" s="458">
        <f t="shared" si="48"/>
        <v>64014.6</v>
      </c>
      <c r="CT129" s="458">
        <f t="shared" si="49"/>
        <v>27592.5</v>
      </c>
      <c r="CU129" s="458">
        <f t="shared" si="50"/>
        <v>1546.35</v>
      </c>
      <c r="CV129" s="458">
        <f t="shared" si="51"/>
        <v>735.15</v>
      </c>
      <c r="CW129" s="458">
        <f t="shared" si="52"/>
        <v>499.2</v>
      </c>
      <c r="CX129" s="458">
        <f t="shared" si="53"/>
        <v>2340</v>
      </c>
      <c r="CY129" s="458">
        <f t="shared" si="54"/>
        <v>820.36842105263156</v>
      </c>
      <c r="CZ129" s="458">
        <f t="shared" si="55"/>
        <v>186.44736842105263</v>
      </c>
      <c r="DA129" s="458">
        <f t="shared" si="56"/>
        <v>0</v>
      </c>
      <c r="DB129" s="458">
        <f t="shared" si="57"/>
        <v>97734.615789473683</v>
      </c>
      <c r="DC129" s="452">
        <f>_xlfn.XLOOKUP($A129,'Actuals Summer'!$A:$A,'Actuals Summer'!L:L,0,0)</f>
        <v>0</v>
      </c>
      <c r="DD129" s="452">
        <f>_xlfn.XLOOKUP($A129,'Actuals Summer'!$A:$A,'Actuals Summer'!K:K,0,0)+_xlfn.XLOOKUP($A129,'Actuals Summer'!$A:$A,'Actuals Summer'!Q:Q,0,0)</f>
        <v>0</v>
      </c>
      <c r="DE129" s="452">
        <f>_xlfn.XLOOKUP($A129,'Actuals Summer'!$A:$A,'Actuals Summer'!I:I,0,0)+_xlfn.XLOOKUP($A129,'Actuals Summer'!$A:$A,'Actuals Summer'!R:R,0,0)</f>
        <v>64014.6</v>
      </c>
      <c r="DF129" s="452">
        <f>_xlfn.XLOOKUP($A129,'Actuals Summer'!$A:$A,'Actuals Summer'!J:J,0,0)</f>
        <v>27592.5</v>
      </c>
      <c r="DG129" s="452">
        <f>_xlfn.XLOOKUP($A129,'Actuals Dep Summer'!$B:$B,'Actuals Dep Summer'!G:G,0,0)*'Actuals Dep Summer'!$F$2*'Actuals Dep Summer'!$C$2</f>
        <v>1189.5</v>
      </c>
      <c r="DH129" s="452">
        <f>_xlfn.XLOOKUP($A129,'Actuals Dep Summer'!$B:$B,'Actuals Dep Summer'!H:H,0,0)*'Actuals Dep Summer'!$F$2*'Actuals Dep Summer'!$C$3</f>
        <v>565.5</v>
      </c>
      <c r="DI129" s="452">
        <f>_xlfn.XLOOKUP($A129,'Actuals Dep Summer'!$B:$B,'Actuals Dep Summer'!I:I,0,0)*'Actuals Dep Summer'!$F$2*'Actuals Dep Summer'!$C$4</f>
        <v>374.40000000000003</v>
      </c>
      <c r="DJ129" s="452">
        <f>_xlfn.XLOOKUP($A129,'Actuals Summer'!$A:$A,'Actuals Summer'!P:P,0,0)</f>
        <v>2340</v>
      </c>
      <c r="DK129" s="452">
        <f>_xlfn.XLOOKUP($A129,'Actuals Summer'!$A:$A,'Actuals Summer'!O:O,0,0)</f>
        <v>894.94736842105272</v>
      </c>
      <c r="DL129" s="452"/>
      <c r="DM129" s="452">
        <f>_xlfn.XLOOKUP($A129,'Actuals Summer'!$A:$A,'Actuals Summer'!M:M,0,0)</f>
        <v>0</v>
      </c>
      <c r="DN129" s="453">
        <f t="shared" si="60"/>
        <v>96971.447368421053</v>
      </c>
      <c r="DO129" s="453">
        <f>_xlfn.XLOOKUP(A129,'Actuals Summer'!A:A,'Actuals Summer'!S:S,0,0)-'Summer data team '!DN129</f>
        <v>0</v>
      </c>
      <c r="DP129" s="463">
        <f t="shared" si="61"/>
        <v>763.16842105262913</v>
      </c>
    </row>
    <row r="130" spans="1:120" ht="13" x14ac:dyDescent="0.3">
      <c r="A130" s="364">
        <v>2402</v>
      </c>
      <c r="B130" s="364">
        <v>3302402</v>
      </c>
      <c r="C130" s="364" t="s">
        <v>42</v>
      </c>
      <c r="D130" s="506">
        <v>0</v>
      </c>
      <c r="E130" s="506">
        <v>0</v>
      </c>
      <c r="F130" s="506">
        <v>0</v>
      </c>
      <c r="G130" s="506">
        <v>17</v>
      </c>
      <c r="H130" s="506">
        <v>16</v>
      </c>
      <c r="I130" s="507">
        <v>0</v>
      </c>
      <c r="J130" s="507">
        <v>33</v>
      </c>
      <c r="K130" s="506">
        <v>10</v>
      </c>
      <c r="L130" s="506">
        <v>7</v>
      </c>
      <c r="M130" s="507">
        <v>17</v>
      </c>
      <c r="N130" s="506">
        <v>0</v>
      </c>
      <c r="O130" s="506">
        <v>0</v>
      </c>
      <c r="P130" s="506">
        <v>255</v>
      </c>
      <c r="Q130" s="506">
        <v>240</v>
      </c>
      <c r="R130" s="507">
        <v>495</v>
      </c>
      <c r="S130" s="506">
        <v>0</v>
      </c>
      <c r="T130" s="506">
        <v>0</v>
      </c>
      <c r="U130" s="506">
        <v>150</v>
      </c>
      <c r="V130" s="506">
        <v>105</v>
      </c>
      <c r="W130" s="507">
        <v>255</v>
      </c>
      <c r="X130" s="506">
        <v>0</v>
      </c>
      <c r="Y130" s="506">
        <v>0</v>
      </c>
      <c r="Z130" s="508">
        <v>0</v>
      </c>
      <c r="AA130" s="506">
        <v>0</v>
      </c>
      <c r="AB130" s="506">
        <v>0</v>
      </c>
      <c r="AC130" s="508">
        <v>0</v>
      </c>
      <c r="AD130" s="506">
        <v>1</v>
      </c>
      <c r="AE130" s="506">
        <v>15</v>
      </c>
      <c r="AF130" s="508">
        <v>0</v>
      </c>
      <c r="AG130" s="509">
        <v>0</v>
      </c>
      <c r="AH130" s="509">
        <v>0</v>
      </c>
      <c r="AI130" s="508">
        <v>0</v>
      </c>
      <c r="AJ130" s="509">
        <v>7</v>
      </c>
      <c r="AK130" s="509">
        <v>105</v>
      </c>
      <c r="AL130" s="508">
        <v>30</v>
      </c>
      <c r="AM130" s="506">
        <v>7</v>
      </c>
      <c r="AN130" s="506">
        <v>105</v>
      </c>
      <c r="AO130" s="508">
        <v>30</v>
      </c>
      <c r="AP130" s="508"/>
      <c r="AQ130" s="508">
        <f t="shared" si="35"/>
        <v>7</v>
      </c>
      <c r="AR130" s="509">
        <v>0</v>
      </c>
      <c r="AS130" s="509">
        <v>0</v>
      </c>
      <c r="AT130" s="508">
        <v>0</v>
      </c>
      <c r="AU130" s="509">
        <v>0</v>
      </c>
      <c r="AV130" s="509">
        <v>0</v>
      </c>
      <c r="AW130" s="508">
        <v>0</v>
      </c>
      <c r="AX130" s="506">
        <v>0</v>
      </c>
      <c r="AY130" s="506">
        <v>0</v>
      </c>
      <c r="AZ130" s="508">
        <v>0</v>
      </c>
      <c r="BA130" s="508"/>
      <c r="BB130" s="508">
        <f t="shared" si="36"/>
        <v>0</v>
      </c>
      <c r="BC130" s="509">
        <v>0</v>
      </c>
      <c r="BD130" s="509">
        <v>0</v>
      </c>
      <c r="BE130" s="506">
        <v>0</v>
      </c>
      <c r="BF130" s="200"/>
      <c r="BG130" s="200"/>
      <c r="BH130" s="200"/>
      <c r="BI130" s="200"/>
      <c r="BJ130" s="200"/>
      <c r="BK130" s="200"/>
      <c r="BL130" s="200"/>
      <c r="BM130" s="505">
        <f t="shared" si="37"/>
        <v>0</v>
      </c>
      <c r="BN130" s="200">
        <f t="shared" si="38"/>
        <v>0</v>
      </c>
      <c r="BO130" s="200">
        <f t="shared" si="58"/>
        <v>0</v>
      </c>
      <c r="BP130" s="200">
        <f t="shared" si="39"/>
        <v>6435</v>
      </c>
      <c r="BQ130" s="200">
        <f t="shared" si="40"/>
        <v>3315</v>
      </c>
      <c r="BR130" s="200">
        <f t="shared" si="41"/>
        <v>0</v>
      </c>
      <c r="BS130" s="200">
        <f t="shared" si="42"/>
        <v>0</v>
      </c>
      <c r="BT130" s="200">
        <f t="shared" si="43"/>
        <v>195</v>
      </c>
      <c r="BU130" s="200">
        <f t="shared" si="44"/>
        <v>1365</v>
      </c>
      <c r="BV130" s="200">
        <v>0</v>
      </c>
      <c r="BW130" s="200">
        <v>0</v>
      </c>
      <c r="BX130" s="200">
        <f t="shared" si="45"/>
        <v>0</v>
      </c>
      <c r="CB130" s="381">
        <f>_xlfn.IFNA(VLOOKUP(A130,'Actuals Summer'!$A:$AG,23,FALSE),0)</f>
        <v>6435</v>
      </c>
      <c r="CC130" s="381">
        <f>_xlfn.IFNA(VLOOKUP(A130,'Actuals Summer'!$A:$AG,24,FALSE),0)</f>
        <v>3315</v>
      </c>
      <c r="CD130" s="381">
        <f>_xlfn.IFNA(VLOOKUP(A130,'Actuals Summer'!$A:$AG,25,FALSE),0)</f>
        <v>0</v>
      </c>
      <c r="CE130" s="381">
        <f>_xlfn.IFNA(VLOOKUP(A130,'Actuals Summer'!$A:$AG,26,FALSE),0)</f>
        <v>0</v>
      </c>
      <c r="CF130" s="381">
        <f>_xlfn.IFNA(VLOOKUP(A130,'Actuals Summer'!$A:$AG,27,FALSE),0)</f>
        <v>0</v>
      </c>
      <c r="CG130" s="381">
        <f>_xlfn.IFNA(VLOOKUP(A130,'Actuals Dep Summer'!B:O,6,FALSE)*$BN$3,0)</f>
        <v>0</v>
      </c>
      <c r="CH130" s="381">
        <f>_xlfn.IFNA(VLOOKUP(A130,'Actuals Dep Summer'!B:O,7,FALSE)*$BN$3,0)</f>
        <v>0</v>
      </c>
      <c r="CI130" s="381">
        <f>_xlfn.IFNA(VLOOKUP(A130,'Actuals Dep Summer'!B:O,8,FALSE)*$BN$3,0)</f>
        <v>195</v>
      </c>
      <c r="CJ130" s="381">
        <f>_xlfn.IFNA(VLOOKUP(A130,'Actuals Summer'!$A:$AG,31,FALSE),0)*$BN$3</f>
        <v>0</v>
      </c>
      <c r="CK130" s="381"/>
      <c r="CL130" s="381">
        <f>_xlfn.IFNA(VLOOKUP(A130,'Actuals Summer'!$A:$AG,32,FALSE),0)*$BN$3</f>
        <v>17745</v>
      </c>
      <c r="CM130" s="381">
        <f>_xlfn.IFNA(VLOOKUP(A130,'Actuals Summer'!$A:$AG,33,FALSE),0)</f>
        <v>0</v>
      </c>
      <c r="CP130" s="458">
        <f t="shared" si="46"/>
        <v>0</v>
      </c>
      <c r="CQ130" s="458">
        <f t="shared" si="47"/>
        <v>0</v>
      </c>
      <c r="CR130" s="458">
        <f t="shared" si="59"/>
        <v>0</v>
      </c>
      <c r="CS130" s="458">
        <f t="shared" si="48"/>
        <v>36422.1</v>
      </c>
      <c r="CT130" s="458">
        <f t="shared" si="49"/>
        <v>18762.900000000001</v>
      </c>
      <c r="CU130" s="458">
        <f t="shared" si="50"/>
        <v>0</v>
      </c>
      <c r="CV130" s="458">
        <f t="shared" si="51"/>
        <v>0</v>
      </c>
      <c r="CW130" s="458">
        <f t="shared" si="52"/>
        <v>15.6</v>
      </c>
      <c r="CX130" s="458">
        <f t="shared" si="53"/>
        <v>1365</v>
      </c>
      <c r="CY130" s="458">
        <f t="shared" si="54"/>
        <v>0</v>
      </c>
      <c r="CZ130" s="458">
        <f t="shared" si="55"/>
        <v>0</v>
      </c>
      <c r="DA130" s="458">
        <f t="shared" si="56"/>
        <v>0</v>
      </c>
      <c r="DB130" s="458">
        <f t="shared" si="57"/>
        <v>56565.599999999999</v>
      </c>
      <c r="DC130" s="452">
        <f>_xlfn.XLOOKUP($A130,'Actuals Summer'!$A:$A,'Actuals Summer'!L:L,0,0)</f>
        <v>0</v>
      </c>
      <c r="DD130" s="452">
        <f>_xlfn.XLOOKUP($A130,'Actuals Summer'!$A:$A,'Actuals Summer'!K:K,0,0)+_xlfn.XLOOKUP($A130,'Actuals Summer'!$A:$A,'Actuals Summer'!Q:Q,0,0)</f>
        <v>0</v>
      </c>
      <c r="DE130" s="452">
        <f>_xlfn.XLOOKUP($A130,'Actuals Summer'!$A:$A,'Actuals Summer'!I:I,0,0)+_xlfn.XLOOKUP($A130,'Actuals Summer'!$A:$A,'Actuals Summer'!R:R,0,0)</f>
        <v>36422.1</v>
      </c>
      <c r="DF130" s="452">
        <f>_xlfn.XLOOKUP($A130,'Actuals Summer'!$A:$A,'Actuals Summer'!J:J,0,0)</f>
        <v>18762.900000000001</v>
      </c>
      <c r="DG130" s="452">
        <f>_xlfn.XLOOKUP($A130,'Actuals Dep Summer'!$B:$B,'Actuals Dep Summer'!G:G,0,0)*'Actuals Dep Summer'!$F$2*'Actuals Dep Summer'!$C$2</f>
        <v>0</v>
      </c>
      <c r="DH130" s="452">
        <f>_xlfn.XLOOKUP($A130,'Actuals Dep Summer'!$B:$B,'Actuals Dep Summer'!H:H,0,0)*'Actuals Dep Summer'!$F$2*'Actuals Dep Summer'!$C$3</f>
        <v>0</v>
      </c>
      <c r="DI130" s="452">
        <f>_xlfn.XLOOKUP($A130,'Actuals Dep Summer'!$B:$B,'Actuals Dep Summer'!I:I,0,0)*'Actuals Dep Summer'!$F$2*'Actuals Dep Summer'!$C$4</f>
        <v>15.6</v>
      </c>
      <c r="DJ130" s="452">
        <f>_xlfn.XLOOKUP($A130,'Actuals Summer'!$A:$A,'Actuals Summer'!P:P,0,0)</f>
        <v>1365</v>
      </c>
      <c r="DK130" s="452">
        <f>_xlfn.XLOOKUP($A130,'Actuals Summer'!$A:$A,'Actuals Summer'!O:O,0,0)</f>
        <v>0</v>
      </c>
      <c r="DL130" s="452"/>
      <c r="DM130" s="452">
        <f>_xlfn.XLOOKUP($A130,'Actuals Summer'!$A:$A,'Actuals Summer'!M:M,0,0)</f>
        <v>0</v>
      </c>
      <c r="DN130" s="453">
        <f t="shared" si="60"/>
        <v>56565.599999999999</v>
      </c>
      <c r="DO130" s="453">
        <f>_xlfn.XLOOKUP(A130,'Actuals Summer'!A:A,'Actuals Summer'!S:S,0,0)-'Summer data team '!DN130</f>
        <v>0</v>
      </c>
      <c r="DP130" s="463">
        <f t="shared" si="61"/>
        <v>0</v>
      </c>
    </row>
    <row r="131" spans="1:120" ht="13" x14ac:dyDescent="0.3">
      <c r="A131" s="364">
        <v>2429</v>
      </c>
      <c r="B131" s="364">
        <v>3302429</v>
      </c>
      <c r="C131" s="364" t="s">
        <v>329</v>
      </c>
      <c r="D131" s="506">
        <v>0</v>
      </c>
      <c r="E131" s="506">
        <v>0</v>
      </c>
      <c r="F131" s="506">
        <v>0</v>
      </c>
      <c r="G131" s="506">
        <v>21</v>
      </c>
      <c r="H131" s="506">
        <v>14</v>
      </c>
      <c r="I131" s="507">
        <v>0</v>
      </c>
      <c r="J131" s="507">
        <v>35</v>
      </c>
      <c r="K131" s="506">
        <v>8</v>
      </c>
      <c r="L131" s="506">
        <v>7</v>
      </c>
      <c r="M131" s="507">
        <v>15</v>
      </c>
      <c r="N131" s="506">
        <v>0</v>
      </c>
      <c r="O131" s="506">
        <v>0</v>
      </c>
      <c r="P131" s="506">
        <v>315</v>
      </c>
      <c r="Q131" s="506">
        <v>210</v>
      </c>
      <c r="R131" s="507">
        <v>525</v>
      </c>
      <c r="S131" s="506">
        <v>0</v>
      </c>
      <c r="T131" s="506">
        <v>0</v>
      </c>
      <c r="U131" s="506">
        <v>120</v>
      </c>
      <c r="V131" s="506">
        <v>105</v>
      </c>
      <c r="W131" s="507">
        <v>225</v>
      </c>
      <c r="X131" s="506">
        <v>0</v>
      </c>
      <c r="Y131" s="506">
        <v>0</v>
      </c>
      <c r="Z131" s="508">
        <v>0</v>
      </c>
      <c r="AA131" s="506">
        <v>0</v>
      </c>
      <c r="AB131" s="506">
        <v>0</v>
      </c>
      <c r="AC131" s="508">
        <v>0</v>
      </c>
      <c r="AD131" s="506">
        <v>1</v>
      </c>
      <c r="AE131" s="506">
        <v>15</v>
      </c>
      <c r="AF131" s="508">
        <v>15</v>
      </c>
      <c r="AG131" s="509">
        <v>0</v>
      </c>
      <c r="AH131" s="509">
        <v>0</v>
      </c>
      <c r="AI131" s="508">
        <v>0</v>
      </c>
      <c r="AJ131" s="509">
        <v>6</v>
      </c>
      <c r="AK131" s="509">
        <v>90</v>
      </c>
      <c r="AL131" s="508">
        <v>30</v>
      </c>
      <c r="AM131" s="506">
        <v>6</v>
      </c>
      <c r="AN131" s="506">
        <v>90</v>
      </c>
      <c r="AO131" s="508">
        <v>30</v>
      </c>
      <c r="AP131" s="508"/>
      <c r="AQ131" s="508">
        <f t="shared" si="35"/>
        <v>6</v>
      </c>
      <c r="AR131" s="509">
        <v>0</v>
      </c>
      <c r="AS131" s="509">
        <v>0</v>
      </c>
      <c r="AT131" s="508">
        <v>0</v>
      </c>
      <c r="AU131" s="509">
        <v>5</v>
      </c>
      <c r="AV131" s="509">
        <v>75</v>
      </c>
      <c r="AW131" s="508">
        <v>30</v>
      </c>
      <c r="AX131" s="506">
        <v>5</v>
      </c>
      <c r="AY131" s="506">
        <v>75</v>
      </c>
      <c r="AZ131" s="508">
        <v>30</v>
      </c>
      <c r="BA131" s="508"/>
      <c r="BB131" s="508">
        <f t="shared" si="36"/>
        <v>10</v>
      </c>
      <c r="BC131" s="509">
        <v>0</v>
      </c>
      <c r="BD131" s="509">
        <v>0</v>
      </c>
      <c r="BE131" s="506">
        <v>0</v>
      </c>
      <c r="BF131" s="200"/>
      <c r="BG131" s="200"/>
      <c r="BH131" s="200"/>
      <c r="BI131" s="200"/>
      <c r="BJ131" s="200"/>
      <c r="BK131" s="200"/>
      <c r="BL131" s="200"/>
      <c r="BM131" s="505">
        <f t="shared" si="37"/>
        <v>0</v>
      </c>
      <c r="BN131" s="200">
        <f t="shared" si="38"/>
        <v>0</v>
      </c>
      <c r="BO131" s="200">
        <f t="shared" si="58"/>
        <v>0</v>
      </c>
      <c r="BP131" s="200">
        <f t="shared" si="39"/>
        <v>6825</v>
      </c>
      <c r="BQ131" s="200">
        <f t="shared" si="40"/>
        <v>2925</v>
      </c>
      <c r="BR131" s="200">
        <f t="shared" si="41"/>
        <v>0</v>
      </c>
      <c r="BS131" s="200">
        <f t="shared" si="42"/>
        <v>0</v>
      </c>
      <c r="BT131" s="200">
        <f t="shared" si="43"/>
        <v>390</v>
      </c>
      <c r="BU131" s="200">
        <f t="shared" si="44"/>
        <v>1170</v>
      </c>
      <c r="BV131" s="200">
        <v>3</v>
      </c>
      <c r="BW131" s="200">
        <v>2</v>
      </c>
      <c r="BX131" s="200">
        <f t="shared" si="45"/>
        <v>0</v>
      </c>
      <c r="CB131" s="381">
        <f>_xlfn.IFNA(VLOOKUP(A131,'Actuals Summer'!$A:$AG,23,FALSE),0)</f>
        <v>6825</v>
      </c>
      <c r="CC131" s="381">
        <f>_xlfn.IFNA(VLOOKUP(A131,'Actuals Summer'!$A:$AG,24,FALSE),0)</f>
        <v>2925</v>
      </c>
      <c r="CD131" s="381">
        <f>_xlfn.IFNA(VLOOKUP(A131,'Actuals Summer'!$A:$AG,25,FALSE),0)</f>
        <v>0</v>
      </c>
      <c r="CE131" s="381">
        <f>_xlfn.IFNA(VLOOKUP(A131,'Actuals Summer'!$A:$AG,26,FALSE),0)</f>
        <v>0</v>
      </c>
      <c r="CF131" s="381">
        <f>_xlfn.IFNA(VLOOKUP(A131,'Actuals Summer'!$A:$AG,27,FALSE),0)</f>
        <v>0</v>
      </c>
      <c r="CG131" s="381">
        <f>_xlfn.IFNA(VLOOKUP(A131,'Actuals Dep Summer'!B:O,6,FALSE)*$BN$3,0)</f>
        <v>0</v>
      </c>
      <c r="CH131" s="381">
        <f>_xlfn.IFNA(VLOOKUP(A131,'Actuals Dep Summer'!B:O,7,FALSE)*$BN$3,0)</f>
        <v>0</v>
      </c>
      <c r="CI131" s="381">
        <f>_xlfn.IFNA(VLOOKUP(A131,'Actuals Dep Summer'!B:O,8,FALSE)*$BN$3,0)</f>
        <v>195</v>
      </c>
      <c r="CJ131" s="381">
        <f>_xlfn.IFNA(VLOOKUP(A131,'Actuals Summer'!$A:$AG,31,FALSE),0)*$BN$3</f>
        <v>64.964239867962576</v>
      </c>
      <c r="CK131" s="381"/>
      <c r="CL131" s="381">
        <f>_xlfn.IFNA(VLOOKUP(A131,'Actuals Summer'!$A:$AG,32,FALSE),0)*$BN$3</f>
        <v>15210</v>
      </c>
      <c r="CM131" s="381">
        <f>_xlfn.IFNA(VLOOKUP(A131,'Actuals Summer'!$A:$AG,33,FALSE),0)</f>
        <v>0</v>
      </c>
      <c r="CP131" s="458">
        <f t="shared" si="46"/>
        <v>0</v>
      </c>
      <c r="CQ131" s="458">
        <f t="shared" si="47"/>
        <v>0</v>
      </c>
      <c r="CR131" s="458">
        <f t="shared" si="59"/>
        <v>0</v>
      </c>
      <c r="CS131" s="458">
        <f t="shared" si="48"/>
        <v>38629.5</v>
      </c>
      <c r="CT131" s="458">
        <f t="shared" si="49"/>
        <v>16555.5</v>
      </c>
      <c r="CU131" s="458">
        <f t="shared" si="50"/>
        <v>0</v>
      </c>
      <c r="CV131" s="458">
        <f t="shared" si="51"/>
        <v>0</v>
      </c>
      <c r="CW131" s="458">
        <f t="shared" si="52"/>
        <v>31.2</v>
      </c>
      <c r="CX131" s="458">
        <f t="shared" si="53"/>
        <v>1170</v>
      </c>
      <c r="CY131" s="458">
        <f t="shared" si="54"/>
        <v>223.73684210526315</v>
      </c>
      <c r="CZ131" s="458">
        <f t="shared" si="55"/>
        <v>372.89473684210526</v>
      </c>
      <c r="DA131" s="458">
        <f t="shared" si="56"/>
        <v>0</v>
      </c>
      <c r="DB131" s="458">
        <f t="shared" si="57"/>
        <v>56982.831578947364</v>
      </c>
      <c r="DC131" s="452">
        <f>_xlfn.XLOOKUP($A131,'Actuals Summer'!$A:$A,'Actuals Summer'!L:L,0,0)</f>
        <v>0</v>
      </c>
      <c r="DD131" s="452">
        <f>_xlfn.XLOOKUP($A131,'Actuals Summer'!$A:$A,'Actuals Summer'!K:K,0,0)+_xlfn.XLOOKUP($A131,'Actuals Summer'!$A:$A,'Actuals Summer'!Q:Q,0,0)</f>
        <v>0</v>
      </c>
      <c r="DE131" s="452">
        <f>_xlfn.XLOOKUP($A131,'Actuals Summer'!$A:$A,'Actuals Summer'!I:I,0,0)+_xlfn.XLOOKUP($A131,'Actuals Summer'!$A:$A,'Actuals Summer'!R:R,0,0)</f>
        <v>38629.5</v>
      </c>
      <c r="DF131" s="452">
        <f>_xlfn.XLOOKUP($A131,'Actuals Summer'!$A:$A,'Actuals Summer'!J:J,0,0)</f>
        <v>16555.5</v>
      </c>
      <c r="DG131" s="452">
        <f>_xlfn.XLOOKUP($A131,'Actuals Dep Summer'!$B:$B,'Actuals Dep Summer'!G:G,0,0)*'Actuals Dep Summer'!$F$2*'Actuals Dep Summer'!$C$2</f>
        <v>0</v>
      </c>
      <c r="DH131" s="452">
        <f>_xlfn.XLOOKUP($A131,'Actuals Dep Summer'!$B:$B,'Actuals Dep Summer'!H:H,0,0)*'Actuals Dep Summer'!$F$2*'Actuals Dep Summer'!$C$3</f>
        <v>0</v>
      </c>
      <c r="DI131" s="452">
        <f>_xlfn.XLOOKUP($A131,'Actuals Dep Summer'!$B:$B,'Actuals Dep Summer'!I:I,0,0)*'Actuals Dep Summer'!$F$2*'Actuals Dep Summer'!$C$4</f>
        <v>15.6</v>
      </c>
      <c r="DJ131" s="452">
        <f>_xlfn.XLOOKUP($A131,'Actuals Summer'!$A:$A,'Actuals Summer'!P:P,0,0)</f>
        <v>1170</v>
      </c>
      <c r="DK131" s="452">
        <f>_xlfn.XLOOKUP($A131,'Actuals Summer'!$A:$A,'Actuals Summer'!O:O,0,0)</f>
        <v>372.89473684210526</v>
      </c>
      <c r="DL131" s="452"/>
      <c r="DM131" s="452">
        <f>_xlfn.XLOOKUP($A131,'Actuals Summer'!$A:$A,'Actuals Summer'!M:M,0,0)</f>
        <v>0</v>
      </c>
      <c r="DN131" s="453">
        <f t="shared" si="60"/>
        <v>56743.494736842105</v>
      </c>
      <c r="DO131" s="453">
        <f>_xlfn.XLOOKUP(A131,'Actuals Summer'!A:A,'Actuals Summer'!S:S,0,0)-'Summer data team '!DN131</f>
        <v>0</v>
      </c>
      <c r="DP131" s="463">
        <f t="shared" si="61"/>
        <v>239.33684210525826</v>
      </c>
    </row>
    <row r="132" spans="1:120" ht="13" x14ac:dyDescent="0.3">
      <c r="A132" s="364">
        <v>2434</v>
      </c>
      <c r="B132" s="364">
        <v>3302434</v>
      </c>
      <c r="C132" s="364" t="s">
        <v>330</v>
      </c>
      <c r="D132" s="506">
        <v>0</v>
      </c>
      <c r="E132" s="506">
        <v>1</v>
      </c>
      <c r="F132" s="506">
        <v>0</v>
      </c>
      <c r="G132" s="506">
        <v>23</v>
      </c>
      <c r="H132" s="506">
        <v>20</v>
      </c>
      <c r="I132" s="507">
        <v>1</v>
      </c>
      <c r="J132" s="507">
        <v>43</v>
      </c>
      <c r="K132" s="506">
        <v>11</v>
      </c>
      <c r="L132" s="506">
        <v>8</v>
      </c>
      <c r="M132" s="507">
        <v>19</v>
      </c>
      <c r="N132" s="506">
        <v>0</v>
      </c>
      <c r="O132" s="506">
        <v>15</v>
      </c>
      <c r="P132" s="506">
        <v>345</v>
      </c>
      <c r="Q132" s="506">
        <v>300</v>
      </c>
      <c r="R132" s="507">
        <v>645</v>
      </c>
      <c r="S132" s="506">
        <v>0</v>
      </c>
      <c r="T132" s="506">
        <v>15</v>
      </c>
      <c r="U132" s="506">
        <v>165</v>
      </c>
      <c r="V132" s="506">
        <v>120</v>
      </c>
      <c r="W132" s="507">
        <v>285</v>
      </c>
      <c r="X132" s="506">
        <v>9</v>
      </c>
      <c r="Y132" s="506">
        <v>135</v>
      </c>
      <c r="Z132" s="508">
        <v>60</v>
      </c>
      <c r="AA132" s="506">
        <v>6</v>
      </c>
      <c r="AB132" s="506">
        <v>90</v>
      </c>
      <c r="AC132" s="508">
        <v>75</v>
      </c>
      <c r="AD132" s="506">
        <v>22</v>
      </c>
      <c r="AE132" s="506">
        <v>330</v>
      </c>
      <c r="AF132" s="508">
        <v>90</v>
      </c>
      <c r="AG132" s="509">
        <v>0</v>
      </c>
      <c r="AH132" s="509">
        <v>0</v>
      </c>
      <c r="AI132" s="508">
        <v>0</v>
      </c>
      <c r="AJ132" s="509">
        <v>13</v>
      </c>
      <c r="AK132" s="509">
        <v>195</v>
      </c>
      <c r="AL132" s="508">
        <v>30</v>
      </c>
      <c r="AM132" s="506">
        <v>13</v>
      </c>
      <c r="AN132" s="506">
        <v>195</v>
      </c>
      <c r="AO132" s="508">
        <v>30</v>
      </c>
      <c r="AP132" s="508"/>
      <c r="AQ132" s="508">
        <f t="shared" si="35"/>
        <v>13</v>
      </c>
      <c r="AR132" s="509">
        <v>0</v>
      </c>
      <c r="AS132" s="509">
        <v>0</v>
      </c>
      <c r="AT132" s="508">
        <v>0</v>
      </c>
      <c r="AU132" s="509">
        <v>13</v>
      </c>
      <c r="AV132" s="509">
        <v>195</v>
      </c>
      <c r="AW132" s="508">
        <v>30</v>
      </c>
      <c r="AX132" s="506">
        <v>13</v>
      </c>
      <c r="AY132" s="506">
        <v>195</v>
      </c>
      <c r="AZ132" s="508">
        <v>30</v>
      </c>
      <c r="BA132" s="508"/>
      <c r="BB132" s="508">
        <f t="shared" si="36"/>
        <v>26</v>
      </c>
      <c r="BC132" s="509">
        <v>0</v>
      </c>
      <c r="BD132" s="509">
        <v>0</v>
      </c>
      <c r="BE132" s="506">
        <v>0</v>
      </c>
      <c r="BF132" s="200"/>
      <c r="BG132" s="200"/>
      <c r="BH132" s="200"/>
      <c r="BI132" s="200"/>
      <c r="BJ132" s="200"/>
      <c r="BK132" s="200"/>
      <c r="BL132" s="200"/>
      <c r="BM132" s="505">
        <f t="shared" si="37"/>
        <v>0</v>
      </c>
      <c r="BN132" s="200">
        <f t="shared" si="38"/>
        <v>195</v>
      </c>
      <c r="BO132" s="200">
        <f t="shared" si="58"/>
        <v>0</v>
      </c>
      <c r="BP132" s="200">
        <f t="shared" si="39"/>
        <v>8385</v>
      </c>
      <c r="BQ132" s="200">
        <f t="shared" si="40"/>
        <v>3705</v>
      </c>
      <c r="BR132" s="200">
        <f t="shared" si="41"/>
        <v>2535</v>
      </c>
      <c r="BS132" s="200">
        <f t="shared" si="42"/>
        <v>2145</v>
      </c>
      <c r="BT132" s="200">
        <f t="shared" si="43"/>
        <v>5460</v>
      </c>
      <c r="BU132" s="200">
        <f t="shared" si="44"/>
        <v>2535</v>
      </c>
      <c r="BV132" s="200">
        <v>11</v>
      </c>
      <c r="BW132" s="200">
        <v>2</v>
      </c>
      <c r="BX132" s="200">
        <f t="shared" si="45"/>
        <v>0</v>
      </c>
      <c r="CB132" s="381">
        <f>_xlfn.IFNA(VLOOKUP(A132,'Actuals Summer'!$A:$AG,23,FALSE),0)</f>
        <v>8385</v>
      </c>
      <c r="CC132" s="381">
        <f>_xlfn.IFNA(VLOOKUP(A132,'Actuals Summer'!$A:$AG,24,FALSE),0)</f>
        <v>3705</v>
      </c>
      <c r="CD132" s="381">
        <f>_xlfn.IFNA(VLOOKUP(A132,'Actuals Summer'!$A:$AG,25,FALSE),0)</f>
        <v>0</v>
      </c>
      <c r="CE132" s="381">
        <f>_xlfn.IFNA(VLOOKUP(A132,'Actuals Summer'!$A:$AG,26,FALSE),0)</f>
        <v>0</v>
      </c>
      <c r="CF132" s="381">
        <f>_xlfn.IFNA(VLOOKUP(A132,'Actuals Summer'!$A:$AG,27,FALSE),0)</f>
        <v>0</v>
      </c>
      <c r="CG132" s="381">
        <f>_xlfn.IFNA(VLOOKUP(A132,'Actuals Dep Summer'!B:O,6,FALSE)*$BN$3,0)</f>
        <v>1755</v>
      </c>
      <c r="CH132" s="381">
        <f>_xlfn.IFNA(VLOOKUP(A132,'Actuals Dep Summer'!B:O,7,FALSE)*$BN$3,0)</f>
        <v>1170</v>
      </c>
      <c r="CI132" s="381">
        <f>_xlfn.IFNA(VLOOKUP(A132,'Actuals Dep Summer'!B:O,8,FALSE)*$BN$3,0)</f>
        <v>4290</v>
      </c>
      <c r="CJ132" s="381">
        <f>_xlfn.IFNA(VLOOKUP(A132,'Actuals Summer'!$A:$AG,31,FALSE),0)*$BN$3</f>
        <v>168.90702365670273</v>
      </c>
      <c r="CK132" s="381"/>
      <c r="CL132" s="381">
        <f>_xlfn.IFNA(VLOOKUP(A132,'Actuals Summer'!$A:$AG,32,FALSE),0)*$BN$3</f>
        <v>32955</v>
      </c>
      <c r="CM132" s="381">
        <f>_xlfn.IFNA(VLOOKUP(A132,'Actuals Summer'!$A:$AG,33,FALSE),0)</f>
        <v>0</v>
      </c>
      <c r="CP132" s="458">
        <f t="shared" si="46"/>
        <v>0</v>
      </c>
      <c r="CQ132" s="458">
        <f t="shared" si="47"/>
        <v>1659.45</v>
      </c>
      <c r="CR132" s="458">
        <f t="shared" si="59"/>
        <v>0</v>
      </c>
      <c r="CS132" s="458">
        <f t="shared" si="48"/>
        <v>47459.1</v>
      </c>
      <c r="CT132" s="458">
        <f t="shared" si="49"/>
        <v>20970.3</v>
      </c>
      <c r="CU132" s="458">
        <f t="shared" si="50"/>
        <v>1546.35</v>
      </c>
      <c r="CV132" s="458">
        <f t="shared" si="51"/>
        <v>622.04999999999995</v>
      </c>
      <c r="CW132" s="458">
        <f t="shared" si="52"/>
        <v>436.8</v>
      </c>
      <c r="CX132" s="458">
        <f t="shared" si="53"/>
        <v>2535</v>
      </c>
      <c r="CY132" s="458">
        <f t="shared" si="54"/>
        <v>820.36842105263156</v>
      </c>
      <c r="CZ132" s="458">
        <f t="shared" si="55"/>
        <v>372.89473684210526</v>
      </c>
      <c r="DA132" s="458">
        <f t="shared" si="56"/>
        <v>0</v>
      </c>
      <c r="DB132" s="458">
        <f t="shared" si="57"/>
        <v>76422.313157894736</v>
      </c>
      <c r="DC132" s="452">
        <f>_xlfn.XLOOKUP($A132,'Actuals Summer'!$A:$A,'Actuals Summer'!L:L,0,0)</f>
        <v>0</v>
      </c>
      <c r="DD132" s="452">
        <f>_xlfn.XLOOKUP($A132,'Actuals Summer'!$A:$A,'Actuals Summer'!K:K,0,0)+_xlfn.XLOOKUP($A132,'Actuals Summer'!$A:$A,'Actuals Summer'!Q:Q,0,0)</f>
        <v>0</v>
      </c>
      <c r="DE132" s="452">
        <f>_xlfn.XLOOKUP($A132,'Actuals Summer'!$A:$A,'Actuals Summer'!I:I,0,0)+_xlfn.XLOOKUP($A132,'Actuals Summer'!$A:$A,'Actuals Summer'!R:R,0,0)</f>
        <v>47459.1</v>
      </c>
      <c r="DF132" s="452">
        <f>_xlfn.XLOOKUP($A132,'Actuals Summer'!$A:$A,'Actuals Summer'!J:J,0,0)</f>
        <v>20970.3</v>
      </c>
      <c r="DG132" s="452">
        <f>_xlfn.XLOOKUP($A132,'Actuals Dep Summer'!$B:$B,'Actuals Dep Summer'!G:G,0,0)*'Actuals Dep Summer'!$F$2*'Actuals Dep Summer'!$C$2</f>
        <v>1070.55</v>
      </c>
      <c r="DH132" s="452">
        <f>_xlfn.XLOOKUP($A132,'Actuals Dep Summer'!$B:$B,'Actuals Dep Summer'!H:H,0,0)*'Actuals Dep Summer'!$F$2*'Actuals Dep Summer'!$C$3</f>
        <v>339.29999999999995</v>
      </c>
      <c r="DI132" s="452">
        <f>_xlfn.XLOOKUP($A132,'Actuals Dep Summer'!$B:$B,'Actuals Dep Summer'!I:I,0,0)*'Actuals Dep Summer'!$F$2*'Actuals Dep Summer'!$C$4</f>
        <v>343.2</v>
      </c>
      <c r="DJ132" s="452">
        <f>_xlfn.XLOOKUP($A132,'Actuals Summer'!$A:$A,'Actuals Summer'!P:P,0,0)</f>
        <v>2535</v>
      </c>
      <c r="DK132" s="452">
        <f>_xlfn.XLOOKUP($A132,'Actuals Summer'!$A:$A,'Actuals Summer'!O:O,0,0)</f>
        <v>969.52631578947376</v>
      </c>
      <c r="DL132" s="452"/>
      <c r="DM132" s="452">
        <f>_xlfn.XLOOKUP($A132,'Actuals Summer'!$A:$A,'Actuals Summer'!M:M,0,0)</f>
        <v>0</v>
      </c>
      <c r="DN132" s="453">
        <f t="shared" si="60"/>
        <v>73686.976315789478</v>
      </c>
      <c r="DO132" s="453">
        <f>_xlfn.XLOOKUP(A132,'Actuals Summer'!A:A,'Actuals Summer'!S:S,0,0)-'Summer data team '!DN132</f>
        <v>0</v>
      </c>
      <c r="DP132" s="463">
        <f t="shared" si="61"/>
        <v>2735.3368421052583</v>
      </c>
    </row>
    <row r="133" spans="1:120" ht="13" x14ac:dyDescent="0.3">
      <c r="A133" s="364">
        <v>2441</v>
      </c>
      <c r="B133" s="364">
        <v>3302441</v>
      </c>
      <c r="C133" s="364" t="s">
        <v>105</v>
      </c>
      <c r="D133" s="506">
        <v>0</v>
      </c>
      <c r="E133" s="506">
        <v>0</v>
      </c>
      <c r="F133" s="506">
        <v>0</v>
      </c>
      <c r="G133" s="506">
        <v>12</v>
      </c>
      <c r="H133" s="506">
        <v>6</v>
      </c>
      <c r="I133" s="507">
        <v>0</v>
      </c>
      <c r="J133" s="507">
        <v>18</v>
      </c>
      <c r="K133" s="506">
        <v>0</v>
      </c>
      <c r="L133" s="506">
        <v>0</v>
      </c>
      <c r="M133" s="507">
        <v>0</v>
      </c>
      <c r="N133" s="506">
        <v>0</v>
      </c>
      <c r="O133" s="506">
        <v>0</v>
      </c>
      <c r="P133" s="506">
        <v>180</v>
      </c>
      <c r="Q133" s="506">
        <v>90</v>
      </c>
      <c r="R133" s="507">
        <v>270</v>
      </c>
      <c r="S133" s="506">
        <v>0</v>
      </c>
      <c r="T133" s="506">
        <v>0</v>
      </c>
      <c r="U133" s="506">
        <v>0</v>
      </c>
      <c r="V133" s="506">
        <v>0</v>
      </c>
      <c r="W133" s="507">
        <v>0</v>
      </c>
      <c r="X133" s="506">
        <v>6</v>
      </c>
      <c r="Y133" s="506">
        <v>90</v>
      </c>
      <c r="Z133" s="508">
        <v>0</v>
      </c>
      <c r="AA133" s="506">
        <v>10</v>
      </c>
      <c r="AB133" s="506">
        <v>150</v>
      </c>
      <c r="AC133" s="508">
        <v>0</v>
      </c>
      <c r="AD133" s="506">
        <v>0</v>
      </c>
      <c r="AE133" s="506">
        <v>0</v>
      </c>
      <c r="AF133" s="508">
        <v>0</v>
      </c>
      <c r="AG133" s="509">
        <v>0</v>
      </c>
      <c r="AH133" s="509">
        <v>0</v>
      </c>
      <c r="AI133" s="508">
        <v>0</v>
      </c>
      <c r="AJ133" s="509">
        <v>7</v>
      </c>
      <c r="AK133" s="509">
        <v>105</v>
      </c>
      <c r="AL133" s="508">
        <v>0</v>
      </c>
      <c r="AM133" s="506">
        <v>7</v>
      </c>
      <c r="AN133" s="506">
        <v>105</v>
      </c>
      <c r="AO133" s="508">
        <v>0</v>
      </c>
      <c r="AP133" s="508"/>
      <c r="AQ133" s="508">
        <f t="shared" si="35"/>
        <v>7</v>
      </c>
      <c r="AR133" s="509">
        <v>0</v>
      </c>
      <c r="AS133" s="509">
        <v>0</v>
      </c>
      <c r="AT133" s="508">
        <v>0</v>
      </c>
      <c r="AU133" s="509">
        <v>0</v>
      </c>
      <c r="AV133" s="509">
        <v>0</v>
      </c>
      <c r="AW133" s="508">
        <v>0</v>
      </c>
      <c r="AX133" s="506">
        <v>0</v>
      </c>
      <c r="AY133" s="506">
        <v>0</v>
      </c>
      <c r="AZ133" s="508">
        <v>0</v>
      </c>
      <c r="BA133" s="508"/>
      <c r="BB133" s="508">
        <f t="shared" si="36"/>
        <v>0</v>
      </c>
      <c r="BC133" s="509">
        <v>0</v>
      </c>
      <c r="BD133" s="509">
        <v>0</v>
      </c>
      <c r="BE133" s="506">
        <v>0</v>
      </c>
      <c r="BF133" s="200"/>
      <c r="BG133" s="200"/>
      <c r="BH133" s="200"/>
      <c r="BI133" s="200"/>
      <c r="BJ133" s="200"/>
      <c r="BK133" s="200"/>
      <c r="BL133" s="200"/>
      <c r="BM133" s="505">
        <f t="shared" si="37"/>
        <v>0</v>
      </c>
      <c r="BN133" s="200">
        <f t="shared" si="38"/>
        <v>0</v>
      </c>
      <c r="BO133" s="200">
        <f t="shared" ref="BO133:BO164" si="62">S133*$BN$3</f>
        <v>0</v>
      </c>
      <c r="BP133" s="200">
        <f t="shared" si="39"/>
        <v>3510</v>
      </c>
      <c r="BQ133" s="200">
        <f t="shared" si="40"/>
        <v>0</v>
      </c>
      <c r="BR133" s="200">
        <f t="shared" si="41"/>
        <v>1170</v>
      </c>
      <c r="BS133" s="200">
        <f t="shared" si="42"/>
        <v>1950</v>
      </c>
      <c r="BT133" s="200">
        <f t="shared" si="43"/>
        <v>0</v>
      </c>
      <c r="BU133" s="200">
        <f t="shared" si="44"/>
        <v>1365</v>
      </c>
      <c r="BV133" s="200">
        <v>0</v>
      </c>
      <c r="BW133" s="200">
        <v>0</v>
      </c>
      <c r="BX133" s="200">
        <f t="shared" si="45"/>
        <v>0</v>
      </c>
      <c r="CB133" s="381">
        <f>_xlfn.IFNA(VLOOKUP(A133,'Actuals Summer'!$A:$AG,23,FALSE),0)</f>
        <v>3510.0000000000005</v>
      </c>
      <c r="CC133" s="381">
        <f>_xlfn.IFNA(VLOOKUP(A133,'Actuals Summer'!$A:$AG,24,FALSE),0)</f>
        <v>0</v>
      </c>
      <c r="CD133" s="381">
        <f>_xlfn.IFNA(VLOOKUP(A133,'Actuals Summer'!$A:$AG,25,FALSE),0)</f>
        <v>0</v>
      </c>
      <c r="CE133" s="381">
        <f>_xlfn.IFNA(VLOOKUP(A133,'Actuals Summer'!$A:$AG,26,FALSE),0)</f>
        <v>0</v>
      </c>
      <c r="CF133" s="381">
        <f>_xlfn.IFNA(VLOOKUP(A133,'Actuals Summer'!$A:$AG,27,FALSE),0)</f>
        <v>0</v>
      </c>
      <c r="CG133" s="381">
        <f>_xlfn.IFNA(VLOOKUP(A133,'Actuals Dep Summer'!B:O,6,FALSE)*$BN$3,0)</f>
        <v>1170</v>
      </c>
      <c r="CH133" s="381">
        <f>_xlfn.IFNA(VLOOKUP(A133,'Actuals Dep Summer'!B:O,7,FALSE)*$BN$3,0)</f>
        <v>1950</v>
      </c>
      <c r="CI133" s="381">
        <f>_xlfn.IFNA(VLOOKUP(A133,'Actuals Dep Summer'!B:O,8,FALSE)*$BN$3,0)</f>
        <v>0</v>
      </c>
      <c r="CJ133" s="381">
        <f>_xlfn.IFNA(VLOOKUP(A133,'Actuals Summer'!$A:$AG,31,FALSE),0)*$BN$3</f>
        <v>0</v>
      </c>
      <c r="CK133" s="381"/>
      <c r="CL133" s="381">
        <f>_xlfn.IFNA(VLOOKUP(A133,'Actuals Summer'!$A:$AG,32,FALSE),0)*$BN$3</f>
        <v>17745</v>
      </c>
      <c r="CM133" s="381">
        <f>_xlfn.IFNA(VLOOKUP(A133,'Actuals Summer'!$A:$AG,33,FALSE),0)</f>
        <v>0</v>
      </c>
      <c r="CP133" s="458">
        <f t="shared" si="46"/>
        <v>0</v>
      </c>
      <c r="CQ133" s="458">
        <f t="shared" si="47"/>
        <v>0</v>
      </c>
      <c r="CR133" s="458">
        <f t="shared" ref="CR133:CR164" si="63">BO133*$BO$2</f>
        <v>0</v>
      </c>
      <c r="CS133" s="458">
        <f t="shared" si="48"/>
        <v>19866.600000000002</v>
      </c>
      <c r="CT133" s="458">
        <f t="shared" si="49"/>
        <v>0</v>
      </c>
      <c r="CU133" s="458">
        <f t="shared" si="50"/>
        <v>713.69999999999993</v>
      </c>
      <c r="CV133" s="458">
        <f t="shared" si="51"/>
        <v>565.5</v>
      </c>
      <c r="CW133" s="458">
        <f t="shared" si="52"/>
        <v>0</v>
      </c>
      <c r="CX133" s="458">
        <f t="shared" si="53"/>
        <v>1365</v>
      </c>
      <c r="CY133" s="458">
        <f t="shared" si="54"/>
        <v>0</v>
      </c>
      <c r="CZ133" s="458">
        <f t="shared" si="55"/>
        <v>0</v>
      </c>
      <c r="DA133" s="458">
        <f t="shared" si="56"/>
        <v>0</v>
      </c>
      <c r="DB133" s="458">
        <f t="shared" si="57"/>
        <v>22510.800000000003</v>
      </c>
      <c r="DC133" s="452">
        <f>_xlfn.XLOOKUP($A133,'Actuals Summer'!$A:$A,'Actuals Summer'!L:L,0,0)</f>
        <v>0</v>
      </c>
      <c r="DD133" s="452">
        <f>_xlfn.XLOOKUP($A133,'Actuals Summer'!$A:$A,'Actuals Summer'!K:K,0,0)+_xlfn.XLOOKUP($A133,'Actuals Summer'!$A:$A,'Actuals Summer'!Q:Q,0,0)</f>
        <v>0</v>
      </c>
      <c r="DE133" s="452">
        <f>_xlfn.XLOOKUP($A133,'Actuals Summer'!$A:$A,'Actuals Summer'!I:I,0,0)+_xlfn.XLOOKUP($A133,'Actuals Summer'!$A:$A,'Actuals Summer'!R:R,0,0)</f>
        <v>19866.600000000002</v>
      </c>
      <c r="DF133" s="452">
        <f>_xlfn.XLOOKUP($A133,'Actuals Summer'!$A:$A,'Actuals Summer'!J:J,0,0)</f>
        <v>0</v>
      </c>
      <c r="DG133" s="452">
        <f>_xlfn.XLOOKUP($A133,'Actuals Dep Summer'!$B:$B,'Actuals Dep Summer'!G:G,0,0)*'Actuals Dep Summer'!$F$2*'Actuals Dep Summer'!$C$2</f>
        <v>713.69999999999993</v>
      </c>
      <c r="DH133" s="452">
        <f>_xlfn.XLOOKUP($A133,'Actuals Dep Summer'!$B:$B,'Actuals Dep Summer'!H:H,0,0)*'Actuals Dep Summer'!$F$2*'Actuals Dep Summer'!$C$3</f>
        <v>565.5</v>
      </c>
      <c r="DI133" s="452">
        <f>_xlfn.XLOOKUP($A133,'Actuals Dep Summer'!$B:$B,'Actuals Dep Summer'!I:I,0,0)*'Actuals Dep Summer'!$F$2*'Actuals Dep Summer'!$C$4</f>
        <v>0</v>
      </c>
      <c r="DJ133" s="452">
        <f>_xlfn.XLOOKUP($A133,'Actuals Summer'!$A:$A,'Actuals Summer'!P:P,0,0)</f>
        <v>1365</v>
      </c>
      <c r="DK133" s="452">
        <f>_xlfn.XLOOKUP($A133,'Actuals Summer'!$A:$A,'Actuals Summer'!O:O,0,0)</f>
        <v>0</v>
      </c>
      <c r="DL133" s="452"/>
      <c r="DM133" s="452">
        <f>_xlfn.XLOOKUP($A133,'Actuals Summer'!$A:$A,'Actuals Summer'!M:M,0,0)</f>
        <v>0</v>
      </c>
      <c r="DN133" s="453">
        <f t="shared" ref="DN133:DN164" si="64">SUM(DC133:DM133)</f>
        <v>22510.800000000003</v>
      </c>
      <c r="DO133" s="453">
        <f>_xlfn.XLOOKUP(A133,'Actuals Summer'!A:A,'Actuals Summer'!S:S,0,0)-'Summer data team '!DN133</f>
        <v>0</v>
      </c>
      <c r="DP133" s="463">
        <f t="shared" ref="DP133:DP164" si="65">DB133-DN133</f>
        <v>0</v>
      </c>
    </row>
    <row r="134" spans="1:120" ht="13" x14ac:dyDescent="0.3">
      <c r="A134" s="364">
        <v>2443</v>
      </c>
      <c r="B134" s="364">
        <v>3302443</v>
      </c>
      <c r="C134" s="364" t="s">
        <v>332</v>
      </c>
      <c r="D134" s="506">
        <v>0</v>
      </c>
      <c r="E134" s="506">
        <v>0</v>
      </c>
      <c r="F134" s="506">
        <v>0</v>
      </c>
      <c r="G134" s="506">
        <v>12</v>
      </c>
      <c r="H134" s="506">
        <v>16</v>
      </c>
      <c r="I134" s="507">
        <v>0</v>
      </c>
      <c r="J134" s="507">
        <v>28</v>
      </c>
      <c r="K134" s="506">
        <v>0</v>
      </c>
      <c r="L134" s="506">
        <v>0</v>
      </c>
      <c r="M134" s="507">
        <v>0</v>
      </c>
      <c r="N134" s="506">
        <v>0</v>
      </c>
      <c r="O134" s="506">
        <v>0</v>
      </c>
      <c r="P134" s="506">
        <v>180</v>
      </c>
      <c r="Q134" s="506">
        <v>240</v>
      </c>
      <c r="R134" s="507">
        <v>420</v>
      </c>
      <c r="S134" s="506">
        <v>0</v>
      </c>
      <c r="T134" s="506">
        <v>0</v>
      </c>
      <c r="U134" s="506">
        <v>0</v>
      </c>
      <c r="V134" s="506">
        <v>0</v>
      </c>
      <c r="W134" s="507">
        <v>0</v>
      </c>
      <c r="X134" s="506">
        <v>2</v>
      </c>
      <c r="Y134" s="506">
        <v>30</v>
      </c>
      <c r="Z134" s="508">
        <v>0</v>
      </c>
      <c r="AA134" s="506">
        <v>22</v>
      </c>
      <c r="AB134" s="506">
        <v>330</v>
      </c>
      <c r="AC134" s="508">
        <v>0</v>
      </c>
      <c r="AD134" s="506">
        <v>3</v>
      </c>
      <c r="AE134" s="506">
        <v>45</v>
      </c>
      <c r="AF134" s="508">
        <v>0</v>
      </c>
      <c r="AG134" s="509">
        <v>0</v>
      </c>
      <c r="AH134" s="509">
        <v>0</v>
      </c>
      <c r="AI134" s="508">
        <v>0</v>
      </c>
      <c r="AJ134" s="509">
        <v>17</v>
      </c>
      <c r="AK134" s="509">
        <v>255</v>
      </c>
      <c r="AL134" s="508">
        <v>0</v>
      </c>
      <c r="AM134" s="506">
        <v>17</v>
      </c>
      <c r="AN134" s="506">
        <v>255</v>
      </c>
      <c r="AO134" s="508">
        <v>0</v>
      </c>
      <c r="AP134" s="508"/>
      <c r="AQ134" s="508">
        <f t="shared" ref="AQ134:AQ197" si="66">AM134+AP134</f>
        <v>17</v>
      </c>
      <c r="AR134" s="509">
        <v>0</v>
      </c>
      <c r="AS134" s="509">
        <v>0</v>
      </c>
      <c r="AT134" s="508">
        <v>0</v>
      </c>
      <c r="AU134" s="509">
        <v>16</v>
      </c>
      <c r="AV134" s="509">
        <v>240</v>
      </c>
      <c r="AW134" s="508">
        <v>0</v>
      </c>
      <c r="AX134" s="506">
        <v>16</v>
      </c>
      <c r="AY134" s="506">
        <v>240</v>
      </c>
      <c r="AZ134" s="508">
        <v>0</v>
      </c>
      <c r="BA134" s="508"/>
      <c r="BB134" s="508">
        <f t="shared" ref="BB134:BB197" si="67">AU134+AX134</f>
        <v>32</v>
      </c>
      <c r="BC134" s="509">
        <v>0</v>
      </c>
      <c r="BD134" s="509">
        <v>0</v>
      </c>
      <c r="BE134" s="506">
        <v>0</v>
      </c>
      <c r="BF134" s="200"/>
      <c r="BG134" s="200"/>
      <c r="BH134" s="200"/>
      <c r="BI134" s="200"/>
      <c r="BJ134" s="200"/>
      <c r="BK134" s="200"/>
      <c r="BL134" s="200"/>
      <c r="BM134" s="505">
        <f t="shared" ref="BM134:BM197" si="68">N134*$BN$3</f>
        <v>0</v>
      </c>
      <c r="BN134" s="200">
        <f t="shared" ref="BN134:BN197" si="69">(O134*$BN$3)+BF134</f>
        <v>0</v>
      </c>
      <c r="BO134" s="200">
        <f t="shared" si="62"/>
        <v>0</v>
      </c>
      <c r="BP134" s="200">
        <f t="shared" ref="BP134:BP197" si="70">R134*$BN$3</f>
        <v>5460</v>
      </c>
      <c r="BQ134" s="200">
        <f t="shared" ref="BQ134:BQ197" si="71">(W134*$BN$3)+BG134</f>
        <v>0</v>
      </c>
      <c r="BR134" s="200">
        <f t="shared" ref="BR134:BR197" si="72">(Y134+Z134)*$BN$3</f>
        <v>390</v>
      </c>
      <c r="BS134" s="200">
        <f t="shared" ref="BS134:BS197" si="73">(AB134+AC134)*$BN$3</f>
        <v>4290</v>
      </c>
      <c r="BT134" s="200">
        <f t="shared" ref="BT134:BT197" si="74">(AE134+AF134)*$BN$3</f>
        <v>585</v>
      </c>
      <c r="BU134" s="200">
        <f t="shared" ref="BU134:BU197" si="75">AN134*$BN$3</f>
        <v>3315</v>
      </c>
      <c r="BV134" s="200">
        <v>16</v>
      </c>
      <c r="BW134" s="200">
        <v>0</v>
      </c>
      <c r="BX134" s="200">
        <f t="shared" ref="BX134:BX197" si="76">BE134</f>
        <v>0</v>
      </c>
      <c r="CB134" s="381">
        <f>_xlfn.IFNA(VLOOKUP(A134,'Actuals Summer'!$A:$AG,23,FALSE),0)</f>
        <v>5460</v>
      </c>
      <c r="CC134" s="381">
        <f>_xlfn.IFNA(VLOOKUP(A134,'Actuals Summer'!$A:$AG,24,FALSE),0)</f>
        <v>0</v>
      </c>
      <c r="CD134" s="381">
        <f>_xlfn.IFNA(VLOOKUP(A134,'Actuals Summer'!$A:$AG,25,FALSE),0)</f>
        <v>0</v>
      </c>
      <c r="CE134" s="381">
        <f>_xlfn.IFNA(VLOOKUP(A134,'Actuals Summer'!$A:$AG,26,FALSE),0)</f>
        <v>0</v>
      </c>
      <c r="CF134" s="381">
        <f>_xlfn.IFNA(VLOOKUP(A134,'Actuals Summer'!$A:$AG,27,FALSE),0)</f>
        <v>0</v>
      </c>
      <c r="CG134" s="381">
        <f>_xlfn.IFNA(VLOOKUP(A134,'Actuals Dep Summer'!B:O,6,FALSE)*$BN$3,0)</f>
        <v>390</v>
      </c>
      <c r="CH134" s="381">
        <f>_xlfn.IFNA(VLOOKUP(A134,'Actuals Dep Summer'!B:O,7,FALSE)*$BN$3,0)</f>
        <v>4290</v>
      </c>
      <c r="CI134" s="381">
        <f>_xlfn.IFNA(VLOOKUP(A134,'Actuals Dep Summer'!B:O,8,FALSE)*$BN$3,0)</f>
        <v>585</v>
      </c>
      <c r="CJ134" s="381">
        <f>_xlfn.IFNA(VLOOKUP(A134,'Actuals Summer'!$A:$AG,31,FALSE),0)*$BN$3</f>
        <v>207.88556757748029</v>
      </c>
      <c r="CK134" s="381"/>
      <c r="CL134" s="381">
        <f>_xlfn.IFNA(VLOOKUP(A134,'Actuals Summer'!$A:$AG,32,FALSE),0)*$BN$3</f>
        <v>43095</v>
      </c>
      <c r="CM134" s="381">
        <f>_xlfn.IFNA(VLOOKUP(A134,'Actuals Summer'!$A:$AG,33,FALSE),0)</f>
        <v>0</v>
      </c>
      <c r="CP134" s="458">
        <f t="shared" ref="CP134:CP197" si="77">BM134*$BM$2</f>
        <v>0</v>
      </c>
      <c r="CQ134" s="458">
        <f t="shared" ref="CQ134:CQ197" si="78">BN134*$BN$2</f>
        <v>0</v>
      </c>
      <c r="CR134" s="458">
        <f t="shared" si="63"/>
        <v>0</v>
      </c>
      <c r="CS134" s="458">
        <f t="shared" ref="CS134:CS197" si="79">BP134*$BP$2</f>
        <v>30903.600000000002</v>
      </c>
      <c r="CT134" s="458">
        <f t="shared" ref="CT134:CT197" si="80">BQ134*$BQ$2</f>
        <v>0</v>
      </c>
      <c r="CU134" s="458">
        <f t="shared" ref="CU134:CU197" si="81">BR134*$BR$2</f>
        <v>237.9</v>
      </c>
      <c r="CV134" s="458">
        <f t="shared" ref="CV134:CV197" si="82">BS134*$BS$2</f>
        <v>1244.0999999999999</v>
      </c>
      <c r="CW134" s="458">
        <f t="shared" ref="CW134:CW197" si="83">BT134*$BT$2</f>
        <v>46.800000000000004</v>
      </c>
      <c r="CX134" s="458">
        <f t="shared" ref="CX134:CX197" si="84">BU134*$BU$2</f>
        <v>3315</v>
      </c>
      <c r="CY134" s="458">
        <f t="shared" ref="CY134:CY197" si="85">BV134*$BV$2*$BN$3</f>
        <v>1193.2631578947367</v>
      </c>
      <c r="CZ134" s="458">
        <f t="shared" ref="CZ134:CZ197" si="86">BW134*$BW$2*$BN$3</f>
        <v>0</v>
      </c>
      <c r="DA134" s="458">
        <f t="shared" ref="DA134:DA197" si="87">BX134*$BX$2</f>
        <v>0</v>
      </c>
      <c r="DB134" s="458">
        <f t="shared" ref="DB134:DB197" si="88">SUM(CP134:DA134)</f>
        <v>36940.663157894742</v>
      </c>
      <c r="DC134" s="452">
        <f>_xlfn.XLOOKUP($A134,'Actuals Summer'!$A:$A,'Actuals Summer'!L:L,0,0)</f>
        <v>0</v>
      </c>
      <c r="DD134" s="452">
        <f>_xlfn.XLOOKUP($A134,'Actuals Summer'!$A:$A,'Actuals Summer'!K:K,0,0)+_xlfn.XLOOKUP($A134,'Actuals Summer'!$A:$A,'Actuals Summer'!Q:Q,0,0)</f>
        <v>0</v>
      </c>
      <c r="DE134" s="452">
        <f>_xlfn.XLOOKUP($A134,'Actuals Summer'!$A:$A,'Actuals Summer'!I:I,0,0)+_xlfn.XLOOKUP($A134,'Actuals Summer'!$A:$A,'Actuals Summer'!R:R,0,0)</f>
        <v>30903.600000000002</v>
      </c>
      <c r="DF134" s="452">
        <f>_xlfn.XLOOKUP($A134,'Actuals Summer'!$A:$A,'Actuals Summer'!J:J,0,0)</f>
        <v>0</v>
      </c>
      <c r="DG134" s="452">
        <f>_xlfn.XLOOKUP($A134,'Actuals Dep Summer'!$B:$B,'Actuals Dep Summer'!G:G,0,0)*'Actuals Dep Summer'!$F$2*'Actuals Dep Summer'!$C$2</f>
        <v>237.9</v>
      </c>
      <c r="DH134" s="452">
        <f>_xlfn.XLOOKUP($A134,'Actuals Dep Summer'!$B:$B,'Actuals Dep Summer'!H:H,0,0)*'Actuals Dep Summer'!$F$2*'Actuals Dep Summer'!$C$3</f>
        <v>1244.0999999999999</v>
      </c>
      <c r="DI134" s="452">
        <f>_xlfn.XLOOKUP($A134,'Actuals Dep Summer'!$B:$B,'Actuals Dep Summer'!I:I,0,0)*'Actuals Dep Summer'!$F$2*'Actuals Dep Summer'!$C$4</f>
        <v>46.800000000000004</v>
      </c>
      <c r="DJ134" s="452">
        <f>_xlfn.XLOOKUP($A134,'Actuals Summer'!$A:$A,'Actuals Summer'!P:P,0,0)</f>
        <v>3315</v>
      </c>
      <c r="DK134" s="452">
        <f>_xlfn.XLOOKUP($A134,'Actuals Summer'!$A:$A,'Actuals Summer'!O:O,0,0)</f>
        <v>1193.2631578947369</v>
      </c>
      <c r="DL134" s="452"/>
      <c r="DM134" s="452">
        <f>_xlfn.XLOOKUP($A134,'Actuals Summer'!$A:$A,'Actuals Summer'!M:M,0,0)</f>
        <v>0</v>
      </c>
      <c r="DN134" s="453">
        <f t="shared" si="64"/>
        <v>36940.663157894742</v>
      </c>
      <c r="DO134" s="453">
        <f>_xlfn.XLOOKUP(A134,'Actuals Summer'!A:A,'Actuals Summer'!S:S,0,0)-'Summer data team '!DN134</f>
        <v>0</v>
      </c>
      <c r="DP134" s="463">
        <f t="shared" si="65"/>
        <v>0</v>
      </c>
    </row>
    <row r="135" spans="1:120" ht="13" x14ac:dyDescent="0.3">
      <c r="A135" s="364">
        <v>2447</v>
      </c>
      <c r="B135" s="364">
        <v>3302447</v>
      </c>
      <c r="C135" s="364" t="s">
        <v>333</v>
      </c>
      <c r="D135" s="506">
        <v>0</v>
      </c>
      <c r="E135" s="506">
        <v>0</v>
      </c>
      <c r="F135" s="506">
        <v>0</v>
      </c>
      <c r="G135" s="506">
        <v>22</v>
      </c>
      <c r="H135" s="506">
        <v>23</v>
      </c>
      <c r="I135" s="507">
        <v>0</v>
      </c>
      <c r="J135" s="507">
        <v>45</v>
      </c>
      <c r="K135" s="506">
        <v>0</v>
      </c>
      <c r="L135" s="506">
        <v>0</v>
      </c>
      <c r="M135" s="507">
        <v>0</v>
      </c>
      <c r="N135" s="506">
        <v>0</v>
      </c>
      <c r="O135" s="506">
        <v>0</v>
      </c>
      <c r="P135" s="506">
        <v>330</v>
      </c>
      <c r="Q135" s="506">
        <v>345</v>
      </c>
      <c r="R135" s="507">
        <v>675</v>
      </c>
      <c r="S135" s="506">
        <v>0</v>
      </c>
      <c r="T135" s="506">
        <v>0</v>
      </c>
      <c r="U135" s="506">
        <v>0</v>
      </c>
      <c r="V135" s="506">
        <v>0</v>
      </c>
      <c r="W135" s="507">
        <v>0</v>
      </c>
      <c r="X135" s="506">
        <v>20</v>
      </c>
      <c r="Y135" s="506">
        <v>300</v>
      </c>
      <c r="Z135" s="508">
        <v>0</v>
      </c>
      <c r="AA135" s="506">
        <v>7</v>
      </c>
      <c r="AB135" s="506">
        <v>105</v>
      </c>
      <c r="AC135" s="508">
        <v>0</v>
      </c>
      <c r="AD135" s="506">
        <v>9</v>
      </c>
      <c r="AE135" s="506">
        <v>135</v>
      </c>
      <c r="AF135" s="508">
        <v>0</v>
      </c>
      <c r="AG135" s="509">
        <v>0</v>
      </c>
      <c r="AH135" s="509">
        <v>0</v>
      </c>
      <c r="AI135" s="508">
        <v>0</v>
      </c>
      <c r="AJ135" s="509">
        <v>29</v>
      </c>
      <c r="AK135" s="509">
        <v>435</v>
      </c>
      <c r="AL135" s="508">
        <v>0</v>
      </c>
      <c r="AM135" s="506">
        <v>29</v>
      </c>
      <c r="AN135" s="506">
        <v>435</v>
      </c>
      <c r="AO135" s="508">
        <v>0</v>
      </c>
      <c r="AP135" s="508"/>
      <c r="AQ135" s="508">
        <f t="shared" si="66"/>
        <v>29</v>
      </c>
      <c r="AR135" s="509">
        <v>0</v>
      </c>
      <c r="AS135" s="509">
        <v>0</v>
      </c>
      <c r="AT135" s="508">
        <v>0</v>
      </c>
      <c r="AU135" s="509">
        <v>29</v>
      </c>
      <c r="AV135" s="509">
        <v>435</v>
      </c>
      <c r="AW135" s="508">
        <v>0</v>
      </c>
      <c r="AX135" s="506">
        <v>29</v>
      </c>
      <c r="AY135" s="506">
        <v>435</v>
      </c>
      <c r="AZ135" s="508">
        <v>0</v>
      </c>
      <c r="BA135" s="508"/>
      <c r="BB135" s="508">
        <f t="shared" si="67"/>
        <v>58</v>
      </c>
      <c r="BC135" s="509">
        <v>0</v>
      </c>
      <c r="BD135" s="509">
        <v>0</v>
      </c>
      <c r="BE135" s="506">
        <v>0</v>
      </c>
      <c r="BF135" s="200"/>
      <c r="BG135" s="200"/>
      <c r="BH135" s="200"/>
      <c r="BI135" s="200"/>
      <c r="BJ135" s="200"/>
      <c r="BK135" s="200"/>
      <c r="BL135" s="200"/>
      <c r="BM135" s="505">
        <f t="shared" si="68"/>
        <v>0</v>
      </c>
      <c r="BN135" s="200">
        <f t="shared" si="69"/>
        <v>0</v>
      </c>
      <c r="BO135" s="200">
        <f t="shared" si="62"/>
        <v>0</v>
      </c>
      <c r="BP135" s="200">
        <f t="shared" si="70"/>
        <v>8775</v>
      </c>
      <c r="BQ135" s="200">
        <f t="shared" si="71"/>
        <v>0</v>
      </c>
      <c r="BR135" s="200">
        <f t="shared" si="72"/>
        <v>3900</v>
      </c>
      <c r="BS135" s="200">
        <f t="shared" si="73"/>
        <v>1365</v>
      </c>
      <c r="BT135" s="200">
        <f t="shared" si="74"/>
        <v>1755</v>
      </c>
      <c r="BU135" s="200">
        <f t="shared" si="75"/>
        <v>5655</v>
      </c>
      <c r="BV135" s="200">
        <v>29</v>
      </c>
      <c r="BW135" s="200">
        <v>0</v>
      </c>
      <c r="BX135" s="200">
        <f t="shared" si="76"/>
        <v>0</v>
      </c>
      <c r="CB135" s="381">
        <f>_xlfn.IFNA(VLOOKUP(A135,'Actuals Summer'!$A:$AG,23,FALSE),0)</f>
        <v>8775</v>
      </c>
      <c r="CC135" s="381">
        <f>_xlfn.IFNA(VLOOKUP(A135,'Actuals Summer'!$A:$AG,24,FALSE),0)</f>
        <v>0</v>
      </c>
      <c r="CD135" s="381">
        <f>_xlfn.IFNA(VLOOKUP(A135,'Actuals Summer'!$A:$AG,25,FALSE),0)</f>
        <v>0</v>
      </c>
      <c r="CE135" s="381">
        <f>_xlfn.IFNA(VLOOKUP(A135,'Actuals Summer'!$A:$AG,26,FALSE),0)</f>
        <v>0</v>
      </c>
      <c r="CF135" s="381">
        <f>_xlfn.IFNA(VLOOKUP(A135,'Actuals Summer'!$A:$AG,27,FALSE),0)</f>
        <v>0</v>
      </c>
      <c r="CG135" s="381">
        <f>_xlfn.IFNA(VLOOKUP(A135,'Actuals Dep Summer'!B:O,6,FALSE)*$BN$3,0)</f>
        <v>3900</v>
      </c>
      <c r="CH135" s="381">
        <f>_xlfn.IFNA(VLOOKUP(A135,'Actuals Dep Summer'!B:O,7,FALSE)*$BN$3,0)</f>
        <v>1365</v>
      </c>
      <c r="CI135" s="381">
        <f>_xlfn.IFNA(VLOOKUP(A135,'Actuals Dep Summer'!B:O,8,FALSE)*$BN$3,0)</f>
        <v>1755</v>
      </c>
      <c r="CJ135" s="381">
        <f>_xlfn.IFNA(VLOOKUP(A135,'Actuals Summer'!$A:$AG,31,FALSE),0)*$BN$3</f>
        <v>376.79259123418296</v>
      </c>
      <c r="CK135" s="381"/>
      <c r="CL135" s="381">
        <f>_xlfn.IFNA(VLOOKUP(A135,'Actuals Summer'!$A:$AG,32,FALSE),0)*$BN$3</f>
        <v>73515</v>
      </c>
      <c r="CM135" s="381">
        <f>_xlfn.IFNA(VLOOKUP(A135,'Actuals Summer'!$A:$AG,33,FALSE),0)</f>
        <v>0</v>
      </c>
      <c r="CP135" s="458">
        <f t="shared" si="77"/>
        <v>0</v>
      </c>
      <c r="CQ135" s="458">
        <f t="shared" si="78"/>
        <v>0</v>
      </c>
      <c r="CR135" s="458">
        <f t="shared" si="63"/>
        <v>0</v>
      </c>
      <c r="CS135" s="458">
        <f t="shared" si="79"/>
        <v>49666.5</v>
      </c>
      <c r="CT135" s="458">
        <f t="shared" si="80"/>
        <v>0</v>
      </c>
      <c r="CU135" s="458">
        <f t="shared" si="81"/>
        <v>2379</v>
      </c>
      <c r="CV135" s="458">
        <f t="shared" si="82"/>
        <v>395.84999999999997</v>
      </c>
      <c r="CW135" s="458">
        <f t="shared" si="83"/>
        <v>140.4</v>
      </c>
      <c r="CX135" s="458">
        <f t="shared" si="84"/>
        <v>5655</v>
      </c>
      <c r="CY135" s="458">
        <f t="shared" si="85"/>
        <v>2162.7894736842104</v>
      </c>
      <c r="CZ135" s="458">
        <f t="shared" si="86"/>
        <v>0</v>
      </c>
      <c r="DA135" s="458">
        <f t="shared" si="87"/>
        <v>0</v>
      </c>
      <c r="DB135" s="458">
        <f t="shared" si="88"/>
        <v>60399.539473684214</v>
      </c>
      <c r="DC135" s="452">
        <f>_xlfn.XLOOKUP($A135,'Actuals Summer'!$A:$A,'Actuals Summer'!L:L,0,0)</f>
        <v>0</v>
      </c>
      <c r="DD135" s="452">
        <f>_xlfn.XLOOKUP($A135,'Actuals Summer'!$A:$A,'Actuals Summer'!K:K,0,0)+_xlfn.XLOOKUP($A135,'Actuals Summer'!$A:$A,'Actuals Summer'!Q:Q,0,0)</f>
        <v>0</v>
      </c>
      <c r="DE135" s="452">
        <f>_xlfn.XLOOKUP($A135,'Actuals Summer'!$A:$A,'Actuals Summer'!I:I,0,0)+_xlfn.XLOOKUP($A135,'Actuals Summer'!$A:$A,'Actuals Summer'!R:R,0,0)</f>
        <v>49666.5</v>
      </c>
      <c r="DF135" s="452">
        <f>_xlfn.XLOOKUP($A135,'Actuals Summer'!$A:$A,'Actuals Summer'!J:J,0,0)</f>
        <v>0</v>
      </c>
      <c r="DG135" s="452">
        <f>_xlfn.XLOOKUP($A135,'Actuals Dep Summer'!$B:$B,'Actuals Dep Summer'!G:G,0,0)*'Actuals Dep Summer'!$F$2*'Actuals Dep Summer'!$C$2</f>
        <v>2379</v>
      </c>
      <c r="DH135" s="452">
        <f>_xlfn.XLOOKUP($A135,'Actuals Dep Summer'!$B:$B,'Actuals Dep Summer'!H:H,0,0)*'Actuals Dep Summer'!$F$2*'Actuals Dep Summer'!$C$3</f>
        <v>395.84999999999997</v>
      </c>
      <c r="DI135" s="452">
        <f>_xlfn.XLOOKUP($A135,'Actuals Dep Summer'!$B:$B,'Actuals Dep Summer'!I:I,0,0)*'Actuals Dep Summer'!$F$2*'Actuals Dep Summer'!$C$4</f>
        <v>140.4</v>
      </c>
      <c r="DJ135" s="452">
        <f>_xlfn.XLOOKUP($A135,'Actuals Summer'!$A:$A,'Actuals Summer'!P:P,0,0)</f>
        <v>5655</v>
      </c>
      <c r="DK135" s="452">
        <f>_xlfn.XLOOKUP($A135,'Actuals Summer'!$A:$A,'Actuals Summer'!O:O,0,0)</f>
        <v>2162.7894736842104</v>
      </c>
      <c r="DL135" s="452"/>
      <c r="DM135" s="452">
        <f>_xlfn.XLOOKUP($A135,'Actuals Summer'!$A:$A,'Actuals Summer'!M:M,0,0)</f>
        <v>0</v>
      </c>
      <c r="DN135" s="453">
        <f t="shared" si="64"/>
        <v>60399.539473684214</v>
      </c>
      <c r="DO135" s="453">
        <f>_xlfn.XLOOKUP(A135,'Actuals Summer'!A:A,'Actuals Summer'!S:S,0,0)-'Summer data team '!DN135</f>
        <v>0</v>
      </c>
      <c r="DP135" s="463">
        <f t="shared" si="65"/>
        <v>0</v>
      </c>
    </row>
    <row r="136" spans="1:120" ht="13" x14ac:dyDescent="0.3">
      <c r="A136" s="364">
        <v>2449</v>
      </c>
      <c r="B136" s="364">
        <v>3302449</v>
      </c>
      <c r="C136" s="364" t="s">
        <v>334</v>
      </c>
      <c r="D136" s="506">
        <v>0</v>
      </c>
      <c r="E136" s="506">
        <v>0</v>
      </c>
      <c r="F136" s="506">
        <v>0</v>
      </c>
      <c r="G136" s="506">
        <v>18</v>
      </c>
      <c r="H136" s="506">
        <v>20</v>
      </c>
      <c r="I136" s="507">
        <v>0</v>
      </c>
      <c r="J136" s="507">
        <v>38</v>
      </c>
      <c r="K136" s="506">
        <v>2</v>
      </c>
      <c r="L136" s="506">
        <v>1</v>
      </c>
      <c r="M136" s="507">
        <v>3</v>
      </c>
      <c r="N136" s="506">
        <v>0</v>
      </c>
      <c r="O136" s="506">
        <v>0</v>
      </c>
      <c r="P136" s="506">
        <v>270</v>
      </c>
      <c r="Q136" s="506">
        <v>300</v>
      </c>
      <c r="R136" s="507">
        <v>570</v>
      </c>
      <c r="S136" s="506">
        <v>0</v>
      </c>
      <c r="T136" s="506">
        <v>0</v>
      </c>
      <c r="U136" s="506">
        <v>30</v>
      </c>
      <c r="V136" s="506">
        <v>15</v>
      </c>
      <c r="W136" s="507">
        <v>45</v>
      </c>
      <c r="X136" s="506">
        <v>23</v>
      </c>
      <c r="Y136" s="506">
        <v>345</v>
      </c>
      <c r="Z136" s="508">
        <v>30</v>
      </c>
      <c r="AA136" s="506">
        <v>7</v>
      </c>
      <c r="AB136" s="506">
        <v>105</v>
      </c>
      <c r="AC136" s="508">
        <v>15</v>
      </c>
      <c r="AD136" s="506">
        <v>6</v>
      </c>
      <c r="AE136" s="506">
        <v>90</v>
      </c>
      <c r="AF136" s="508">
        <v>0</v>
      </c>
      <c r="AG136" s="509">
        <v>0</v>
      </c>
      <c r="AH136" s="509">
        <v>0</v>
      </c>
      <c r="AI136" s="508">
        <v>0</v>
      </c>
      <c r="AJ136" s="509">
        <v>23</v>
      </c>
      <c r="AK136" s="509">
        <v>345</v>
      </c>
      <c r="AL136" s="508">
        <v>0</v>
      </c>
      <c r="AM136" s="506">
        <v>23</v>
      </c>
      <c r="AN136" s="506">
        <v>345</v>
      </c>
      <c r="AO136" s="508">
        <v>0</v>
      </c>
      <c r="AP136" s="508"/>
      <c r="AQ136" s="508">
        <f t="shared" si="66"/>
        <v>23</v>
      </c>
      <c r="AR136" s="509">
        <v>0</v>
      </c>
      <c r="AS136" s="509">
        <v>0</v>
      </c>
      <c r="AT136" s="508">
        <v>0</v>
      </c>
      <c r="AU136" s="509">
        <v>23</v>
      </c>
      <c r="AV136" s="509">
        <v>345</v>
      </c>
      <c r="AW136" s="508">
        <v>0</v>
      </c>
      <c r="AX136" s="506">
        <v>23</v>
      </c>
      <c r="AY136" s="506">
        <v>345</v>
      </c>
      <c r="AZ136" s="508">
        <v>0</v>
      </c>
      <c r="BA136" s="508"/>
      <c r="BB136" s="508">
        <f t="shared" si="67"/>
        <v>46</v>
      </c>
      <c r="BC136" s="509">
        <v>0</v>
      </c>
      <c r="BD136" s="509">
        <v>0</v>
      </c>
      <c r="BE136" s="506">
        <v>0</v>
      </c>
      <c r="BF136" s="200"/>
      <c r="BG136" s="200"/>
      <c r="BH136" s="200"/>
      <c r="BI136" s="200"/>
      <c r="BJ136" s="200"/>
      <c r="BK136" s="200"/>
      <c r="BL136" s="200"/>
      <c r="BM136" s="505">
        <f t="shared" si="68"/>
        <v>0</v>
      </c>
      <c r="BN136" s="200">
        <f t="shared" si="69"/>
        <v>0</v>
      </c>
      <c r="BO136" s="200">
        <f t="shared" si="62"/>
        <v>0</v>
      </c>
      <c r="BP136" s="200">
        <f t="shared" si="70"/>
        <v>7410</v>
      </c>
      <c r="BQ136" s="200">
        <f t="shared" si="71"/>
        <v>585</v>
      </c>
      <c r="BR136" s="200">
        <f t="shared" si="72"/>
        <v>4875</v>
      </c>
      <c r="BS136" s="200">
        <f t="shared" si="73"/>
        <v>1560</v>
      </c>
      <c r="BT136" s="200">
        <f t="shared" si="74"/>
        <v>1170</v>
      </c>
      <c r="BU136" s="200">
        <f t="shared" si="75"/>
        <v>4485</v>
      </c>
      <c r="BV136" s="200">
        <v>23</v>
      </c>
      <c r="BW136" s="200">
        <v>0</v>
      </c>
      <c r="BX136" s="200">
        <f t="shared" si="76"/>
        <v>0</v>
      </c>
      <c r="CB136" s="381">
        <f>_xlfn.IFNA(VLOOKUP(A136,'Actuals Summer'!$A:$AG,23,FALSE),0)</f>
        <v>7410</v>
      </c>
      <c r="CC136" s="381">
        <f>_xlfn.IFNA(VLOOKUP(A136,'Actuals Summer'!$A:$AG,24,FALSE),0)</f>
        <v>585</v>
      </c>
      <c r="CD136" s="381">
        <f>_xlfn.IFNA(VLOOKUP(A136,'Actuals Summer'!$A:$AG,25,FALSE),0)</f>
        <v>0</v>
      </c>
      <c r="CE136" s="381">
        <f>_xlfn.IFNA(VLOOKUP(A136,'Actuals Summer'!$A:$AG,26,FALSE),0)</f>
        <v>0</v>
      </c>
      <c r="CF136" s="381">
        <f>_xlfn.IFNA(VLOOKUP(A136,'Actuals Summer'!$A:$AG,27,FALSE),0)</f>
        <v>0</v>
      </c>
      <c r="CG136" s="381">
        <f>_xlfn.IFNA(VLOOKUP(A136,'Actuals Dep Summer'!B:O,6,FALSE)*$BN$3,0)</f>
        <v>4485</v>
      </c>
      <c r="CH136" s="381">
        <f>_xlfn.IFNA(VLOOKUP(A136,'Actuals Dep Summer'!B:O,7,FALSE)*$BN$3,0)</f>
        <v>1365</v>
      </c>
      <c r="CI136" s="381">
        <f>_xlfn.IFNA(VLOOKUP(A136,'Actuals Dep Summer'!B:O,8,FALSE)*$BN$3,0)</f>
        <v>1170</v>
      </c>
      <c r="CJ136" s="381">
        <f>_xlfn.IFNA(VLOOKUP(A136,'Actuals Summer'!$A:$AG,31,FALSE),0)*$BN$3</f>
        <v>298.83550339262791</v>
      </c>
      <c r="CK136" s="381"/>
      <c r="CL136" s="381">
        <f>_xlfn.IFNA(VLOOKUP(A136,'Actuals Summer'!$A:$AG,32,FALSE),0)*$BN$3</f>
        <v>58305</v>
      </c>
      <c r="CM136" s="381">
        <f>_xlfn.IFNA(VLOOKUP(A136,'Actuals Summer'!$A:$AG,33,FALSE),0)</f>
        <v>0</v>
      </c>
      <c r="CP136" s="458">
        <f t="shared" si="77"/>
        <v>0</v>
      </c>
      <c r="CQ136" s="458">
        <f t="shared" si="78"/>
        <v>0</v>
      </c>
      <c r="CR136" s="458">
        <f t="shared" si="63"/>
        <v>0</v>
      </c>
      <c r="CS136" s="458">
        <f t="shared" si="79"/>
        <v>41940.6</v>
      </c>
      <c r="CT136" s="458">
        <f t="shared" si="80"/>
        <v>3311.1</v>
      </c>
      <c r="CU136" s="458">
        <f t="shared" si="81"/>
        <v>2973.75</v>
      </c>
      <c r="CV136" s="458">
        <f t="shared" si="82"/>
        <v>452.4</v>
      </c>
      <c r="CW136" s="458">
        <f t="shared" si="83"/>
        <v>93.600000000000009</v>
      </c>
      <c r="CX136" s="458">
        <f t="shared" si="84"/>
        <v>4485</v>
      </c>
      <c r="CY136" s="458">
        <f t="shared" si="85"/>
        <v>1715.3157894736842</v>
      </c>
      <c r="CZ136" s="458">
        <f t="shared" si="86"/>
        <v>0</v>
      </c>
      <c r="DA136" s="458">
        <f t="shared" si="87"/>
        <v>0</v>
      </c>
      <c r="DB136" s="458">
        <f t="shared" si="88"/>
        <v>54971.765789473684</v>
      </c>
      <c r="DC136" s="452">
        <f>_xlfn.XLOOKUP($A136,'Actuals Summer'!$A:$A,'Actuals Summer'!L:L,0,0)</f>
        <v>0</v>
      </c>
      <c r="DD136" s="452">
        <f>_xlfn.XLOOKUP($A136,'Actuals Summer'!$A:$A,'Actuals Summer'!K:K,0,0)+_xlfn.XLOOKUP($A136,'Actuals Summer'!$A:$A,'Actuals Summer'!Q:Q,0,0)</f>
        <v>0</v>
      </c>
      <c r="DE136" s="452">
        <f>_xlfn.XLOOKUP($A136,'Actuals Summer'!$A:$A,'Actuals Summer'!I:I,0,0)+_xlfn.XLOOKUP($A136,'Actuals Summer'!$A:$A,'Actuals Summer'!R:R,0,0)</f>
        <v>41940.6</v>
      </c>
      <c r="DF136" s="452">
        <f>_xlfn.XLOOKUP($A136,'Actuals Summer'!$A:$A,'Actuals Summer'!J:J,0,0)</f>
        <v>3311.1</v>
      </c>
      <c r="DG136" s="452">
        <f>_xlfn.XLOOKUP($A136,'Actuals Dep Summer'!$B:$B,'Actuals Dep Summer'!G:G,0,0)*'Actuals Dep Summer'!$F$2*'Actuals Dep Summer'!$C$2</f>
        <v>2735.85</v>
      </c>
      <c r="DH136" s="452">
        <f>_xlfn.XLOOKUP($A136,'Actuals Dep Summer'!$B:$B,'Actuals Dep Summer'!H:H,0,0)*'Actuals Dep Summer'!$F$2*'Actuals Dep Summer'!$C$3</f>
        <v>395.84999999999997</v>
      </c>
      <c r="DI136" s="452">
        <f>_xlfn.XLOOKUP($A136,'Actuals Dep Summer'!$B:$B,'Actuals Dep Summer'!I:I,0,0)*'Actuals Dep Summer'!$F$2*'Actuals Dep Summer'!$C$4</f>
        <v>93.600000000000009</v>
      </c>
      <c r="DJ136" s="452">
        <f>_xlfn.XLOOKUP($A136,'Actuals Summer'!$A:$A,'Actuals Summer'!P:P,0,0)</f>
        <v>4485</v>
      </c>
      <c r="DK136" s="452">
        <f>_xlfn.XLOOKUP($A136,'Actuals Summer'!$A:$A,'Actuals Summer'!O:O,0,0)</f>
        <v>1715.3157894736842</v>
      </c>
      <c r="DL136" s="452"/>
      <c r="DM136" s="452">
        <f>_xlfn.XLOOKUP($A136,'Actuals Summer'!$A:$A,'Actuals Summer'!M:M,0,0)</f>
        <v>0</v>
      </c>
      <c r="DN136" s="453">
        <f t="shared" si="64"/>
        <v>54677.31578947368</v>
      </c>
      <c r="DO136" s="453">
        <f>_xlfn.XLOOKUP(A136,'Actuals Summer'!A:A,'Actuals Summer'!S:S,0,0)-'Summer data team '!DN136</f>
        <v>0</v>
      </c>
      <c r="DP136" s="463">
        <f t="shared" si="65"/>
        <v>294.45000000000437</v>
      </c>
    </row>
    <row r="137" spans="1:120" ht="13" x14ac:dyDescent="0.3">
      <c r="A137" s="364">
        <v>2450</v>
      </c>
      <c r="B137" s="364">
        <v>3302450</v>
      </c>
      <c r="C137" s="364" t="s">
        <v>335</v>
      </c>
      <c r="D137" s="506">
        <v>0</v>
      </c>
      <c r="E137" s="506">
        <v>0</v>
      </c>
      <c r="F137" s="506">
        <v>0</v>
      </c>
      <c r="G137" s="506">
        <v>15</v>
      </c>
      <c r="H137" s="506">
        <v>14</v>
      </c>
      <c r="I137" s="507">
        <v>0</v>
      </c>
      <c r="J137" s="507">
        <v>29</v>
      </c>
      <c r="K137" s="506">
        <v>9</v>
      </c>
      <c r="L137" s="506">
        <v>8</v>
      </c>
      <c r="M137" s="507">
        <v>17</v>
      </c>
      <c r="N137" s="506">
        <v>0</v>
      </c>
      <c r="O137" s="506">
        <v>0</v>
      </c>
      <c r="P137" s="506">
        <v>225</v>
      </c>
      <c r="Q137" s="506">
        <v>210</v>
      </c>
      <c r="R137" s="507">
        <v>435</v>
      </c>
      <c r="S137" s="506">
        <v>0</v>
      </c>
      <c r="T137" s="506">
        <v>0</v>
      </c>
      <c r="U137" s="506">
        <v>135</v>
      </c>
      <c r="V137" s="506">
        <v>120</v>
      </c>
      <c r="W137" s="507">
        <v>255</v>
      </c>
      <c r="X137" s="506">
        <v>0</v>
      </c>
      <c r="Y137" s="506">
        <v>0</v>
      </c>
      <c r="Z137" s="508">
        <v>0</v>
      </c>
      <c r="AA137" s="506">
        <v>1</v>
      </c>
      <c r="AB137" s="506">
        <v>15</v>
      </c>
      <c r="AC137" s="508">
        <v>15</v>
      </c>
      <c r="AD137" s="506">
        <v>1</v>
      </c>
      <c r="AE137" s="506">
        <v>15</v>
      </c>
      <c r="AF137" s="508">
        <v>15</v>
      </c>
      <c r="AG137" s="509">
        <v>0</v>
      </c>
      <c r="AH137" s="509">
        <v>0</v>
      </c>
      <c r="AI137" s="508">
        <v>0</v>
      </c>
      <c r="AJ137" s="509">
        <v>3</v>
      </c>
      <c r="AK137" s="509">
        <v>45</v>
      </c>
      <c r="AL137" s="508">
        <v>15</v>
      </c>
      <c r="AM137" s="506">
        <v>3</v>
      </c>
      <c r="AN137" s="506">
        <v>45</v>
      </c>
      <c r="AO137" s="508">
        <v>15</v>
      </c>
      <c r="AP137" s="508"/>
      <c r="AQ137" s="508">
        <f t="shared" si="66"/>
        <v>3</v>
      </c>
      <c r="AR137" s="509">
        <v>0</v>
      </c>
      <c r="AS137" s="509">
        <v>0</v>
      </c>
      <c r="AT137" s="508">
        <v>0</v>
      </c>
      <c r="AU137" s="509">
        <v>3</v>
      </c>
      <c r="AV137" s="509">
        <v>45</v>
      </c>
      <c r="AW137" s="508">
        <v>15</v>
      </c>
      <c r="AX137" s="506">
        <v>3</v>
      </c>
      <c r="AY137" s="506">
        <v>45</v>
      </c>
      <c r="AZ137" s="508">
        <v>15</v>
      </c>
      <c r="BA137" s="508"/>
      <c r="BB137" s="508">
        <f t="shared" si="67"/>
        <v>6</v>
      </c>
      <c r="BC137" s="509">
        <v>0</v>
      </c>
      <c r="BD137" s="509">
        <v>0</v>
      </c>
      <c r="BE137" s="506">
        <v>0</v>
      </c>
      <c r="BF137" s="200"/>
      <c r="BG137" s="200"/>
      <c r="BH137" s="200"/>
      <c r="BI137" s="200"/>
      <c r="BJ137" s="200"/>
      <c r="BK137" s="200"/>
      <c r="BL137" s="200"/>
      <c r="BM137" s="505">
        <f t="shared" si="68"/>
        <v>0</v>
      </c>
      <c r="BN137" s="200">
        <f t="shared" si="69"/>
        <v>0</v>
      </c>
      <c r="BO137" s="200">
        <f t="shared" si="62"/>
        <v>0</v>
      </c>
      <c r="BP137" s="200">
        <f t="shared" si="70"/>
        <v>5655</v>
      </c>
      <c r="BQ137" s="200">
        <f t="shared" si="71"/>
        <v>3315</v>
      </c>
      <c r="BR137" s="200">
        <f t="shared" si="72"/>
        <v>0</v>
      </c>
      <c r="BS137" s="200">
        <f t="shared" si="73"/>
        <v>390</v>
      </c>
      <c r="BT137" s="200">
        <f t="shared" si="74"/>
        <v>390</v>
      </c>
      <c r="BU137" s="200">
        <f t="shared" si="75"/>
        <v>585</v>
      </c>
      <c r="BV137" s="200">
        <v>2</v>
      </c>
      <c r="BW137" s="200">
        <v>1</v>
      </c>
      <c r="BX137" s="200">
        <f t="shared" si="76"/>
        <v>0</v>
      </c>
      <c r="CB137" s="381">
        <f>_xlfn.IFNA(VLOOKUP(A137,'Actuals Summer'!$A:$AG,23,FALSE),0)</f>
        <v>5655</v>
      </c>
      <c r="CC137" s="381">
        <f>_xlfn.IFNA(VLOOKUP(A137,'Actuals Summer'!$A:$AG,24,FALSE),0)</f>
        <v>3315</v>
      </c>
      <c r="CD137" s="381">
        <f>_xlfn.IFNA(VLOOKUP(A137,'Actuals Summer'!$A:$AG,25,FALSE),0)</f>
        <v>0</v>
      </c>
      <c r="CE137" s="381">
        <f>_xlfn.IFNA(VLOOKUP(A137,'Actuals Summer'!$A:$AG,26,FALSE),0)</f>
        <v>0</v>
      </c>
      <c r="CF137" s="381">
        <f>_xlfn.IFNA(VLOOKUP(A137,'Actuals Summer'!$A:$AG,27,FALSE),0)</f>
        <v>0</v>
      </c>
      <c r="CG137" s="381">
        <f>_xlfn.IFNA(VLOOKUP(A137,'Actuals Dep Summer'!B:O,6,FALSE)*$BN$3,0)</f>
        <v>0</v>
      </c>
      <c r="CH137" s="381">
        <f>_xlfn.IFNA(VLOOKUP(A137,'Actuals Dep Summer'!B:O,7,FALSE)*$BN$3,0)</f>
        <v>195</v>
      </c>
      <c r="CI137" s="381">
        <f>_xlfn.IFNA(VLOOKUP(A137,'Actuals Dep Summer'!B:O,8,FALSE)*$BN$3,0)</f>
        <v>195</v>
      </c>
      <c r="CJ137" s="381">
        <f>_xlfn.IFNA(VLOOKUP(A137,'Actuals Summer'!$A:$AG,31,FALSE),0)*$BN$3</f>
        <v>38.978543920777561</v>
      </c>
      <c r="CK137" s="381"/>
      <c r="CL137" s="381">
        <f>_xlfn.IFNA(VLOOKUP(A137,'Actuals Summer'!$A:$AG,32,FALSE),0)*$BN$3</f>
        <v>7605</v>
      </c>
      <c r="CM137" s="381">
        <f>_xlfn.IFNA(VLOOKUP(A137,'Actuals Summer'!$A:$AG,33,FALSE),0)</f>
        <v>0</v>
      </c>
      <c r="CP137" s="458">
        <f t="shared" si="77"/>
        <v>0</v>
      </c>
      <c r="CQ137" s="458">
        <f t="shared" si="78"/>
        <v>0</v>
      </c>
      <c r="CR137" s="458">
        <f t="shared" si="63"/>
        <v>0</v>
      </c>
      <c r="CS137" s="458">
        <f t="shared" si="79"/>
        <v>32007.3</v>
      </c>
      <c r="CT137" s="458">
        <f t="shared" si="80"/>
        <v>18762.900000000001</v>
      </c>
      <c r="CU137" s="458">
        <f t="shared" si="81"/>
        <v>0</v>
      </c>
      <c r="CV137" s="458">
        <f t="shared" si="82"/>
        <v>113.1</v>
      </c>
      <c r="CW137" s="458">
        <f t="shared" si="83"/>
        <v>31.2</v>
      </c>
      <c r="CX137" s="458">
        <f t="shared" si="84"/>
        <v>585</v>
      </c>
      <c r="CY137" s="458">
        <f t="shared" si="85"/>
        <v>149.15789473684208</v>
      </c>
      <c r="CZ137" s="458">
        <f t="shared" si="86"/>
        <v>186.44736842105263</v>
      </c>
      <c r="DA137" s="458">
        <f t="shared" si="87"/>
        <v>0</v>
      </c>
      <c r="DB137" s="458">
        <f t="shared" si="88"/>
        <v>51835.105263157886</v>
      </c>
      <c r="DC137" s="452">
        <f>_xlfn.XLOOKUP($A137,'Actuals Summer'!$A:$A,'Actuals Summer'!L:L,0,0)</f>
        <v>0</v>
      </c>
      <c r="DD137" s="452">
        <f>_xlfn.XLOOKUP($A137,'Actuals Summer'!$A:$A,'Actuals Summer'!K:K,0,0)+_xlfn.XLOOKUP($A137,'Actuals Summer'!$A:$A,'Actuals Summer'!Q:Q,0,0)</f>
        <v>0</v>
      </c>
      <c r="DE137" s="452">
        <f>_xlfn.XLOOKUP($A137,'Actuals Summer'!$A:$A,'Actuals Summer'!I:I,0,0)+_xlfn.XLOOKUP($A137,'Actuals Summer'!$A:$A,'Actuals Summer'!R:R,0,0)</f>
        <v>32007.3</v>
      </c>
      <c r="DF137" s="452">
        <f>_xlfn.XLOOKUP($A137,'Actuals Summer'!$A:$A,'Actuals Summer'!J:J,0,0)</f>
        <v>18762.900000000001</v>
      </c>
      <c r="DG137" s="452">
        <f>_xlfn.XLOOKUP($A137,'Actuals Dep Summer'!$B:$B,'Actuals Dep Summer'!G:G,0,0)*'Actuals Dep Summer'!$F$2*'Actuals Dep Summer'!$C$2</f>
        <v>0</v>
      </c>
      <c r="DH137" s="452">
        <f>_xlfn.XLOOKUP($A137,'Actuals Dep Summer'!$B:$B,'Actuals Dep Summer'!H:H,0,0)*'Actuals Dep Summer'!$F$2*'Actuals Dep Summer'!$C$3</f>
        <v>56.55</v>
      </c>
      <c r="DI137" s="452">
        <f>_xlfn.XLOOKUP($A137,'Actuals Dep Summer'!$B:$B,'Actuals Dep Summer'!I:I,0,0)*'Actuals Dep Summer'!$F$2*'Actuals Dep Summer'!$C$4</f>
        <v>15.6</v>
      </c>
      <c r="DJ137" s="452">
        <f>_xlfn.XLOOKUP($A137,'Actuals Summer'!$A:$A,'Actuals Summer'!P:P,0,0)</f>
        <v>585</v>
      </c>
      <c r="DK137" s="452">
        <f>_xlfn.XLOOKUP($A137,'Actuals Summer'!$A:$A,'Actuals Summer'!O:O,0,0)</f>
        <v>223.73684210526318</v>
      </c>
      <c r="DL137" s="452"/>
      <c r="DM137" s="452">
        <f>_xlfn.XLOOKUP($A137,'Actuals Summer'!$A:$A,'Actuals Summer'!M:M,0,0)</f>
        <v>0</v>
      </c>
      <c r="DN137" s="453">
        <f t="shared" si="64"/>
        <v>51651.086842105258</v>
      </c>
      <c r="DO137" s="453">
        <f>_xlfn.XLOOKUP(A137,'Actuals Summer'!A:A,'Actuals Summer'!S:S,0,0)-'Summer data team '!DN137</f>
        <v>0</v>
      </c>
      <c r="DP137" s="463">
        <f t="shared" si="65"/>
        <v>184.01842105262767</v>
      </c>
    </row>
    <row r="138" spans="1:120" ht="13" x14ac:dyDescent="0.3">
      <c r="A138" s="364">
        <v>2453</v>
      </c>
      <c r="B138" s="364">
        <v>3302453</v>
      </c>
      <c r="C138" s="364" t="s">
        <v>336</v>
      </c>
      <c r="D138" s="506">
        <v>0</v>
      </c>
      <c r="E138" s="506">
        <v>0</v>
      </c>
      <c r="F138" s="506">
        <v>0</v>
      </c>
      <c r="G138" s="506">
        <v>15</v>
      </c>
      <c r="H138" s="506">
        <v>11</v>
      </c>
      <c r="I138" s="507">
        <v>0</v>
      </c>
      <c r="J138" s="507">
        <v>26</v>
      </c>
      <c r="K138" s="506">
        <v>0</v>
      </c>
      <c r="L138" s="506">
        <v>0</v>
      </c>
      <c r="M138" s="507">
        <v>0</v>
      </c>
      <c r="N138" s="506">
        <v>0</v>
      </c>
      <c r="O138" s="506">
        <v>0</v>
      </c>
      <c r="P138" s="506">
        <v>225</v>
      </c>
      <c r="Q138" s="506">
        <v>165</v>
      </c>
      <c r="R138" s="507">
        <v>390</v>
      </c>
      <c r="S138" s="506">
        <v>0</v>
      </c>
      <c r="T138" s="506">
        <v>0</v>
      </c>
      <c r="U138" s="506">
        <v>0</v>
      </c>
      <c r="V138" s="506">
        <v>0</v>
      </c>
      <c r="W138" s="507">
        <v>0</v>
      </c>
      <c r="X138" s="506">
        <v>4</v>
      </c>
      <c r="Y138" s="506">
        <v>60</v>
      </c>
      <c r="Z138" s="508">
        <v>0</v>
      </c>
      <c r="AA138" s="506">
        <v>4</v>
      </c>
      <c r="AB138" s="506">
        <v>60</v>
      </c>
      <c r="AC138" s="508">
        <v>0</v>
      </c>
      <c r="AD138" s="506">
        <v>16</v>
      </c>
      <c r="AE138" s="506">
        <v>240</v>
      </c>
      <c r="AF138" s="508">
        <v>0</v>
      </c>
      <c r="AG138" s="509">
        <v>0</v>
      </c>
      <c r="AH138" s="509">
        <v>0</v>
      </c>
      <c r="AI138" s="508">
        <v>0</v>
      </c>
      <c r="AJ138" s="509">
        <v>2</v>
      </c>
      <c r="AK138" s="509">
        <v>30</v>
      </c>
      <c r="AL138" s="508">
        <v>0</v>
      </c>
      <c r="AM138" s="506">
        <v>2</v>
      </c>
      <c r="AN138" s="506">
        <v>30</v>
      </c>
      <c r="AO138" s="508">
        <v>0</v>
      </c>
      <c r="AP138" s="508"/>
      <c r="AQ138" s="508">
        <f t="shared" si="66"/>
        <v>2</v>
      </c>
      <c r="AR138" s="509">
        <v>0</v>
      </c>
      <c r="AS138" s="509">
        <v>0</v>
      </c>
      <c r="AT138" s="508">
        <v>0</v>
      </c>
      <c r="AU138" s="509">
        <v>2</v>
      </c>
      <c r="AV138" s="509">
        <v>30</v>
      </c>
      <c r="AW138" s="508">
        <v>0</v>
      </c>
      <c r="AX138" s="506">
        <v>2</v>
      </c>
      <c r="AY138" s="506">
        <v>30</v>
      </c>
      <c r="AZ138" s="508">
        <v>0</v>
      </c>
      <c r="BA138" s="508"/>
      <c r="BB138" s="508">
        <f t="shared" si="67"/>
        <v>4</v>
      </c>
      <c r="BC138" s="509">
        <v>0</v>
      </c>
      <c r="BD138" s="509">
        <v>0</v>
      </c>
      <c r="BE138" s="506">
        <v>0</v>
      </c>
      <c r="BF138" s="200"/>
      <c r="BG138" s="200"/>
      <c r="BH138" s="200"/>
      <c r="BI138" s="200"/>
      <c r="BJ138" s="200"/>
      <c r="BK138" s="200"/>
      <c r="BL138" s="200"/>
      <c r="BM138" s="505">
        <f t="shared" si="68"/>
        <v>0</v>
      </c>
      <c r="BN138" s="200">
        <f t="shared" si="69"/>
        <v>0</v>
      </c>
      <c r="BO138" s="200">
        <f t="shared" si="62"/>
        <v>0</v>
      </c>
      <c r="BP138" s="200">
        <f t="shared" si="70"/>
        <v>5070</v>
      </c>
      <c r="BQ138" s="200">
        <f t="shared" si="71"/>
        <v>0</v>
      </c>
      <c r="BR138" s="200">
        <f t="shared" si="72"/>
        <v>780</v>
      </c>
      <c r="BS138" s="200">
        <f t="shared" si="73"/>
        <v>780</v>
      </c>
      <c r="BT138" s="200">
        <f t="shared" si="74"/>
        <v>3120</v>
      </c>
      <c r="BU138" s="200">
        <f t="shared" si="75"/>
        <v>390</v>
      </c>
      <c r="BV138" s="200">
        <v>2</v>
      </c>
      <c r="BW138" s="200">
        <v>0</v>
      </c>
      <c r="BX138" s="200">
        <f t="shared" si="76"/>
        <v>0</v>
      </c>
      <c r="CB138" s="381">
        <f>_xlfn.IFNA(VLOOKUP(A138,'Actuals Summer'!$A:$AG,23,FALSE),0)</f>
        <v>5070</v>
      </c>
      <c r="CC138" s="381">
        <f>_xlfn.IFNA(VLOOKUP(A138,'Actuals Summer'!$A:$AG,24,FALSE),0)</f>
        <v>0</v>
      </c>
      <c r="CD138" s="381">
        <f>_xlfn.IFNA(VLOOKUP(A138,'Actuals Summer'!$A:$AG,25,FALSE),0)</f>
        <v>0</v>
      </c>
      <c r="CE138" s="381">
        <f>_xlfn.IFNA(VLOOKUP(A138,'Actuals Summer'!$A:$AG,26,FALSE),0)</f>
        <v>0</v>
      </c>
      <c r="CF138" s="381">
        <f>_xlfn.IFNA(VLOOKUP(A138,'Actuals Summer'!$A:$AG,27,FALSE),0)</f>
        <v>0</v>
      </c>
      <c r="CG138" s="381">
        <f>_xlfn.IFNA(VLOOKUP(A138,'Actuals Dep Summer'!B:O,6,FALSE)*$BN$3,0)</f>
        <v>780</v>
      </c>
      <c r="CH138" s="381">
        <f>_xlfn.IFNA(VLOOKUP(A138,'Actuals Dep Summer'!B:O,7,FALSE)*$BN$3,0)</f>
        <v>780</v>
      </c>
      <c r="CI138" s="381">
        <f>_xlfn.IFNA(VLOOKUP(A138,'Actuals Dep Summer'!B:O,8,FALSE)*$BN$3,0)</f>
        <v>3120</v>
      </c>
      <c r="CJ138" s="381">
        <f>_xlfn.IFNA(VLOOKUP(A138,'Actuals Summer'!$A:$AG,31,FALSE),0)*$BN$3</f>
        <v>25.985695947185036</v>
      </c>
      <c r="CK138" s="381"/>
      <c r="CL138" s="381">
        <f>_xlfn.IFNA(VLOOKUP(A138,'Actuals Summer'!$A:$AG,32,FALSE),0)*$BN$3</f>
        <v>5070</v>
      </c>
      <c r="CM138" s="381">
        <f>_xlfn.IFNA(VLOOKUP(A138,'Actuals Summer'!$A:$AG,33,FALSE),0)</f>
        <v>0</v>
      </c>
      <c r="CP138" s="458">
        <f t="shared" si="77"/>
        <v>0</v>
      </c>
      <c r="CQ138" s="458">
        <f t="shared" si="78"/>
        <v>0</v>
      </c>
      <c r="CR138" s="458">
        <f t="shared" si="63"/>
        <v>0</v>
      </c>
      <c r="CS138" s="458">
        <f t="shared" si="79"/>
        <v>28696.2</v>
      </c>
      <c r="CT138" s="458">
        <f t="shared" si="80"/>
        <v>0</v>
      </c>
      <c r="CU138" s="458">
        <f t="shared" si="81"/>
        <v>475.8</v>
      </c>
      <c r="CV138" s="458">
        <f t="shared" si="82"/>
        <v>226.2</v>
      </c>
      <c r="CW138" s="458">
        <f t="shared" si="83"/>
        <v>249.6</v>
      </c>
      <c r="CX138" s="458">
        <f t="shared" si="84"/>
        <v>390</v>
      </c>
      <c r="CY138" s="458">
        <f t="shared" si="85"/>
        <v>149.15789473684208</v>
      </c>
      <c r="CZ138" s="458">
        <f t="shared" si="86"/>
        <v>0</v>
      </c>
      <c r="DA138" s="458">
        <f t="shared" si="87"/>
        <v>0</v>
      </c>
      <c r="DB138" s="458">
        <f t="shared" si="88"/>
        <v>30186.957894736843</v>
      </c>
      <c r="DC138" s="452">
        <f>_xlfn.XLOOKUP($A138,'Actuals Summer'!$A:$A,'Actuals Summer'!L:L,0,0)</f>
        <v>0</v>
      </c>
      <c r="DD138" s="452">
        <f>_xlfn.XLOOKUP($A138,'Actuals Summer'!$A:$A,'Actuals Summer'!K:K,0,0)+_xlfn.XLOOKUP($A138,'Actuals Summer'!$A:$A,'Actuals Summer'!Q:Q,0,0)</f>
        <v>0</v>
      </c>
      <c r="DE138" s="452">
        <f>_xlfn.XLOOKUP($A138,'Actuals Summer'!$A:$A,'Actuals Summer'!I:I,0,0)+_xlfn.XLOOKUP($A138,'Actuals Summer'!$A:$A,'Actuals Summer'!R:R,0,0)</f>
        <v>28696.2</v>
      </c>
      <c r="DF138" s="452">
        <f>_xlfn.XLOOKUP($A138,'Actuals Summer'!$A:$A,'Actuals Summer'!J:J,0,0)</f>
        <v>0</v>
      </c>
      <c r="DG138" s="452">
        <f>_xlfn.XLOOKUP($A138,'Actuals Dep Summer'!$B:$B,'Actuals Dep Summer'!G:G,0,0)*'Actuals Dep Summer'!$F$2*'Actuals Dep Summer'!$C$2</f>
        <v>475.8</v>
      </c>
      <c r="DH138" s="452">
        <f>_xlfn.XLOOKUP($A138,'Actuals Dep Summer'!$B:$B,'Actuals Dep Summer'!H:H,0,0)*'Actuals Dep Summer'!$F$2*'Actuals Dep Summer'!$C$3</f>
        <v>226.2</v>
      </c>
      <c r="DI138" s="452">
        <f>_xlfn.XLOOKUP($A138,'Actuals Dep Summer'!$B:$B,'Actuals Dep Summer'!I:I,0,0)*'Actuals Dep Summer'!$F$2*'Actuals Dep Summer'!$C$4</f>
        <v>249.6</v>
      </c>
      <c r="DJ138" s="452">
        <f>_xlfn.XLOOKUP($A138,'Actuals Summer'!$A:$A,'Actuals Summer'!P:P,0,0)</f>
        <v>390</v>
      </c>
      <c r="DK138" s="452">
        <f>_xlfn.XLOOKUP($A138,'Actuals Summer'!$A:$A,'Actuals Summer'!O:O,0,0)</f>
        <v>149.15789473684211</v>
      </c>
      <c r="DL138" s="452"/>
      <c r="DM138" s="452">
        <f>_xlfn.XLOOKUP($A138,'Actuals Summer'!$A:$A,'Actuals Summer'!M:M,0,0)</f>
        <v>0</v>
      </c>
      <c r="DN138" s="453">
        <f t="shared" si="64"/>
        <v>30186.957894736843</v>
      </c>
      <c r="DO138" s="453">
        <f>_xlfn.XLOOKUP(A138,'Actuals Summer'!A:A,'Actuals Summer'!S:S,0,0)-'Summer data team '!DN138</f>
        <v>0</v>
      </c>
      <c r="DP138" s="463">
        <f t="shared" si="65"/>
        <v>0</v>
      </c>
    </row>
    <row r="139" spans="1:120" ht="13" x14ac:dyDescent="0.3">
      <c r="A139" s="364">
        <v>2454</v>
      </c>
      <c r="B139" s="364">
        <v>3302454</v>
      </c>
      <c r="C139" s="364" t="s">
        <v>337</v>
      </c>
      <c r="D139" s="506">
        <v>0</v>
      </c>
      <c r="E139" s="506">
        <v>0</v>
      </c>
      <c r="F139" s="506">
        <v>0</v>
      </c>
      <c r="G139" s="506">
        <v>22</v>
      </c>
      <c r="H139" s="506">
        <v>30</v>
      </c>
      <c r="I139" s="507">
        <v>0</v>
      </c>
      <c r="J139" s="507">
        <v>52</v>
      </c>
      <c r="K139" s="506">
        <v>0</v>
      </c>
      <c r="L139" s="506">
        <v>8</v>
      </c>
      <c r="M139" s="507">
        <v>8</v>
      </c>
      <c r="N139" s="506">
        <v>0</v>
      </c>
      <c r="O139" s="506">
        <v>0</v>
      </c>
      <c r="P139" s="506">
        <v>330</v>
      </c>
      <c r="Q139" s="506">
        <v>450</v>
      </c>
      <c r="R139" s="507">
        <v>780</v>
      </c>
      <c r="S139" s="506">
        <v>0</v>
      </c>
      <c r="T139" s="506">
        <v>0</v>
      </c>
      <c r="U139" s="506">
        <v>0</v>
      </c>
      <c r="V139" s="506">
        <v>120</v>
      </c>
      <c r="W139" s="507">
        <v>120</v>
      </c>
      <c r="X139" s="506">
        <v>26</v>
      </c>
      <c r="Y139" s="506">
        <v>390</v>
      </c>
      <c r="Z139" s="508">
        <v>45</v>
      </c>
      <c r="AA139" s="506">
        <v>2</v>
      </c>
      <c r="AB139" s="506">
        <v>30</v>
      </c>
      <c r="AC139" s="508">
        <v>15</v>
      </c>
      <c r="AD139" s="506">
        <v>13</v>
      </c>
      <c r="AE139" s="506">
        <v>195</v>
      </c>
      <c r="AF139" s="508">
        <v>15</v>
      </c>
      <c r="AG139" s="509">
        <v>0</v>
      </c>
      <c r="AH139" s="509">
        <v>0</v>
      </c>
      <c r="AI139" s="508">
        <v>0</v>
      </c>
      <c r="AJ139" s="509">
        <v>16</v>
      </c>
      <c r="AK139" s="509">
        <v>240</v>
      </c>
      <c r="AL139" s="508">
        <v>15</v>
      </c>
      <c r="AM139" s="506">
        <v>16</v>
      </c>
      <c r="AN139" s="506">
        <v>240</v>
      </c>
      <c r="AO139" s="508">
        <v>15</v>
      </c>
      <c r="AP139" s="508"/>
      <c r="AQ139" s="508">
        <f t="shared" si="66"/>
        <v>16</v>
      </c>
      <c r="AR139" s="509">
        <v>0</v>
      </c>
      <c r="AS139" s="509">
        <v>0</v>
      </c>
      <c r="AT139" s="508">
        <v>0</v>
      </c>
      <c r="AU139" s="509">
        <v>16</v>
      </c>
      <c r="AV139" s="509">
        <v>240</v>
      </c>
      <c r="AW139" s="508">
        <v>15</v>
      </c>
      <c r="AX139" s="506">
        <v>16</v>
      </c>
      <c r="AY139" s="506">
        <v>240</v>
      </c>
      <c r="AZ139" s="508">
        <v>15</v>
      </c>
      <c r="BA139" s="508"/>
      <c r="BB139" s="508">
        <f t="shared" si="67"/>
        <v>32</v>
      </c>
      <c r="BC139" s="509">
        <v>0</v>
      </c>
      <c r="BD139" s="509">
        <v>0</v>
      </c>
      <c r="BE139" s="506">
        <v>0</v>
      </c>
      <c r="BF139" s="200"/>
      <c r="BG139" s="200"/>
      <c r="BH139" s="200"/>
      <c r="BI139" s="200"/>
      <c r="BJ139" s="200"/>
      <c r="BK139" s="200"/>
      <c r="BL139" s="200"/>
      <c r="BM139" s="505">
        <f t="shared" si="68"/>
        <v>0</v>
      </c>
      <c r="BN139" s="200">
        <f t="shared" si="69"/>
        <v>0</v>
      </c>
      <c r="BO139" s="200">
        <f t="shared" si="62"/>
        <v>0</v>
      </c>
      <c r="BP139" s="200">
        <f t="shared" si="70"/>
        <v>10140</v>
      </c>
      <c r="BQ139" s="200">
        <f t="shared" si="71"/>
        <v>1560</v>
      </c>
      <c r="BR139" s="200">
        <f t="shared" si="72"/>
        <v>5655</v>
      </c>
      <c r="BS139" s="200">
        <f t="shared" si="73"/>
        <v>585</v>
      </c>
      <c r="BT139" s="200">
        <f t="shared" si="74"/>
        <v>2730</v>
      </c>
      <c r="BU139" s="200">
        <f t="shared" si="75"/>
        <v>3120</v>
      </c>
      <c r="BV139" s="200">
        <v>15</v>
      </c>
      <c r="BW139" s="200">
        <v>1</v>
      </c>
      <c r="BX139" s="200">
        <f t="shared" si="76"/>
        <v>0</v>
      </c>
      <c r="CB139" s="381">
        <f>_xlfn.IFNA(VLOOKUP(A139,'Actuals Summer'!$A:$AG,23,FALSE),0)</f>
        <v>10140</v>
      </c>
      <c r="CC139" s="381">
        <f>_xlfn.IFNA(VLOOKUP(A139,'Actuals Summer'!$A:$AG,24,FALSE),0)</f>
        <v>1560</v>
      </c>
      <c r="CD139" s="381">
        <f>_xlfn.IFNA(VLOOKUP(A139,'Actuals Summer'!$A:$AG,25,FALSE),0)</f>
        <v>0</v>
      </c>
      <c r="CE139" s="381">
        <f>_xlfn.IFNA(VLOOKUP(A139,'Actuals Summer'!$A:$AG,26,FALSE),0)</f>
        <v>0</v>
      </c>
      <c r="CF139" s="381">
        <f>_xlfn.IFNA(VLOOKUP(A139,'Actuals Summer'!$A:$AG,27,FALSE),0)</f>
        <v>0</v>
      </c>
      <c r="CG139" s="381">
        <f>_xlfn.IFNA(VLOOKUP(A139,'Actuals Dep Summer'!B:O,6,FALSE)*$BN$3,0)</f>
        <v>5070</v>
      </c>
      <c r="CH139" s="381">
        <f>_xlfn.IFNA(VLOOKUP(A139,'Actuals Dep Summer'!B:O,7,FALSE)*$BN$3,0)</f>
        <v>390</v>
      </c>
      <c r="CI139" s="381">
        <f>_xlfn.IFNA(VLOOKUP(A139,'Actuals Dep Summer'!B:O,8,FALSE)*$BN$3,0)</f>
        <v>2535</v>
      </c>
      <c r="CJ139" s="381">
        <f>_xlfn.IFNA(VLOOKUP(A139,'Actuals Summer'!$A:$AG,31,FALSE),0)*$BN$3</f>
        <v>207.88556757748029</v>
      </c>
      <c r="CK139" s="381"/>
      <c r="CL139" s="381">
        <f>_xlfn.IFNA(VLOOKUP(A139,'Actuals Summer'!$A:$AG,32,FALSE),0)*$BN$3</f>
        <v>40560</v>
      </c>
      <c r="CM139" s="381">
        <f>_xlfn.IFNA(VLOOKUP(A139,'Actuals Summer'!$A:$AG,33,FALSE),0)</f>
        <v>0</v>
      </c>
      <c r="CP139" s="458">
        <f t="shared" si="77"/>
        <v>0</v>
      </c>
      <c r="CQ139" s="458">
        <f t="shared" si="78"/>
        <v>0</v>
      </c>
      <c r="CR139" s="458">
        <f t="shared" si="63"/>
        <v>0</v>
      </c>
      <c r="CS139" s="458">
        <f t="shared" si="79"/>
        <v>57392.4</v>
      </c>
      <c r="CT139" s="458">
        <f t="shared" si="80"/>
        <v>8829.6</v>
      </c>
      <c r="CU139" s="458">
        <f t="shared" si="81"/>
        <v>3449.5499999999997</v>
      </c>
      <c r="CV139" s="458">
        <f t="shared" si="82"/>
        <v>169.64999999999998</v>
      </c>
      <c r="CW139" s="458">
        <f t="shared" si="83"/>
        <v>218.4</v>
      </c>
      <c r="CX139" s="458">
        <f t="shared" si="84"/>
        <v>3120</v>
      </c>
      <c r="CY139" s="458">
        <f t="shared" si="85"/>
        <v>1118.6842105263158</v>
      </c>
      <c r="CZ139" s="458">
        <f t="shared" si="86"/>
        <v>186.44736842105263</v>
      </c>
      <c r="DA139" s="458">
        <f t="shared" si="87"/>
        <v>0</v>
      </c>
      <c r="DB139" s="458">
        <f t="shared" si="88"/>
        <v>74484.731578947365</v>
      </c>
      <c r="DC139" s="452">
        <f>_xlfn.XLOOKUP($A139,'Actuals Summer'!$A:$A,'Actuals Summer'!L:L,0,0)</f>
        <v>0</v>
      </c>
      <c r="DD139" s="452">
        <f>_xlfn.XLOOKUP($A139,'Actuals Summer'!$A:$A,'Actuals Summer'!K:K,0,0)+_xlfn.XLOOKUP($A139,'Actuals Summer'!$A:$A,'Actuals Summer'!Q:Q,0,0)</f>
        <v>0</v>
      </c>
      <c r="DE139" s="452">
        <f>_xlfn.XLOOKUP($A139,'Actuals Summer'!$A:$A,'Actuals Summer'!I:I,0,0)+_xlfn.XLOOKUP($A139,'Actuals Summer'!$A:$A,'Actuals Summer'!R:R,0,0)</f>
        <v>57392.4</v>
      </c>
      <c r="DF139" s="452">
        <f>_xlfn.XLOOKUP($A139,'Actuals Summer'!$A:$A,'Actuals Summer'!J:J,0,0)</f>
        <v>8829.6</v>
      </c>
      <c r="DG139" s="452">
        <f>_xlfn.XLOOKUP($A139,'Actuals Dep Summer'!$B:$B,'Actuals Dep Summer'!G:G,0,0)*'Actuals Dep Summer'!$F$2*'Actuals Dep Summer'!$C$2</f>
        <v>3092.7</v>
      </c>
      <c r="DH139" s="452">
        <f>_xlfn.XLOOKUP($A139,'Actuals Dep Summer'!$B:$B,'Actuals Dep Summer'!H:H,0,0)*'Actuals Dep Summer'!$F$2*'Actuals Dep Summer'!$C$3</f>
        <v>113.1</v>
      </c>
      <c r="DI139" s="452">
        <f>_xlfn.XLOOKUP($A139,'Actuals Dep Summer'!$B:$B,'Actuals Dep Summer'!I:I,0,0)*'Actuals Dep Summer'!$F$2*'Actuals Dep Summer'!$C$4</f>
        <v>202.8</v>
      </c>
      <c r="DJ139" s="452">
        <f>_xlfn.XLOOKUP($A139,'Actuals Summer'!$A:$A,'Actuals Summer'!P:P,0,0)</f>
        <v>3120</v>
      </c>
      <c r="DK139" s="452">
        <f>_xlfn.XLOOKUP($A139,'Actuals Summer'!$A:$A,'Actuals Summer'!O:O,0,0)</f>
        <v>1193.2631578947369</v>
      </c>
      <c r="DL139" s="452"/>
      <c r="DM139" s="452">
        <f>_xlfn.XLOOKUP($A139,'Actuals Summer'!$A:$A,'Actuals Summer'!M:M,0,0)</f>
        <v>0</v>
      </c>
      <c r="DN139" s="453">
        <f t="shared" si="64"/>
        <v>73943.863157894739</v>
      </c>
      <c r="DO139" s="453">
        <f>_xlfn.XLOOKUP(A139,'Actuals Summer'!A:A,'Actuals Summer'!S:S,0,0)-'Summer data team '!DN139</f>
        <v>0</v>
      </c>
      <c r="DP139" s="463">
        <f t="shared" si="65"/>
        <v>540.86842105262622</v>
      </c>
    </row>
    <row r="140" spans="1:120" ht="13" x14ac:dyDescent="0.3">
      <c r="A140" s="364">
        <v>2455</v>
      </c>
      <c r="B140" s="364">
        <v>3302455</v>
      </c>
      <c r="C140" s="364" t="s">
        <v>338</v>
      </c>
      <c r="D140" s="506">
        <v>0</v>
      </c>
      <c r="E140" s="506">
        <v>0</v>
      </c>
      <c r="F140" s="506">
        <v>0</v>
      </c>
      <c r="G140" s="506">
        <v>15</v>
      </c>
      <c r="H140" s="506">
        <v>22</v>
      </c>
      <c r="I140" s="507">
        <v>0</v>
      </c>
      <c r="J140" s="507">
        <v>37</v>
      </c>
      <c r="K140" s="506">
        <v>3</v>
      </c>
      <c r="L140" s="506">
        <v>8</v>
      </c>
      <c r="M140" s="507">
        <v>11</v>
      </c>
      <c r="N140" s="506">
        <v>0</v>
      </c>
      <c r="O140" s="506">
        <v>0</v>
      </c>
      <c r="P140" s="506">
        <v>225</v>
      </c>
      <c r="Q140" s="506">
        <v>330</v>
      </c>
      <c r="R140" s="507">
        <v>555</v>
      </c>
      <c r="S140" s="506">
        <v>0</v>
      </c>
      <c r="T140" s="506">
        <v>0</v>
      </c>
      <c r="U140" s="506">
        <v>45</v>
      </c>
      <c r="V140" s="506">
        <v>120</v>
      </c>
      <c r="W140" s="507">
        <v>165</v>
      </c>
      <c r="X140" s="506">
        <v>3</v>
      </c>
      <c r="Y140" s="506">
        <v>45</v>
      </c>
      <c r="Z140" s="508">
        <v>0</v>
      </c>
      <c r="AA140" s="506">
        <v>9</v>
      </c>
      <c r="AB140" s="506">
        <v>135</v>
      </c>
      <c r="AC140" s="508">
        <v>30</v>
      </c>
      <c r="AD140" s="506">
        <v>14</v>
      </c>
      <c r="AE140" s="506">
        <v>210</v>
      </c>
      <c r="AF140" s="508">
        <v>90</v>
      </c>
      <c r="AG140" s="509">
        <v>0</v>
      </c>
      <c r="AH140" s="509">
        <v>0</v>
      </c>
      <c r="AI140" s="508">
        <v>0</v>
      </c>
      <c r="AJ140" s="509">
        <v>10</v>
      </c>
      <c r="AK140" s="509">
        <v>150</v>
      </c>
      <c r="AL140" s="508">
        <v>15</v>
      </c>
      <c r="AM140" s="506">
        <v>10</v>
      </c>
      <c r="AN140" s="506">
        <v>150</v>
      </c>
      <c r="AO140" s="508">
        <v>15</v>
      </c>
      <c r="AP140" s="508"/>
      <c r="AQ140" s="508">
        <f t="shared" si="66"/>
        <v>10</v>
      </c>
      <c r="AR140" s="509">
        <v>0</v>
      </c>
      <c r="AS140" s="509">
        <v>0</v>
      </c>
      <c r="AT140" s="508">
        <v>0</v>
      </c>
      <c r="AU140" s="509">
        <v>10</v>
      </c>
      <c r="AV140" s="509">
        <v>150</v>
      </c>
      <c r="AW140" s="508">
        <v>15</v>
      </c>
      <c r="AX140" s="506">
        <v>10</v>
      </c>
      <c r="AY140" s="506">
        <v>150</v>
      </c>
      <c r="AZ140" s="508">
        <v>15</v>
      </c>
      <c r="BA140" s="508"/>
      <c r="BB140" s="508">
        <f t="shared" si="67"/>
        <v>20</v>
      </c>
      <c r="BC140" s="509">
        <v>0</v>
      </c>
      <c r="BD140" s="509">
        <v>0</v>
      </c>
      <c r="BE140" s="506">
        <v>0</v>
      </c>
      <c r="BF140" s="200"/>
      <c r="BG140" s="200"/>
      <c r="BH140" s="200"/>
      <c r="BI140" s="200"/>
      <c r="BJ140" s="200"/>
      <c r="BK140" s="200"/>
      <c r="BL140" s="200"/>
      <c r="BM140" s="505">
        <f t="shared" si="68"/>
        <v>0</v>
      </c>
      <c r="BN140" s="200">
        <f t="shared" si="69"/>
        <v>0</v>
      </c>
      <c r="BO140" s="200">
        <f t="shared" si="62"/>
        <v>0</v>
      </c>
      <c r="BP140" s="200">
        <f t="shared" si="70"/>
        <v>7215</v>
      </c>
      <c r="BQ140" s="200">
        <f t="shared" si="71"/>
        <v>2145</v>
      </c>
      <c r="BR140" s="200">
        <f t="shared" si="72"/>
        <v>585</v>
      </c>
      <c r="BS140" s="200">
        <f t="shared" si="73"/>
        <v>2145</v>
      </c>
      <c r="BT140" s="200">
        <f t="shared" si="74"/>
        <v>3900</v>
      </c>
      <c r="BU140" s="200">
        <f t="shared" si="75"/>
        <v>1950</v>
      </c>
      <c r="BV140" s="200">
        <v>9</v>
      </c>
      <c r="BW140" s="200">
        <v>1</v>
      </c>
      <c r="BX140" s="200">
        <f t="shared" si="76"/>
        <v>0</v>
      </c>
      <c r="CB140" s="381">
        <f>_xlfn.IFNA(VLOOKUP(A140,'Actuals Summer'!$A:$AG,23,FALSE),0)</f>
        <v>7215</v>
      </c>
      <c r="CC140" s="381">
        <f>_xlfn.IFNA(VLOOKUP(A140,'Actuals Summer'!$A:$AG,24,FALSE),0)</f>
        <v>2145</v>
      </c>
      <c r="CD140" s="381">
        <f>_xlfn.IFNA(VLOOKUP(A140,'Actuals Summer'!$A:$AG,25,FALSE),0)</f>
        <v>0</v>
      </c>
      <c r="CE140" s="381">
        <f>_xlfn.IFNA(VLOOKUP(A140,'Actuals Summer'!$A:$AG,26,FALSE),0)</f>
        <v>0</v>
      </c>
      <c r="CF140" s="381">
        <f>_xlfn.IFNA(VLOOKUP(A140,'Actuals Summer'!$A:$AG,27,FALSE),0)</f>
        <v>0</v>
      </c>
      <c r="CG140" s="381">
        <f>_xlfn.IFNA(VLOOKUP(A140,'Actuals Dep Summer'!B:O,6,FALSE)*$BN$3,0)</f>
        <v>585</v>
      </c>
      <c r="CH140" s="381">
        <f>_xlfn.IFNA(VLOOKUP(A140,'Actuals Dep Summer'!B:O,7,FALSE)*$BN$3,0)</f>
        <v>1755</v>
      </c>
      <c r="CI140" s="381">
        <f>_xlfn.IFNA(VLOOKUP(A140,'Actuals Dep Summer'!B:O,8,FALSE)*$BN$3,0)</f>
        <v>2730</v>
      </c>
      <c r="CJ140" s="381">
        <f>_xlfn.IFNA(VLOOKUP(A140,'Actuals Summer'!$A:$AG,31,FALSE),0)*$BN$3</f>
        <v>129.92847973592515</v>
      </c>
      <c r="CK140" s="381"/>
      <c r="CL140" s="381">
        <f>_xlfn.IFNA(VLOOKUP(A140,'Actuals Summer'!$A:$AG,32,FALSE),0)*$BN$3</f>
        <v>25350</v>
      </c>
      <c r="CM140" s="381">
        <f>_xlfn.IFNA(VLOOKUP(A140,'Actuals Summer'!$A:$AG,33,FALSE),0)</f>
        <v>0</v>
      </c>
      <c r="CP140" s="458">
        <f t="shared" si="77"/>
        <v>0</v>
      </c>
      <c r="CQ140" s="458">
        <f t="shared" si="78"/>
        <v>0</v>
      </c>
      <c r="CR140" s="458">
        <f t="shared" si="63"/>
        <v>0</v>
      </c>
      <c r="CS140" s="458">
        <f t="shared" si="79"/>
        <v>40836.9</v>
      </c>
      <c r="CT140" s="458">
        <f t="shared" si="80"/>
        <v>12140.7</v>
      </c>
      <c r="CU140" s="458">
        <f t="shared" si="81"/>
        <v>356.84999999999997</v>
      </c>
      <c r="CV140" s="458">
        <f t="shared" si="82"/>
        <v>622.04999999999995</v>
      </c>
      <c r="CW140" s="458">
        <f t="shared" si="83"/>
        <v>312</v>
      </c>
      <c r="CX140" s="458">
        <f t="shared" si="84"/>
        <v>1950</v>
      </c>
      <c r="CY140" s="458">
        <f t="shared" si="85"/>
        <v>671.21052631578948</v>
      </c>
      <c r="CZ140" s="458">
        <f t="shared" si="86"/>
        <v>186.44736842105263</v>
      </c>
      <c r="DA140" s="458">
        <f t="shared" si="87"/>
        <v>0</v>
      </c>
      <c r="DB140" s="458">
        <f t="shared" si="88"/>
        <v>57076.157894736847</v>
      </c>
      <c r="DC140" s="452">
        <f>_xlfn.XLOOKUP($A140,'Actuals Summer'!$A:$A,'Actuals Summer'!L:L,0,0)</f>
        <v>0</v>
      </c>
      <c r="DD140" s="452">
        <f>_xlfn.XLOOKUP($A140,'Actuals Summer'!$A:$A,'Actuals Summer'!K:K,0,0)+_xlfn.XLOOKUP($A140,'Actuals Summer'!$A:$A,'Actuals Summer'!Q:Q,0,0)</f>
        <v>0</v>
      </c>
      <c r="DE140" s="452">
        <f>_xlfn.XLOOKUP($A140,'Actuals Summer'!$A:$A,'Actuals Summer'!I:I,0,0)+_xlfn.XLOOKUP($A140,'Actuals Summer'!$A:$A,'Actuals Summer'!R:R,0,0)</f>
        <v>40836.9</v>
      </c>
      <c r="DF140" s="452">
        <f>_xlfn.XLOOKUP($A140,'Actuals Summer'!$A:$A,'Actuals Summer'!J:J,0,0)</f>
        <v>12140.7</v>
      </c>
      <c r="DG140" s="452">
        <f>_xlfn.XLOOKUP($A140,'Actuals Dep Summer'!$B:$B,'Actuals Dep Summer'!G:G,0,0)*'Actuals Dep Summer'!$F$2*'Actuals Dep Summer'!$C$2</f>
        <v>356.84999999999997</v>
      </c>
      <c r="DH140" s="452">
        <f>_xlfn.XLOOKUP($A140,'Actuals Dep Summer'!$B:$B,'Actuals Dep Summer'!H:H,0,0)*'Actuals Dep Summer'!$F$2*'Actuals Dep Summer'!$C$3</f>
        <v>508.95</v>
      </c>
      <c r="DI140" s="452">
        <f>_xlfn.XLOOKUP($A140,'Actuals Dep Summer'!$B:$B,'Actuals Dep Summer'!I:I,0,0)*'Actuals Dep Summer'!$F$2*'Actuals Dep Summer'!$C$4</f>
        <v>218.4</v>
      </c>
      <c r="DJ140" s="452">
        <f>_xlfn.XLOOKUP($A140,'Actuals Summer'!$A:$A,'Actuals Summer'!P:P,0,0)</f>
        <v>1950</v>
      </c>
      <c r="DK140" s="452">
        <f>_xlfn.XLOOKUP($A140,'Actuals Summer'!$A:$A,'Actuals Summer'!O:O,0,0)</f>
        <v>745.78947368421052</v>
      </c>
      <c r="DL140" s="452"/>
      <c r="DM140" s="452">
        <f>_xlfn.XLOOKUP($A140,'Actuals Summer'!$A:$A,'Actuals Summer'!M:M,0,0)</f>
        <v>0</v>
      </c>
      <c r="DN140" s="453">
        <f t="shared" si="64"/>
        <v>56757.589473684217</v>
      </c>
      <c r="DO140" s="453">
        <f>_xlfn.XLOOKUP(A140,'Actuals Summer'!A:A,'Actuals Summer'!S:S,0,0)-'Summer data team '!DN140</f>
        <v>0</v>
      </c>
      <c r="DP140" s="463">
        <f t="shared" si="65"/>
        <v>318.56842105263058</v>
      </c>
    </row>
    <row r="141" spans="1:120" ht="13" x14ac:dyDescent="0.3">
      <c r="A141" s="364">
        <v>2457</v>
      </c>
      <c r="B141" s="364">
        <v>3302457</v>
      </c>
      <c r="C141" s="364" t="s">
        <v>113</v>
      </c>
      <c r="D141" s="506">
        <v>0</v>
      </c>
      <c r="E141" s="506">
        <v>0</v>
      </c>
      <c r="F141" s="506">
        <v>0</v>
      </c>
      <c r="G141" s="506">
        <v>8</v>
      </c>
      <c r="H141" s="506">
        <v>16</v>
      </c>
      <c r="I141" s="507">
        <v>0</v>
      </c>
      <c r="J141" s="507">
        <v>24</v>
      </c>
      <c r="K141" s="506">
        <v>0</v>
      </c>
      <c r="L141" s="506">
        <v>0</v>
      </c>
      <c r="M141" s="507">
        <v>0</v>
      </c>
      <c r="N141" s="506">
        <v>0</v>
      </c>
      <c r="O141" s="506">
        <v>0</v>
      </c>
      <c r="P141" s="506">
        <v>120</v>
      </c>
      <c r="Q141" s="506">
        <v>240</v>
      </c>
      <c r="R141" s="507">
        <v>360</v>
      </c>
      <c r="S141" s="506">
        <v>0</v>
      </c>
      <c r="T141" s="506">
        <v>0</v>
      </c>
      <c r="U141" s="506">
        <v>0</v>
      </c>
      <c r="V141" s="506">
        <v>0</v>
      </c>
      <c r="W141" s="507">
        <v>0</v>
      </c>
      <c r="X141" s="506">
        <v>7</v>
      </c>
      <c r="Y141" s="506">
        <v>105</v>
      </c>
      <c r="Z141" s="508">
        <v>0</v>
      </c>
      <c r="AA141" s="506">
        <v>11</v>
      </c>
      <c r="AB141" s="506">
        <v>165</v>
      </c>
      <c r="AC141" s="508">
        <v>0</v>
      </c>
      <c r="AD141" s="506">
        <v>4</v>
      </c>
      <c r="AE141" s="506">
        <v>60</v>
      </c>
      <c r="AF141" s="508">
        <v>0</v>
      </c>
      <c r="AG141" s="509">
        <v>0</v>
      </c>
      <c r="AH141" s="509">
        <v>0</v>
      </c>
      <c r="AI141" s="508">
        <v>0</v>
      </c>
      <c r="AJ141" s="509">
        <v>14</v>
      </c>
      <c r="AK141" s="509">
        <v>210</v>
      </c>
      <c r="AL141" s="508">
        <v>0</v>
      </c>
      <c r="AM141" s="506">
        <v>14</v>
      </c>
      <c r="AN141" s="506">
        <v>210</v>
      </c>
      <c r="AO141" s="508">
        <v>0</v>
      </c>
      <c r="AP141" s="508"/>
      <c r="AQ141" s="508">
        <f t="shared" si="66"/>
        <v>14</v>
      </c>
      <c r="AR141" s="509">
        <v>0</v>
      </c>
      <c r="AS141" s="509">
        <v>0</v>
      </c>
      <c r="AT141" s="508">
        <v>0</v>
      </c>
      <c r="AU141" s="509">
        <v>0</v>
      </c>
      <c r="AV141" s="509">
        <v>0</v>
      </c>
      <c r="AW141" s="508">
        <v>0</v>
      </c>
      <c r="AX141" s="506">
        <v>0</v>
      </c>
      <c r="AY141" s="506">
        <v>0</v>
      </c>
      <c r="AZ141" s="508">
        <v>0</v>
      </c>
      <c r="BA141" s="508"/>
      <c r="BB141" s="508">
        <f t="shared" si="67"/>
        <v>0</v>
      </c>
      <c r="BC141" s="509">
        <v>0</v>
      </c>
      <c r="BD141" s="509">
        <v>0</v>
      </c>
      <c r="BE141" s="506">
        <v>0</v>
      </c>
      <c r="BF141" s="200"/>
      <c r="BG141" s="200"/>
      <c r="BH141" s="200"/>
      <c r="BI141" s="200"/>
      <c r="BJ141" s="200"/>
      <c r="BK141" s="200"/>
      <c r="BL141" s="200"/>
      <c r="BM141" s="505">
        <f t="shared" si="68"/>
        <v>0</v>
      </c>
      <c r="BN141" s="200">
        <f t="shared" si="69"/>
        <v>0</v>
      </c>
      <c r="BO141" s="200">
        <f t="shared" si="62"/>
        <v>0</v>
      </c>
      <c r="BP141" s="200">
        <f t="shared" si="70"/>
        <v>4680</v>
      </c>
      <c r="BQ141" s="200">
        <f t="shared" si="71"/>
        <v>0</v>
      </c>
      <c r="BR141" s="200">
        <f t="shared" si="72"/>
        <v>1365</v>
      </c>
      <c r="BS141" s="200">
        <f t="shared" si="73"/>
        <v>2145</v>
      </c>
      <c r="BT141" s="200">
        <f t="shared" si="74"/>
        <v>780</v>
      </c>
      <c r="BU141" s="200">
        <f t="shared" si="75"/>
        <v>2730</v>
      </c>
      <c r="BV141" s="200">
        <v>0</v>
      </c>
      <c r="BW141" s="200">
        <v>0</v>
      </c>
      <c r="BX141" s="200">
        <f t="shared" si="76"/>
        <v>0</v>
      </c>
      <c r="CB141" s="381">
        <f>_xlfn.IFNA(VLOOKUP(A141,'Actuals Summer'!$A:$AG,23,FALSE),0)</f>
        <v>4680</v>
      </c>
      <c r="CC141" s="381">
        <f>_xlfn.IFNA(VLOOKUP(A141,'Actuals Summer'!$A:$AG,24,FALSE),0)</f>
        <v>0</v>
      </c>
      <c r="CD141" s="381">
        <f>_xlfn.IFNA(VLOOKUP(A141,'Actuals Summer'!$A:$AG,25,FALSE),0)</f>
        <v>0</v>
      </c>
      <c r="CE141" s="381">
        <f>_xlfn.IFNA(VLOOKUP(A141,'Actuals Summer'!$A:$AG,26,FALSE),0)</f>
        <v>0</v>
      </c>
      <c r="CF141" s="381">
        <f>_xlfn.IFNA(VLOOKUP(A141,'Actuals Summer'!$A:$AG,27,FALSE),0)</f>
        <v>0</v>
      </c>
      <c r="CG141" s="381">
        <f>_xlfn.IFNA(VLOOKUP(A141,'Actuals Dep Summer'!B:O,6,FALSE)*$BN$3,0)</f>
        <v>1365</v>
      </c>
      <c r="CH141" s="381">
        <f>_xlfn.IFNA(VLOOKUP(A141,'Actuals Dep Summer'!B:O,7,FALSE)*$BN$3,0)</f>
        <v>2145</v>
      </c>
      <c r="CI141" s="381">
        <f>_xlfn.IFNA(VLOOKUP(A141,'Actuals Dep Summer'!B:O,8,FALSE)*$BN$3,0)</f>
        <v>780</v>
      </c>
      <c r="CJ141" s="381">
        <f>_xlfn.IFNA(VLOOKUP(A141,'Actuals Summer'!$A:$AG,31,FALSE),0)*$BN$3</f>
        <v>0</v>
      </c>
      <c r="CK141" s="381"/>
      <c r="CL141" s="381">
        <f>_xlfn.IFNA(VLOOKUP(A141,'Actuals Summer'!$A:$AG,32,FALSE),0)*$BN$3</f>
        <v>35490</v>
      </c>
      <c r="CM141" s="381">
        <f>_xlfn.IFNA(VLOOKUP(A141,'Actuals Summer'!$A:$AG,33,FALSE),0)</f>
        <v>0</v>
      </c>
      <c r="CP141" s="458">
        <f t="shared" si="77"/>
        <v>0</v>
      </c>
      <c r="CQ141" s="458">
        <f t="shared" si="78"/>
        <v>0</v>
      </c>
      <c r="CR141" s="458">
        <f t="shared" si="63"/>
        <v>0</v>
      </c>
      <c r="CS141" s="458">
        <f t="shared" si="79"/>
        <v>26488.799999999999</v>
      </c>
      <c r="CT141" s="458">
        <f t="shared" si="80"/>
        <v>0</v>
      </c>
      <c r="CU141" s="458">
        <f t="shared" si="81"/>
        <v>832.65</v>
      </c>
      <c r="CV141" s="458">
        <f t="shared" si="82"/>
        <v>622.04999999999995</v>
      </c>
      <c r="CW141" s="458">
        <f t="shared" si="83"/>
        <v>62.4</v>
      </c>
      <c r="CX141" s="458">
        <f t="shared" si="84"/>
        <v>2730</v>
      </c>
      <c r="CY141" s="458">
        <f t="shared" si="85"/>
        <v>0</v>
      </c>
      <c r="CZ141" s="458">
        <f t="shared" si="86"/>
        <v>0</v>
      </c>
      <c r="DA141" s="458">
        <f t="shared" si="87"/>
        <v>0</v>
      </c>
      <c r="DB141" s="458">
        <f t="shared" si="88"/>
        <v>30735.9</v>
      </c>
      <c r="DC141" s="452">
        <f>_xlfn.XLOOKUP($A141,'Actuals Summer'!$A:$A,'Actuals Summer'!L:L,0,0)</f>
        <v>0</v>
      </c>
      <c r="DD141" s="452">
        <f>_xlfn.XLOOKUP($A141,'Actuals Summer'!$A:$A,'Actuals Summer'!K:K,0,0)+_xlfn.XLOOKUP($A141,'Actuals Summer'!$A:$A,'Actuals Summer'!Q:Q,0,0)</f>
        <v>0</v>
      </c>
      <c r="DE141" s="452">
        <f>_xlfn.XLOOKUP($A141,'Actuals Summer'!$A:$A,'Actuals Summer'!I:I,0,0)+_xlfn.XLOOKUP($A141,'Actuals Summer'!$A:$A,'Actuals Summer'!R:R,0,0)</f>
        <v>26488.799999999999</v>
      </c>
      <c r="DF141" s="452">
        <f>_xlfn.XLOOKUP($A141,'Actuals Summer'!$A:$A,'Actuals Summer'!J:J,0,0)</f>
        <v>0</v>
      </c>
      <c r="DG141" s="452">
        <f>_xlfn.XLOOKUP($A141,'Actuals Dep Summer'!$B:$B,'Actuals Dep Summer'!G:G,0,0)*'Actuals Dep Summer'!$F$2*'Actuals Dep Summer'!$C$2</f>
        <v>832.65</v>
      </c>
      <c r="DH141" s="452">
        <f>_xlfn.XLOOKUP($A141,'Actuals Dep Summer'!$B:$B,'Actuals Dep Summer'!H:H,0,0)*'Actuals Dep Summer'!$F$2*'Actuals Dep Summer'!$C$3</f>
        <v>622.04999999999995</v>
      </c>
      <c r="DI141" s="452">
        <f>_xlfn.XLOOKUP($A141,'Actuals Dep Summer'!$B:$B,'Actuals Dep Summer'!I:I,0,0)*'Actuals Dep Summer'!$F$2*'Actuals Dep Summer'!$C$4</f>
        <v>62.4</v>
      </c>
      <c r="DJ141" s="452">
        <f>_xlfn.XLOOKUP($A141,'Actuals Summer'!$A:$A,'Actuals Summer'!P:P,0,0)</f>
        <v>2730</v>
      </c>
      <c r="DK141" s="452">
        <f>_xlfn.XLOOKUP($A141,'Actuals Summer'!$A:$A,'Actuals Summer'!O:O,0,0)</f>
        <v>0</v>
      </c>
      <c r="DL141" s="452"/>
      <c r="DM141" s="452">
        <f>_xlfn.XLOOKUP($A141,'Actuals Summer'!$A:$A,'Actuals Summer'!M:M,0,0)</f>
        <v>0</v>
      </c>
      <c r="DN141" s="453">
        <f t="shared" si="64"/>
        <v>30735.9</v>
      </c>
      <c r="DO141" s="453">
        <f>_xlfn.XLOOKUP(A141,'Actuals Summer'!A:A,'Actuals Summer'!S:S,0,0)-'Summer data team '!DN141</f>
        <v>0</v>
      </c>
      <c r="DP141" s="463">
        <f t="shared" si="65"/>
        <v>0</v>
      </c>
    </row>
    <row r="142" spans="1:120" ht="13" x14ac:dyDescent="0.3">
      <c r="A142" s="364">
        <v>2458</v>
      </c>
      <c r="B142" s="364">
        <v>3302458</v>
      </c>
      <c r="C142" s="364" t="s">
        <v>340</v>
      </c>
      <c r="D142" s="506">
        <v>0</v>
      </c>
      <c r="E142" s="506">
        <v>0</v>
      </c>
      <c r="F142" s="506">
        <v>0</v>
      </c>
      <c r="G142" s="506">
        <v>18</v>
      </c>
      <c r="H142" s="506">
        <v>32</v>
      </c>
      <c r="I142" s="507">
        <v>0</v>
      </c>
      <c r="J142" s="507">
        <v>50</v>
      </c>
      <c r="K142" s="506">
        <v>0</v>
      </c>
      <c r="L142" s="506">
        <v>0</v>
      </c>
      <c r="M142" s="507">
        <v>0</v>
      </c>
      <c r="N142" s="506">
        <v>0</v>
      </c>
      <c r="O142" s="506">
        <v>0</v>
      </c>
      <c r="P142" s="506">
        <v>270</v>
      </c>
      <c r="Q142" s="506">
        <v>480</v>
      </c>
      <c r="R142" s="507">
        <v>750</v>
      </c>
      <c r="S142" s="506">
        <v>0</v>
      </c>
      <c r="T142" s="506">
        <v>0</v>
      </c>
      <c r="U142" s="506">
        <v>0</v>
      </c>
      <c r="V142" s="506">
        <v>0</v>
      </c>
      <c r="W142" s="507">
        <v>0</v>
      </c>
      <c r="X142" s="506">
        <v>1</v>
      </c>
      <c r="Y142" s="506">
        <v>15</v>
      </c>
      <c r="Z142" s="508">
        <v>0</v>
      </c>
      <c r="AA142" s="506">
        <v>2</v>
      </c>
      <c r="AB142" s="506">
        <v>30</v>
      </c>
      <c r="AC142" s="508">
        <v>0</v>
      </c>
      <c r="AD142" s="506">
        <v>40</v>
      </c>
      <c r="AE142" s="506">
        <v>600</v>
      </c>
      <c r="AF142" s="508">
        <v>0</v>
      </c>
      <c r="AG142" s="509">
        <v>0</v>
      </c>
      <c r="AH142" s="509">
        <v>0</v>
      </c>
      <c r="AI142" s="508">
        <v>0</v>
      </c>
      <c r="AJ142" s="509">
        <v>10</v>
      </c>
      <c r="AK142" s="509">
        <v>150</v>
      </c>
      <c r="AL142" s="508">
        <v>0</v>
      </c>
      <c r="AM142" s="506">
        <v>10</v>
      </c>
      <c r="AN142" s="506">
        <v>150</v>
      </c>
      <c r="AO142" s="508">
        <v>0</v>
      </c>
      <c r="AP142" s="508"/>
      <c r="AQ142" s="508">
        <f t="shared" si="66"/>
        <v>10</v>
      </c>
      <c r="AR142" s="509">
        <v>0</v>
      </c>
      <c r="AS142" s="509">
        <v>0</v>
      </c>
      <c r="AT142" s="508">
        <v>0</v>
      </c>
      <c r="AU142" s="509">
        <v>1</v>
      </c>
      <c r="AV142" s="509">
        <v>15</v>
      </c>
      <c r="AW142" s="508">
        <v>0</v>
      </c>
      <c r="AX142" s="506">
        <v>1</v>
      </c>
      <c r="AY142" s="506">
        <v>15</v>
      </c>
      <c r="AZ142" s="508">
        <v>0</v>
      </c>
      <c r="BA142" s="508"/>
      <c r="BB142" s="508">
        <f t="shared" si="67"/>
        <v>2</v>
      </c>
      <c r="BC142" s="509">
        <v>0</v>
      </c>
      <c r="BD142" s="509">
        <v>0</v>
      </c>
      <c r="BE142" s="506">
        <v>0</v>
      </c>
      <c r="BF142" s="200"/>
      <c r="BG142" s="200"/>
      <c r="BH142" s="200"/>
      <c r="BI142" s="200"/>
      <c r="BJ142" s="200"/>
      <c r="BK142" s="200"/>
      <c r="BL142" s="200"/>
      <c r="BM142" s="505">
        <f t="shared" si="68"/>
        <v>0</v>
      </c>
      <c r="BN142" s="200">
        <f t="shared" si="69"/>
        <v>0</v>
      </c>
      <c r="BO142" s="200">
        <f t="shared" si="62"/>
        <v>0</v>
      </c>
      <c r="BP142" s="200">
        <f t="shared" si="70"/>
        <v>9750</v>
      </c>
      <c r="BQ142" s="200">
        <f t="shared" si="71"/>
        <v>0</v>
      </c>
      <c r="BR142" s="200">
        <f t="shared" si="72"/>
        <v>195</v>
      </c>
      <c r="BS142" s="200">
        <f t="shared" si="73"/>
        <v>390</v>
      </c>
      <c r="BT142" s="200">
        <f t="shared" si="74"/>
        <v>7800</v>
      </c>
      <c r="BU142" s="200">
        <f t="shared" si="75"/>
        <v>1950</v>
      </c>
      <c r="BV142" s="200">
        <v>1</v>
      </c>
      <c r="BW142" s="200">
        <v>0</v>
      </c>
      <c r="BX142" s="200">
        <f t="shared" si="76"/>
        <v>0</v>
      </c>
      <c r="CB142" s="381">
        <f>_xlfn.IFNA(VLOOKUP(A142,'Actuals Summer'!$A:$AG,23,FALSE),0)</f>
        <v>9750</v>
      </c>
      <c r="CC142" s="381">
        <f>_xlfn.IFNA(VLOOKUP(A142,'Actuals Summer'!$A:$AG,24,FALSE),0)</f>
        <v>0</v>
      </c>
      <c r="CD142" s="381">
        <f>_xlfn.IFNA(VLOOKUP(A142,'Actuals Summer'!$A:$AG,25,FALSE),0)</f>
        <v>0</v>
      </c>
      <c r="CE142" s="381">
        <f>_xlfn.IFNA(VLOOKUP(A142,'Actuals Summer'!$A:$AG,26,FALSE),0)</f>
        <v>0</v>
      </c>
      <c r="CF142" s="381">
        <f>_xlfn.IFNA(VLOOKUP(A142,'Actuals Summer'!$A:$AG,27,FALSE),0)</f>
        <v>0</v>
      </c>
      <c r="CG142" s="381">
        <f>_xlfn.IFNA(VLOOKUP(A142,'Actuals Dep Summer'!B:O,6,FALSE)*$BN$3,0)</f>
        <v>195</v>
      </c>
      <c r="CH142" s="381">
        <f>_xlfn.IFNA(VLOOKUP(A142,'Actuals Dep Summer'!B:O,7,FALSE)*$BN$3,0)</f>
        <v>390</v>
      </c>
      <c r="CI142" s="381">
        <f>_xlfn.IFNA(VLOOKUP(A142,'Actuals Dep Summer'!B:O,8,FALSE)*$BN$3,0)</f>
        <v>7800</v>
      </c>
      <c r="CJ142" s="381">
        <f>_xlfn.IFNA(VLOOKUP(A142,'Actuals Summer'!$A:$AG,31,FALSE),0)*$BN$3</f>
        <v>12.992847973592518</v>
      </c>
      <c r="CK142" s="381"/>
      <c r="CL142" s="381">
        <f>_xlfn.IFNA(VLOOKUP(A142,'Actuals Summer'!$A:$AG,32,FALSE),0)*$BN$3</f>
        <v>25350</v>
      </c>
      <c r="CM142" s="381">
        <f>_xlfn.IFNA(VLOOKUP(A142,'Actuals Summer'!$A:$AG,33,FALSE),0)</f>
        <v>0</v>
      </c>
      <c r="CP142" s="458">
        <f t="shared" si="77"/>
        <v>0</v>
      </c>
      <c r="CQ142" s="458">
        <f t="shared" si="78"/>
        <v>0</v>
      </c>
      <c r="CR142" s="458">
        <f t="shared" si="63"/>
        <v>0</v>
      </c>
      <c r="CS142" s="458">
        <f t="shared" si="79"/>
        <v>55185</v>
      </c>
      <c r="CT142" s="458">
        <f t="shared" si="80"/>
        <v>0</v>
      </c>
      <c r="CU142" s="458">
        <f t="shared" si="81"/>
        <v>118.95</v>
      </c>
      <c r="CV142" s="458">
        <f t="shared" si="82"/>
        <v>113.1</v>
      </c>
      <c r="CW142" s="458">
        <f t="shared" si="83"/>
        <v>624</v>
      </c>
      <c r="CX142" s="458">
        <f t="shared" si="84"/>
        <v>1950</v>
      </c>
      <c r="CY142" s="458">
        <f t="shared" si="85"/>
        <v>74.578947368421041</v>
      </c>
      <c r="CZ142" s="458">
        <f t="shared" si="86"/>
        <v>0</v>
      </c>
      <c r="DA142" s="458">
        <f t="shared" si="87"/>
        <v>0</v>
      </c>
      <c r="DB142" s="458">
        <f t="shared" si="88"/>
        <v>58065.628947368416</v>
      </c>
      <c r="DC142" s="452">
        <f>_xlfn.XLOOKUP($A142,'Actuals Summer'!$A:$A,'Actuals Summer'!L:L,0,0)</f>
        <v>0</v>
      </c>
      <c r="DD142" s="452">
        <f>_xlfn.XLOOKUP($A142,'Actuals Summer'!$A:$A,'Actuals Summer'!K:K,0,0)+_xlfn.XLOOKUP($A142,'Actuals Summer'!$A:$A,'Actuals Summer'!Q:Q,0,0)</f>
        <v>0</v>
      </c>
      <c r="DE142" s="452">
        <f>_xlfn.XLOOKUP($A142,'Actuals Summer'!$A:$A,'Actuals Summer'!I:I,0,0)+_xlfn.XLOOKUP($A142,'Actuals Summer'!$A:$A,'Actuals Summer'!R:R,0,0)</f>
        <v>55185</v>
      </c>
      <c r="DF142" s="452">
        <f>_xlfn.XLOOKUP($A142,'Actuals Summer'!$A:$A,'Actuals Summer'!J:J,0,0)</f>
        <v>0</v>
      </c>
      <c r="DG142" s="452">
        <f>_xlfn.XLOOKUP($A142,'Actuals Dep Summer'!$B:$B,'Actuals Dep Summer'!G:G,0,0)*'Actuals Dep Summer'!$F$2*'Actuals Dep Summer'!$C$2</f>
        <v>118.95</v>
      </c>
      <c r="DH142" s="452">
        <f>_xlfn.XLOOKUP($A142,'Actuals Dep Summer'!$B:$B,'Actuals Dep Summer'!H:H,0,0)*'Actuals Dep Summer'!$F$2*'Actuals Dep Summer'!$C$3</f>
        <v>113.1</v>
      </c>
      <c r="DI142" s="452">
        <f>_xlfn.XLOOKUP($A142,'Actuals Dep Summer'!$B:$B,'Actuals Dep Summer'!I:I,0,0)*'Actuals Dep Summer'!$F$2*'Actuals Dep Summer'!$C$4</f>
        <v>624</v>
      </c>
      <c r="DJ142" s="452">
        <f>_xlfn.XLOOKUP($A142,'Actuals Summer'!$A:$A,'Actuals Summer'!P:P,0,0)</f>
        <v>1950</v>
      </c>
      <c r="DK142" s="452">
        <f>_xlfn.XLOOKUP($A142,'Actuals Summer'!$A:$A,'Actuals Summer'!O:O,0,0)</f>
        <v>74.578947368421055</v>
      </c>
      <c r="DL142" s="452"/>
      <c r="DM142" s="452">
        <f>_xlfn.XLOOKUP($A142,'Actuals Summer'!$A:$A,'Actuals Summer'!M:M,0,0)</f>
        <v>0</v>
      </c>
      <c r="DN142" s="453">
        <f t="shared" si="64"/>
        <v>58065.628947368416</v>
      </c>
      <c r="DO142" s="453">
        <f>_xlfn.XLOOKUP(A142,'Actuals Summer'!A:A,'Actuals Summer'!S:S,0,0)-'Summer data team '!DN142</f>
        <v>0</v>
      </c>
      <c r="DP142" s="463">
        <f t="shared" si="65"/>
        <v>0</v>
      </c>
    </row>
    <row r="143" spans="1:120" ht="13" x14ac:dyDescent="0.3">
      <c r="A143" s="364">
        <v>2460</v>
      </c>
      <c r="B143" s="364">
        <v>3302460</v>
      </c>
      <c r="C143" s="364" t="s">
        <v>341</v>
      </c>
      <c r="D143" s="506">
        <v>0</v>
      </c>
      <c r="E143" s="506">
        <v>0</v>
      </c>
      <c r="F143" s="506">
        <v>0</v>
      </c>
      <c r="G143" s="506">
        <v>11</v>
      </c>
      <c r="H143" s="506">
        <v>17</v>
      </c>
      <c r="I143" s="507">
        <v>0</v>
      </c>
      <c r="J143" s="507">
        <v>28</v>
      </c>
      <c r="K143" s="506">
        <v>2</v>
      </c>
      <c r="L143" s="506">
        <v>2</v>
      </c>
      <c r="M143" s="507">
        <v>4</v>
      </c>
      <c r="N143" s="506">
        <v>0</v>
      </c>
      <c r="O143" s="506">
        <v>0</v>
      </c>
      <c r="P143" s="506">
        <v>165</v>
      </c>
      <c r="Q143" s="506">
        <v>255</v>
      </c>
      <c r="R143" s="507">
        <v>420</v>
      </c>
      <c r="S143" s="506">
        <v>0</v>
      </c>
      <c r="T143" s="506">
        <v>0</v>
      </c>
      <c r="U143" s="506">
        <v>30</v>
      </c>
      <c r="V143" s="506">
        <v>30</v>
      </c>
      <c r="W143" s="507">
        <v>60</v>
      </c>
      <c r="X143" s="506">
        <v>0</v>
      </c>
      <c r="Y143" s="506">
        <v>0</v>
      </c>
      <c r="Z143" s="508">
        <v>0</v>
      </c>
      <c r="AA143" s="506">
        <v>2</v>
      </c>
      <c r="AB143" s="506">
        <v>30</v>
      </c>
      <c r="AC143" s="508">
        <v>15</v>
      </c>
      <c r="AD143" s="506">
        <v>9</v>
      </c>
      <c r="AE143" s="506">
        <v>135</v>
      </c>
      <c r="AF143" s="508">
        <v>30</v>
      </c>
      <c r="AG143" s="509">
        <v>0</v>
      </c>
      <c r="AH143" s="509">
        <v>0</v>
      </c>
      <c r="AI143" s="508">
        <v>0</v>
      </c>
      <c r="AJ143" s="509">
        <v>10</v>
      </c>
      <c r="AK143" s="509">
        <v>150</v>
      </c>
      <c r="AL143" s="508">
        <v>0</v>
      </c>
      <c r="AM143" s="506">
        <v>10</v>
      </c>
      <c r="AN143" s="506">
        <v>150</v>
      </c>
      <c r="AO143" s="508">
        <v>0</v>
      </c>
      <c r="AP143" s="508"/>
      <c r="AQ143" s="508">
        <f t="shared" si="66"/>
        <v>10</v>
      </c>
      <c r="AR143" s="509">
        <v>0</v>
      </c>
      <c r="AS143" s="509">
        <v>0</v>
      </c>
      <c r="AT143" s="508">
        <v>0</v>
      </c>
      <c r="AU143" s="509">
        <v>10</v>
      </c>
      <c r="AV143" s="509">
        <v>150</v>
      </c>
      <c r="AW143" s="508">
        <v>0</v>
      </c>
      <c r="AX143" s="506">
        <v>10</v>
      </c>
      <c r="AY143" s="506">
        <v>150</v>
      </c>
      <c r="AZ143" s="508">
        <v>0</v>
      </c>
      <c r="BA143" s="508"/>
      <c r="BB143" s="508">
        <f t="shared" si="67"/>
        <v>20</v>
      </c>
      <c r="BC143" s="509">
        <v>0</v>
      </c>
      <c r="BD143" s="509">
        <v>0</v>
      </c>
      <c r="BE143" s="506">
        <v>0</v>
      </c>
      <c r="BF143" s="200"/>
      <c r="BG143" s="200"/>
      <c r="BH143" s="200"/>
      <c r="BI143" s="200"/>
      <c r="BJ143" s="200"/>
      <c r="BK143" s="200"/>
      <c r="BL143" s="200"/>
      <c r="BM143" s="505">
        <f t="shared" si="68"/>
        <v>0</v>
      </c>
      <c r="BN143" s="200">
        <f t="shared" si="69"/>
        <v>0</v>
      </c>
      <c r="BO143" s="200">
        <f t="shared" si="62"/>
        <v>0</v>
      </c>
      <c r="BP143" s="200">
        <f t="shared" si="70"/>
        <v>5460</v>
      </c>
      <c r="BQ143" s="200">
        <f t="shared" si="71"/>
        <v>780</v>
      </c>
      <c r="BR143" s="200">
        <f t="shared" si="72"/>
        <v>0</v>
      </c>
      <c r="BS143" s="200">
        <f t="shared" si="73"/>
        <v>585</v>
      </c>
      <c r="BT143" s="200">
        <f t="shared" si="74"/>
        <v>2145</v>
      </c>
      <c r="BU143" s="200">
        <f t="shared" si="75"/>
        <v>1950</v>
      </c>
      <c r="BV143" s="200">
        <v>10</v>
      </c>
      <c r="BW143" s="200">
        <v>0</v>
      </c>
      <c r="BX143" s="200">
        <f t="shared" si="76"/>
        <v>0</v>
      </c>
      <c r="CB143" s="381">
        <f>_xlfn.IFNA(VLOOKUP(A143,'Actuals Summer'!$A:$AG,23,FALSE),0)</f>
        <v>5460</v>
      </c>
      <c r="CC143" s="381">
        <f>_xlfn.IFNA(VLOOKUP(A143,'Actuals Summer'!$A:$AG,24,FALSE),0)</f>
        <v>780</v>
      </c>
      <c r="CD143" s="381">
        <f>_xlfn.IFNA(VLOOKUP(A143,'Actuals Summer'!$A:$AG,25,FALSE),0)</f>
        <v>0</v>
      </c>
      <c r="CE143" s="381">
        <f>_xlfn.IFNA(VLOOKUP(A143,'Actuals Summer'!$A:$AG,26,FALSE),0)</f>
        <v>0</v>
      </c>
      <c r="CF143" s="381">
        <f>_xlfn.IFNA(VLOOKUP(A143,'Actuals Summer'!$A:$AG,27,FALSE),0)</f>
        <v>0</v>
      </c>
      <c r="CG143" s="381">
        <f>_xlfn.IFNA(VLOOKUP(A143,'Actuals Dep Summer'!B:O,6,FALSE)*$BN$3,0)</f>
        <v>0</v>
      </c>
      <c r="CH143" s="381">
        <f>_xlfn.IFNA(VLOOKUP(A143,'Actuals Dep Summer'!B:O,7,FALSE)*$BN$3,0)</f>
        <v>390</v>
      </c>
      <c r="CI143" s="381">
        <f>_xlfn.IFNA(VLOOKUP(A143,'Actuals Dep Summer'!B:O,8,FALSE)*$BN$3,0)</f>
        <v>1755</v>
      </c>
      <c r="CJ143" s="381">
        <f>_xlfn.IFNA(VLOOKUP(A143,'Actuals Summer'!$A:$AG,31,FALSE),0)*$BN$3</f>
        <v>129.92847973592515</v>
      </c>
      <c r="CK143" s="381"/>
      <c r="CL143" s="381">
        <f>_xlfn.IFNA(VLOOKUP(A143,'Actuals Summer'!$A:$AG,32,FALSE),0)*$BN$3</f>
        <v>25350</v>
      </c>
      <c r="CM143" s="381">
        <f>_xlfn.IFNA(VLOOKUP(A143,'Actuals Summer'!$A:$AG,33,FALSE),0)</f>
        <v>0</v>
      </c>
      <c r="CP143" s="458">
        <f t="shared" si="77"/>
        <v>0</v>
      </c>
      <c r="CQ143" s="458">
        <f t="shared" si="78"/>
        <v>0</v>
      </c>
      <c r="CR143" s="458">
        <f t="shared" si="63"/>
        <v>0</v>
      </c>
      <c r="CS143" s="458">
        <f t="shared" si="79"/>
        <v>30903.600000000002</v>
      </c>
      <c r="CT143" s="458">
        <f t="shared" si="80"/>
        <v>4414.8</v>
      </c>
      <c r="CU143" s="458">
        <f t="shared" si="81"/>
        <v>0</v>
      </c>
      <c r="CV143" s="458">
        <f t="shared" si="82"/>
        <v>169.64999999999998</v>
      </c>
      <c r="CW143" s="458">
        <f t="shared" si="83"/>
        <v>171.6</v>
      </c>
      <c r="CX143" s="458">
        <f t="shared" si="84"/>
        <v>1950</v>
      </c>
      <c r="CY143" s="458">
        <f t="shared" si="85"/>
        <v>745.78947368421052</v>
      </c>
      <c r="CZ143" s="458">
        <f t="shared" si="86"/>
        <v>0</v>
      </c>
      <c r="DA143" s="458">
        <f t="shared" si="87"/>
        <v>0</v>
      </c>
      <c r="DB143" s="458">
        <f t="shared" si="88"/>
        <v>38355.439473684215</v>
      </c>
      <c r="DC143" s="452">
        <f>_xlfn.XLOOKUP($A143,'Actuals Summer'!$A:$A,'Actuals Summer'!L:L,0,0)</f>
        <v>0</v>
      </c>
      <c r="DD143" s="452">
        <f>_xlfn.XLOOKUP($A143,'Actuals Summer'!$A:$A,'Actuals Summer'!K:K,0,0)+_xlfn.XLOOKUP($A143,'Actuals Summer'!$A:$A,'Actuals Summer'!Q:Q,0,0)</f>
        <v>0</v>
      </c>
      <c r="DE143" s="452">
        <f>_xlfn.XLOOKUP($A143,'Actuals Summer'!$A:$A,'Actuals Summer'!I:I,0,0)+_xlfn.XLOOKUP($A143,'Actuals Summer'!$A:$A,'Actuals Summer'!R:R,0,0)</f>
        <v>30903.600000000002</v>
      </c>
      <c r="DF143" s="452">
        <f>_xlfn.XLOOKUP($A143,'Actuals Summer'!$A:$A,'Actuals Summer'!J:J,0,0)</f>
        <v>4414.8</v>
      </c>
      <c r="DG143" s="452">
        <f>_xlfn.XLOOKUP($A143,'Actuals Dep Summer'!$B:$B,'Actuals Dep Summer'!G:G,0,0)*'Actuals Dep Summer'!$F$2*'Actuals Dep Summer'!$C$2</f>
        <v>0</v>
      </c>
      <c r="DH143" s="452">
        <f>_xlfn.XLOOKUP($A143,'Actuals Dep Summer'!$B:$B,'Actuals Dep Summer'!H:H,0,0)*'Actuals Dep Summer'!$F$2*'Actuals Dep Summer'!$C$3</f>
        <v>113.1</v>
      </c>
      <c r="DI143" s="452">
        <f>_xlfn.XLOOKUP($A143,'Actuals Dep Summer'!$B:$B,'Actuals Dep Summer'!I:I,0,0)*'Actuals Dep Summer'!$F$2*'Actuals Dep Summer'!$C$4</f>
        <v>140.4</v>
      </c>
      <c r="DJ143" s="452">
        <f>_xlfn.XLOOKUP($A143,'Actuals Summer'!$A:$A,'Actuals Summer'!P:P,0,0)</f>
        <v>1950</v>
      </c>
      <c r="DK143" s="452">
        <f>_xlfn.XLOOKUP($A143,'Actuals Summer'!$A:$A,'Actuals Summer'!O:O,0,0)</f>
        <v>745.78947368421052</v>
      </c>
      <c r="DL143" s="452"/>
      <c r="DM143" s="452">
        <f>_xlfn.XLOOKUP($A143,'Actuals Summer'!$A:$A,'Actuals Summer'!M:M,0,0)</f>
        <v>0</v>
      </c>
      <c r="DN143" s="453">
        <f t="shared" si="64"/>
        <v>38267.689473684215</v>
      </c>
      <c r="DO143" s="453">
        <f>_xlfn.XLOOKUP(A143,'Actuals Summer'!A:A,'Actuals Summer'!S:S,0,0)-'Summer data team '!DN143</f>
        <v>0</v>
      </c>
      <c r="DP143" s="463">
        <f t="shared" si="65"/>
        <v>87.75</v>
      </c>
    </row>
    <row r="144" spans="1:120" ht="13" x14ac:dyDescent="0.3">
      <c r="A144" s="364">
        <v>2463</v>
      </c>
      <c r="B144" s="364">
        <v>3302463</v>
      </c>
      <c r="C144" s="364" t="s">
        <v>342</v>
      </c>
      <c r="D144" s="506">
        <v>0</v>
      </c>
      <c r="E144" s="506">
        <v>0</v>
      </c>
      <c r="F144" s="506">
        <v>0</v>
      </c>
      <c r="G144" s="506">
        <v>12</v>
      </c>
      <c r="H144" s="506">
        <v>13</v>
      </c>
      <c r="I144" s="507">
        <v>0</v>
      </c>
      <c r="J144" s="507">
        <v>25</v>
      </c>
      <c r="K144" s="506">
        <v>5</v>
      </c>
      <c r="L144" s="506">
        <v>9</v>
      </c>
      <c r="M144" s="507">
        <v>14</v>
      </c>
      <c r="N144" s="506">
        <v>0</v>
      </c>
      <c r="O144" s="506">
        <v>0</v>
      </c>
      <c r="P144" s="506">
        <v>180</v>
      </c>
      <c r="Q144" s="506">
        <v>195</v>
      </c>
      <c r="R144" s="507">
        <v>375</v>
      </c>
      <c r="S144" s="506">
        <v>0</v>
      </c>
      <c r="T144" s="506">
        <v>0</v>
      </c>
      <c r="U144" s="506">
        <v>75</v>
      </c>
      <c r="V144" s="506">
        <v>135</v>
      </c>
      <c r="W144" s="507">
        <v>210</v>
      </c>
      <c r="X144" s="506">
        <v>0</v>
      </c>
      <c r="Y144" s="506">
        <v>0</v>
      </c>
      <c r="Z144" s="508">
        <v>0</v>
      </c>
      <c r="AA144" s="506">
        <v>0</v>
      </c>
      <c r="AB144" s="506">
        <v>0</v>
      </c>
      <c r="AC144" s="508">
        <v>0</v>
      </c>
      <c r="AD144" s="506">
        <v>1</v>
      </c>
      <c r="AE144" s="506">
        <v>15</v>
      </c>
      <c r="AF144" s="508">
        <v>0</v>
      </c>
      <c r="AG144" s="509">
        <v>0</v>
      </c>
      <c r="AH144" s="509">
        <v>0</v>
      </c>
      <c r="AI144" s="508">
        <v>0</v>
      </c>
      <c r="AJ144" s="509">
        <v>0</v>
      </c>
      <c r="AK144" s="509">
        <v>0</v>
      </c>
      <c r="AL144" s="508">
        <v>0</v>
      </c>
      <c r="AM144" s="506">
        <v>0</v>
      </c>
      <c r="AN144" s="506">
        <v>0</v>
      </c>
      <c r="AO144" s="508">
        <v>0</v>
      </c>
      <c r="AP144" s="508"/>
      <c r="AQ144" s="508">
        <f t="shared" si="66"/>
        <v>0</v>
      </c>
      <c r="AR144" s="509">
        <v>0</v>
      </c>
      <c r="AS144" s="509">
        <v>0</v>
      </c>
      <c r="AT144" s="508">
        <v>0</v>
      </c>
      <c r="AU144" s="509">
        <v>0</v>
      </c>
      <c r="AV144" s="509">
        <v>0</v>
      </c>
      <c r="AW144" s="508">
        <v>0</v>
      </c>
      <c r="AX144" s="506">
        <v>0</v>
      </c>
      <c r="AY144" s="506">
        <v>0</v>
      </c>
      <c r="AZ144" s="508">
        <v>0</v>
      </c>
      <c r="BA144" s="508"/>
      <c r="BB144" s="508">
        <f t="shared" si="67"/>
        <v>0</v>
      </c>
      <c r="BC144" s="509">
        <v>0</v>
      </c>
      <c r="BD144" s="509">
        <v>0</v>
      </c>
      <c r="BE144" s="506">
        <v>0</v>
      </c>
      <c r="BF144" s="200"/>
      <c r="BG144" s="200"/>
      <c r="BH144" s="200"/>
      <c r="BI144" s="200"/>
      <c r="BJ144" s="200"/>
      <c r="BK144" s="200"/>
      <c r="BL144" s="200"/>
      <c r="BM144" s="505">
        <f t="shared" si="68"/>
        <v>0</v>
      </c>
      <c r="BN144" s="200">
        <f t="shared" si="69"/>
        <v>0</v>
      </c>
      <c r="BO144" s="200">
        <f t="shared" si="62"/>
        <v>0</v>
      </c>
      <c r="BP144" s="200">
        <f t="shared" si="70"/>
        <v>4875</v>
      </c>
      <c r="BQ144" s="200">
        <f t="shared" si="71"/>
        <v>2730</v>
      </c>
      <c r="BR144" s="200">
        <f t="shared" si="72"/>
        <v>0</v>
      </c>
      <c r="BS144" s="200">
        <f t="shared" si="73"/>
        <v>0</v>
      </c>
      <c r="BT144" s="200">
        <f t="shared" si="74"/>
        <v>195</v>
      </c>
      <c r="BU144" s="200">
        <f t="shared" si="75"/>
        <v>0</v>
      </c>
      <c r="BV144" s="200">
        <v>0</v>
      </c>
      <c r="BW144" s="200">
        <v>0</v>
      </c>
      <c r="BX144" s="200">
        <f t="shared" si="76"/>
        <v>0</v>
      </c>
      <c r="CB144" s="381">
        <f>_xlfn.IFNA(VLOOKUP(A144,'Actuals Summer'!$A:$AG,23,FALSE),0)</f>
        <v>4875</v>
      </c>
      <c r="CC144" s="381">
        <f>_xlfn.IFNA(VLOOKUP(A144,'Actuals Summer'!$A:$AG,24,FALSE),0)</f>
        <v>2730</v>
      </c>
      <c r="CD144" s="381">
        <f>_xlfn.IFNA(VLOOKUP(A144,'Actuals Summer'!$A:$AG,25,FALSE),0)</f>
        <v>0</v>
      </c>
      <c r="CE144" s="381">
        <f>_xlfn.IFNA(VLOOKUP(A144,'Actuals Summer'!$A:$AG,26,FALSE),0)</f>
        <v>0</v>
      </c>
      <c r="CF144" s="381">
        <f>_xlfn.IFNA(VLOOKUP(A144,'Actuals Summer'!$A:$AG,27,FALSE),0)</f>
        <v>0</v>
      </c>
      <c r="CG144" s="381">
        <f>_xlfn.IFNA(VLOOKUP(A144,'Actuals Dep Summer'!B:O,6,FALSE)*$BN$3,0)</f>
        <v>0</v>
      </c>
      <c r="CH144" s="381">
        <f>_xlfn.IFNA(VLOOKUP(A144,'Actuals Dep Summer'!B:O,7,FALSE)*$BN$3,0)</f>
        <v>0</v>
      </c>
      <c r="CI144" s="381">
        <f>_xlfn.IFNA(VLOOKUP(A144,'Actuals Dep Summer'!B:O,8,FALSE)*$BN$3,0)</f>
        <v>195</v>
      </c>
      <c r="CJ144" s="381">
        <f>_xlfn.IFNA(VLOOKUP(A144,'Actuals Summer'!$A:$AG,31,FALSE),0)*$BN$3</f>
        <v>0</v>
      </c>
      <c r="CK144" s="381"/>
      <c r="CL144" s="381">
        <f>_xlfn.IFNA(VLOOKUP(A144,'Actuals Summer'!$A:$AG,32,FALSE),0)*$BN$3</f>
        <v>0</v>
      </c>
      <c r="CM144" s="381">
        <f>_xlfn.IFNA(VLOOKUP(A144,'Actuals Summer'!$A:$AG,33,FALSE),0)</f>
        <v>0</v>
      </c>
      <c r="CP144" s="458">
        <f t="shared" si="77"/>
        <v>0</v>
      </c>
      <c r="CQ144" s="458">
        <f t="shared" si="78"/>
        <v>0</v>
      </c>
      <c r="CR144" s="458">
        <f t="shared" si="63"/>
        <v>0</v>
      </c>
      <c r="CS144" s="458">
        <f t="shared" si="79"/>
        <v>27592.5</v>
      </c>
      <c r="CT144" s="458">
        <f t="shared" si="80"/>
        <v>15451.800000000001</v>
      </c>
      <c r="CU144" s="458">
        <f t="shared" si="81"/>
        <v>0</v>
      </c>
      <c r="CV144" s="458">
        <f t="shared" si="82"/>
        <v>0</v>
      </c>
      <c r="CW144" s="458">
        <f t="shared" si="83"/>
        <v>15.6</v>
      </c>
      <c r="CX144" s="458">
        <f t="shared" si="84"/>
        <v>0</v>
      </c>
      <c r="CY144" s="458">
        <f t="shared" si="85"/>
        <v>0</v>
      </c>
      <c r="CZ144" s="458">
        <f t="shared" si="86"/>
        <v>0</v>
      </c>
      <c r="DA144" s="458">
        <f t="shared" si="87"/>
        <v>0</v>
      </c>
      <c r="DB144" s="458">
        <f t="shared" si="88"/>
        <v>43059.9</v>
      </c>
      <c r="DC144" s="452">
        <f>_xlfn.XLOOKUP($A144,'Actuals Summer'!$A:$A,'Actuals Summer'!L:L,0,0)</f>
        <v>0</v>
      </c>
      <c r="DD144" s="452">
        <f>_xlfn.XLOOKUP($A144,'Actuals Summer'!$A:$A,'Actuals Summer'!K:K,0,0)+_xlfn.XLOOKUP($A144,'Actuals Summer'!$A:$A,'Actuals Summer'!Q:Q,0,0)</f>
        <v>0</v>
      </c>
      <c r="DE144" s="452">
        <f>_xlfn.XLOOKUP($A144,'Actuals Summer'!$A:$A,'Actuals Summer'!I:I,0,0)+_xlfn.XLOOKUP($A144,'Actuals Summer'!$A:$A,'Actuals Summer'!R:R,0,0)</f>
        <v>27592.5</v>
      </c>
      <c r="DF144" s="452">
        <f>_xlfn.XLOOKUP($A144,'Actuals Summer'!$A:$A,'Actuals Summer'!J:J,0,0)</f>
        <v>15451.800000000001</v>
      </c>
      <c r="DG144" s="452">
        <f>_xlfn.XLOOKUP($A144,'Actuals Dep Summer'!$B:$B,'Actuals Dep Summer'!G:G,0,0)*'Actuals Dep Summer'!$F$2*'Actuals Dep Summer'!$C$2</f>
        <v>0</v>
      </c>
      <c r="DH144" s="452">
        <f>_xlfn.XLOOKUP($A144,'Actuals Dep Summer'!$B:$B,'Actuals Dep Summer'!H:H,0,0)*'Actuals Dep Summer'!$F$2*'Actuals Dep Summer'!$C$3</f>
        <v>0</v>
      </c>
      <c r="DI144" s="452">
        <f>_xlfn.XLOOKUP($A144,'Actuals Dep Summer'!$B:$B,'Actuals Dep Summer'!I:I,0,0)*'Actuals Dep Summer'!$F$2*'Actuals Dep Summer'!$C$4</f>
        <v>15.6</v>
      </c>
      <c r="DJ144" s="452">
        <f>_xlfn.XLOOKUP($A144,'Actuals Summer'!$A:$A,'Actuals Summer'!P:P,0,0)</f>
        <v>0</v>
      </c>
      <c r="DK144" s="452">
        <f>_xlfn.XLOOKUP($A144,'Actuals Summer'!$A:$A,'Actuals Summer'!O:O,0,0)</f>
        <v>0</v>
      </c>
      <c r="DL144" s="452"/>
      <c r="DM144" s="452">
        <f>_xlfn.XLOOKUP($A144,'Actuals Summer'!$A:$A,'Actuals Summer'!M:M,0,0)</f>
        <v>0</v>
      </c>
      <c r="DN144" s="453">
        <f t="shared" si="64"/>
        <v>43059.9</v>
      </c>
      <c r="DO144" s="453">
        <f>_xlfn.XLOOKUP(A144,'Actuals Summer'!A:A,'Actuals Summer'!S:S,0,0)-'Summer data team '!DN144</f>
        <v>0</v>
      </c>
      <c r="DP144" s="463">
        <f t="shared" si="65"/>
        <v>0</v>
      </c>
    </row>
    <row r="145" spans="1:120" ht="13" x14ac:dyDescent="0.3">
      <c r="A145" s="364">
        <v>2465</v>
      </c>
      <c r="B145" s="364">
        <v>3302465</v>
      </c>
      <c r="C145" s="364" t="s">
        <v>51</v>
      </c>
      <c r="D145" s="506">
        <v>0</v>
      </c>
      <c r="E145" s="506">
        <v>0</v>
      </c>
      <c r="F145" s="506">
        <v>0</v>
      </c>
      <c r="G145" s="506">
        <v>12</v>
      </c>
      <c r="H145" s="506">
        <v>18</v>
      </c>
      <c r="I145" s="507">
        <v>0</v>
      </c>
      <c r="J145" s="507">
        <v>30</v>
      </c>
      <c r="K145" s="506">
        <v>0</v>
      </c>
      <c r="L145" s="506">
        <v>0</v>
      </c>
      <c r="M145" s="507">
        <v>0</v>
      </c>
      <c r="N145" s="506">
        <v>0</v>
      </c>
      <c r="O145" s="506">
        <v>0</v>
      </c>
      <c r="P145" s="506">
        <v>180</v>
      </c>
      <c r="Q145" s="506">
        <v>270</v>
      </c>
      <c r="R145" s="507">
        <v>450</v>
      </c>
      <c r="S145" s="506">
        <v>0</v>
      </c>
      <c r="T145" s="506">
        <v>0</v>
      </c>
      <c r="U145" s="506">
        <v>0</v>
      </c>
      <c r="V145" s="506">
        <v>0</v>
      </c>
      <c r="W145" s="507">
        <v>0</v>
      </c>
      <c r="X145" s="506">
        <v>0</v>
      </c>
      <c r="Y145" s="506">
        <v>0</v>
      </c>
      <c r="Z145" s="508">
        <v>0</v>
      </c>
      <c r="AA145" s="506">
        <v>1</v>
      </c>
      <c r="AB145" s="506">
        <v>15</v>
      </c>
      <c r="AC145" s="508">
        <v>0</v>
      </c>
      <c r="AD145" s="506">
        <v>0</v>
      </c>
      <c r="AE145" s="506">
        <v>0</v>
      </c>
      <c r="AF145" s="508">
        <v>0</v>
      </c>
      <c r="AG145" s="509">
        <v>0</v>
      </c>
      <c r="AH145" s="509">
        <v>0</v>
      </c>
      <c r="AI145" s="508">
        <v>0</v>
      </c>
      <c r="AJ145" s="509">
        <v>8</v>
      </c>
      <c r="AK145" s="509">
        <v>120</v>
      </c>
      <c r="AL145" s="508">
        <v>0</v>
      </c>
      <c r="AM145" s="506">
        <v>8</v>
      </c>
      <c r="AN145" s="506">
        <v>120</v>
      </c>
      <c r="AO145" s="508">
        <v>0</v>
      </c>
      <c r="AP145" s="508"/>
      <c r="AQ145" s="508">
        <f t="shared" si="66"/>
        <v>8</v>
      </c>
      <c r="AR145" s="509">
        <v>0</v>
      </c>
      <c r="AS145" s="509">
        <v>0</v>
      </c>
      <c r="AT145" s="508">
        <v>0</v>
      </c>
      <c r="AU145" s="509">
        <v>0</v>
      </c>
      <c r="AV145" s="509">
        <v>0</v>
      </c>
      <c r="AW145" s="508">
        <v>0</v>
      </c>
      <c r="AX145" s="506">
        <v>0</v>
      </c>
      <c r="AY145" s="506">
        <v>0</v>
      </c>
      <c r="AZ145" s="508">
        <v>0</v>
      </c>
      <c r="BA145" s="508"/>
      <c r="BB145" s="508">
        <f t="shared" si="67"/>
        <v>0</v>
      </c>
      <c r="BC145" s="509">
        <v>0</v>
      </c>
      <c r="BD145" s="509">
        <v>0</v>
      </c>
      <c r="BE145" s="506">
        <v>0</v>
      </c>
      <c r="BF145" s="200"/>
      <c r="BG145" s="200"/>
      <c r="BH145" s="200"/>
      <c r="BI145" s="200"/>
      <c r="BJ145" s="200"/>
      <c r="BK145" s="200"/>
      <c r="BL145" s="200"/>
      <c r="BM145" s="505">
        <f t="shared" si="68"/>
        <v>0</v>
      </c>
      <c r="BN145" s="200">
        <f t="shared" si="69"/>
        <v>0</v>
      </c>
      <c r="BO145" s="200">
        <f t="shared" si="62"/>
        <v>0</v>
      </c>
      <c r="BP145" s="200">
        <f t="shared" si="70"/>
        <v>5850</v>
      </c>
      <c r="BQ145" s="200">
        <f t="shared" si="71"/>
        <v>0</v>
      </c>
      <c r="BR145" s="200">
        <f t="shared" si="72"/>
        <v>0</v>
      </c>
      <c r="BS145" s="200">
        <f t="shared" si="73"/>
        <v>195</v>
      </c>
      <c r="BT145" s="200">
        <f t="shared" si="74"/>
        <v>0</v>
      </c>
      <c r="BU145" s="200">
        <f t="shared" si="75"/>
        <v>1560</v>
      </c>
      <c r="BV145" s="200">
        <v>0</v>
      </c>
      <c r="BW145" s="200">
        <v>0</v>
      </c>
      <c r="BX145" s="200">
        <f t="shared" si="76"/>
        <v>0</v>
      </c>
      <c r="CB145" s="381">
        <f>_xlfn.IFNA(VLOOKUP(A145,'Actuals Summer'!$A:$AG,23,FALSE),0)</f>
        <v>5850</v>
      </c>
      <c r="CC145" s="381">
        <f>_xlfn.IFNA(VLOOKUP(A145,'Actuals Summer'!$A:$AG,24,FALSE),0)</f>
        <v>0</v>
      </c>
      <c r="CD145" s="381">
        <f>_xlfn.IFNA(VLOOKUP(A145,'Actuals Summer'!$A:$AG,25,FALSE),0)</f>
        <v>0</v>
      </c>
      <c r="CE145" s="381">
        <f>_xlfn.IFNA(VLOOKUP(A145,'Actuals Summer'!$A:$AG,26,FALSE),0)</f>
        <v>0</v>
      </c>
      <c r="CF145" s="381">
        <f>_xlfn.IFNA(VLOOKUP(A145,'Actuals Summer'!$A:$AG,27,FALSE),0)</f>
        <v>0</v>
      </c>
      <c r="CG145" s="381">
        <f>_xlfn.IFNA(VLOOKUP(A145,'Actuals Dep Summer'!B:O,6,FALSE)*$BN$3,0)</f>
        <v>0</v>
      </c>
      <c r="CH145" s="381">
        <f>_xlfn.IFNA(VLOOKUP(A145,'Actuals Dep Summer'!B:O,7,FALSE)*$BN$3,0)</f>
        <v>195</v>
      </c>
      <c r="CI145" s="381">
        <f>_xlfn.IFNA(VLOOKUP(A145,'Actuals Dep Summer'!B:O,8,FALSE)*$BN$3,0)</f>
        <v>0</v>
      </c>
      <c r="CJ145" s="381">
        <f>_xlfn.IFNA(VLOOKUP(A145,'Actuals Summer'!$A:$AG,31,FALSE),0)*$BN$3</f>
        <v>0</v>
      </c>
      <c r="CK145" s="381"/>
      <c r="CL145" s="381">
        <f>_xlfn.IFNA(VLOOKUP(A145,'Actuals Summer'!$A:$AG,32,FALSE),0)*$BN$3</f>
        <v>20280</v>
      </c>
      <c r="CM145" s="381">
        <f>_xlfn.IFNA(VLOOKUP(A145,'Actuals Summer'!$A:$AG,33,FALSE),0)</f>
        <v>0</v>
      </c>
      <c r="CP145" s="458">
        <f t="shared" si="77"/>
        <v>0</v>
      </c>
      <c r="CQ145" s="458">
        <f t="shared" si="78"/>
        <v>0</v>
      </c>
      <c r="CR145" s="458">
        <f t="shared" si="63"/>
        <v>0</v>
      </c>
      <c r="CS145" s="458">
        <f t="shared" si="79"/>
        <v>33111</v>
      </c>
      <c r="CT145" s="458">
        <f t="shared" si="80"/>
        <v>0</v>
      </c>
      <c r="CU145" s="458">
        <f t="shared" si="81"/>
        <v>0</v>
      </c>
      <c r="CV145" s="458">
        <f t="shared" si="82"/>
        <v>56.55</v>
      </c>
      <c r="CW145" s="458">
        <f t="shared" si="83"/>
        <v>0</v>
      </c>
      <c r="CX145" s="458">
        <f t="shared" si="84"/>
        <v>1560</v>
      </c>
      <c r="CY145" s="458">
        <f t="shared" si="85"/>
        <v>0</v>
      </c>
      <c r="CZ145" s="458">
        <f t="shared" si="86"/>
        <v>0</v>
      </c>
      <c r="DA145" s="458">
        <f t="shared" si="87"/>
        <v>0</v>
      </c>
      <c r="DB145" s="458">
        <f t="shared" si="88"/>
        <v>34727.550000000003</v>
      </c>
      <c r="DC145" s="452">
        <f>_xlfn.XLOOKUP($A145,'Actuals Summer'!$A:$A,'Actuals Summer'!L:L,0,0)</f>
        <v>0</v>
      </c>
      <c r="DD145" s="452">
        <f>_xlfn.XLOOKUP($A145,'Actuals Summer'!$A:$A,'Actuals Summer'!K:K,0,0)+_xlfn.XLOOKUP($A145,'Actuals Summer'!$A:$A,'Actuals Summer'!Q:Q,0,0)</f>
        <v>0</v>
      </c>
      <c r="DE145" s="452">
        <f>_xlfn.XLOOKUP($A145,'Actuals Summer'!$A:$A,'Actuals Summer'!I:I,0,0)+_xlfn.XLOOKUP($A145,'Actuals Summer'!$A:$A,'Actuals Summer'!R:R,0,0)</f>
        <v>33111</v>
      </c>
      <c r="DF145" s="452">
        <f>_xlfn.XLOOKUP($A145,'Actuals Summer'!$A:$A,'Actuals Summer'!J:J,0,0)</f>
        <v>0</v>
      </c>
      <c r="DG145" s="452">
        <f>_xlfn.XLOOKUP($A145,'Actuals Dep Summer'!$B:$B,'Actuals Dep Summer'!G:G,0,0)*'Actuals Dep Summer'!$F$2*'Actuals Dep Summer'!$C$2</f>
        <v>0</v>
      </c>
      <c r="DH145" s="452">
        <f>_xlfn.XLOOKUP($A145,'Actuals Dep Summer'!$B:$B,'Actuals Dep Summer'!H:H,0,0)*'Actuals Dep Summer'!$F$2*'Actuals Dep Summer'!$C$3</f>
        <v>56.55</v>
      </c>
      <c r="DI145" s="452">
        <f>_xlfn.XLOOKUP($A145,'Actuals Dep Summer'!$B:$B,'Actuals Dep Summer'!I:I,0,0)*'Actuals Dep Summer'!$F$2*'Actuals Dep Summer'!$C$4</f>
        <v>0</v>
      </c>
      <c r="DJ145" s="452">
        <f>_xlfn.XLOOKUP($A145,'Actuals Summer'!$A:$A,'Actuals Summer'!P:P,0,0)</f>
        <v>1560</v>
      </c>
      <c r="DK145" s="452">
        <f>_xlfn.XLOOKUP($A145,'Actuals Summer'!$A:$A,'Actuals Summer'!O:O,0,0)</f>
        <v>0</v>
      </c>
      <c r="DL145" s="452"/>
      <c r="DM145" s="452">
        <f>_xlfn.XLOOKUP($A145,'Actuals Summer'!$A:$A,'Actuals Summer'!M:M,0,0)</f>
        <v>0</v>
      </c>
      <c r="DN145" s="453">
        <f t="shared" si="64"/>
        <v>34727.550000000003</v>
      </c>
      <c r="DO145" s="453">
        <f>_xlfn.XLOOKUP(A145,'Actuals Summer'!A:A,'Actuals Summer'!S:S,0,0)-'Summer data team '!DN145</f>
        <v>0</v>
      </c>
      <c r="DP145" s="463">
        <f t="shared" si="65"/>
        <v>0</v>
      </c>
    </row>
    <row r="146" spans="1:120" ht="13" x14ac:dyDescent="0.3">
      <c r="A146" s="364">
        <v>2466</v>
      </c>
      <c r="B146" s="364">
        <v>3302466</v>
      </c>
      <c r="C146" s="364" t="s">
        <v>343</v>
      </c>
      <c r="D146" s="506">
        <v>0</v>
      </c>
      <c r="E146" s="506">
        <v>0</v>
      </c>
      <c r="F146" s="506">
        <v>0</v>
      </c>
      <c r="G146" s="506">
        <v>19</v>
      </c>
      <c r="H146" s="506">
        <v>26</v>
      </c>
      <c r="I146" s="507">
        <v>0</v>
      </c>
      <c r="J146" s="507">
        <v>45</v>
      </c>
      <c r="K146" s="506">
        <v>1</v>
      </c>
      <c r="L146" s="506">
        <v>5</v>
      </c>
      <c r="M146" s="507">
        <v>6</v>
      </c>
      <c r="N146" s="506">
        <v>0</v>
      </c>
      <c r="O146" s="506">
        <v>0</v>
      </c>
      <c r="P146" s="506">
        <v>285</v>
      </c>
      <c r="Q146" s="506">
        <v>390</v>
      </c>
      <c r="R146" s="507">
        <v>675</v>
      </c>
      <c r="S146" s="506">
        <v>0</v>
      </c>
      <c r="T146" s="506">
        <v>0</v>
      </c>
      <c r="U146" s="506">
        <v>15</v>
      </c>
      <c r="V146" s="506">
        <v>75</v>
      </c>
      <c r="W146" s="507">
        <v>90</v>
      </c>
      <c r="X146" s="506">
        <v>1</v>
      </c>
      <c r="Y146" s="506">
        <v>15</v>
      </c>
      <c r="Z146" s="508">
        <v>0</v>
      </c>
      <c r="AA146" s="506">
        <v>8</v>
      </c>
      <c r="AB146" s="506">
        <v>120</v>
      </c>
      <c r="AC146" s="508">
        <v>15</v>
      </c>
      <c r="AD146" s="506">
        <v>34</v>
      </c>
      <c r="AE146" s="506">
        <v>510</v>
      </c>
      <c r="AF146" s="508">
        <v>60</v>
      </c>
      <c r="AG146" s="509">
        <v>0</v>
      </c>
      <c r="AH146" s="509">
        <v>0</v>
      </c>
      <c r="AI146" s="508">
        <v>0</v>
      </c>
      <c r="AJ146" s="509">
        <v>15</v>
      </c>
      <c r="AK146" s="509">
        <v>225</v>
      </c>
      <c r="AL146" s="508">
        <v>0</v>
      </c>
      <c r="AM146" s="506">
        <v>15</v>
      </c>
      <c r="AN146" s="506">
        <v>225</v>
      </c>
      <c r="AO146" s="508">
        <v>0</v>
      </c>
      <c r="AP146" s="508"/>
      <c r="AQ146" s="508">
        <f t="shared" si="66"/>
        <v>15</v>
      </c>
      <c r="AR146" s="509">
        <v>0</v>
      </c>
      <c r="AS146" s="509">
        <v>0</v>
      </c>
      <c r="AT146" s="508">
        <v>0</v>
      </c>
      <c r="AU146" s="509">
        <v>0</v>
      </c>
      <c r="AV146" s="509">
        <v>0</v>
      </c>
      <c r="AW146" s="508">
        <v>0</v>
      </c>
      <c r="AX146" s="506">
        <v>0</v>
      </c>
      <c r="AY146" s="506">
        <v>0</v>
      </c>
      <c r="AZ146" s="508">
        <v>0</v>
      </c>
      <c r="BA146" s="508"/>
      <c r="BB146" s="508">
        <f t="shared" si="67"/>
        <v>0</v>
      </c>
      <c r="BC146" s="509">
        <v>0</v>
      </c>
      <c r="BD146" s="509">
        <v>0</v>
      </c>
      <c r="BE146" s="506">
        <v>0</v>
      </c>
      <c r="BF146" s="200"/>
      <c r="BG146" s="200"/>
      <c r="BH146" s="200"/>
      <c r="BI146" s="200"/>
      <c r="BJ146" s="200"/>
      <c r="BK146" s="200"/>
      <c r="BL146" s="200"/>
      <c r="BM146" s="505">
        <f t="shared" si="68"/>
        <v>0</v>
      </c>
      <c r="BN146" s="200">
        <f t="shared" si="69"/>
        <v>0</v>
      </c>
      <c r="BO146" s="200">
        <f t="shared" si="62"/>
        <v>0</v>
      </c>
      <c r="BP146" s="200">
        <f t="shared" si="70"/>
        <v>8775</v>
      </c>
      <c r="BQ146" s="200">
        <f t="shared" si="71"/>
        <v>1170</v>
      </c>
      <c r="BR146" s="200">
        <f t="shared" si="72"/>
        <v>195</v>
      </c>
      <c r="BS146" s="200">
        <f t="shared" si="73"/>
        <v>1755</v>
      </c>
      <c r="BT146" s="200">
        <f t="shared" si="74"/>
        <v>7410</v>
      </c>
      <c r="BU146" s="200">
        <f t="shared" si="75"/>
        <v>2925</v>
      </c>
      <c r="BV146" s="200">
        <v>0</v>
      </c>
      <c r="BW146" s="200">
        <v>0</v>
      </c>
      <c r="BX146" s="200">
        <f t="shared" si="76"/>
        <v>0</v>
      </c>
      <c r="CB146" s="381">
        <f>_xlfn.IFNA(VLOOKUP(A146,'Actuals Summer'!$A:$AG,23,FALSE),0)</f>
        <v>8775</v>
      </c>
      <c r="CC146" s="381">
        <f>_xlfn.IFNA(VLOOKUP(A146,'Actuals Summer'!$A:$AG,24,FALSE),0)</f>
        <v>1170</v>
      </c>
      <c r="CD146" s="381">
        <f>_xlfn.IFNA(VLOOKUP(A146,'Actuals Summer'!$A:$AG,25,FALSE),0)</f>
        <v>0</v>
      </c>
      <c r="CE146" s="381">
        <f>_xlfn.IFNA(VLOOKUP(A146,'Actuals Summer'!$A:$AG,26,FALSE),0)</f>
        <v>0</v>
      </c>
      <c r="CF146" s="381">
        <f>_xlfn.IFNA(VLOOKUP(A146,'Actuals Summer'!$A:$AG,27,FALSE),0)</f>
        <v>0</v>
      </c>
      <c r="CG146" s="381">
        <f>_xlfn.IFNA(VLOOKUP(A146,'Actuals Dep Summer'!B:O,6,FALSE)*$BN$3,0)</f>
        <v>195</v>
      </c>
      <c r="CH146" s="381">
        <f>_xlfn.IFNA(VLOOKUP(A146,'Actuals Dep Summer'!B:O,7,FALSE)*$BN$3,0)</f>
        <v>1560</v>
      </c>
      <c r="CI146" s="381">
        <f>_xlfn.IFNA(VLOOKUP(A146,'Actuals Dep Summer'!B:O,8,FALSE)*$BN$3,0)</f>
        <v>6630</v>
      </c>
      <c r="CJ146" s="381">
        <f>_xlfn.IFNA(VLOOKUP(A146,'Actuals Summer'!$A:$AG,31,FALSE),0)*$BN$3</f>
        <v>0</v>
      </c>
      <c r="CK146" s="381"/>
      <c r="CL146" s="381">
        <f>_xlfn.IFNA(VLOOKUP(A146,'Actuals Summer'!$A:$AG,32,FALSE),0)*$BN$3</f>
        <v>38025</v>
      </c>
      <c r="CM146" s="381">
        <f>_xlfn.IFNA(VLOOKUP(A146,'Actuals Summer'!$A:$AG,33,FALSE),0)</f>
        <v>0</v>
      </c>
      <c r="CP146" s="458">
        <f t="shared" si="77"/>
        <v>0</v>
      </c>
      <c r="CQ146" s="458">
        <f t="shared" si="78"/>
        <v>0</v>
      </c>
      <c r="CR146" s="458">
        <f t="shared" si="63"/>
        <v>0</v>
      </c>
      <c r="CS146" s="458">
        <f t="shared" si="79"/>
        <v>49666.5</v>
      </c>
      <c r="CT146" s="458">
        <f t="shared" si="80"/>
        <v>6622.2</v>
      </c>
      <c r="CU146" s="458">
        <f t="shared" si="81"/>
        <v>118.95</v>
      </c>
      <c r="CV146" s="458">
        <f t="shared" si="82"/>
        <v>508.95</v>
      </c>
      <c r="CW146" s="458">
        <f t="shared" si="83"/>
        <v>592.80000000000007</v>
      </c>
      <c r="CX146" s="458">
        <f t="shared" si="84"/>
        <v>2925</v>
      </c>
      <c r="CY146" s="458">
        <f t="shared" si="85"/>
        <v>0</v>
      </c>
      <c r="CZ146" s="458">
        <f t="shared" si="86"/>
        <v>0</v>
      </c>
      <c r="DA146" s="458">
        <f t="shared" si="87"/>
        <v>0</v>
      </c>
      <c r="DB146" s="458">
        <f t="shared" si="88"/>
        <v>60434.399999999994</v>
      </c>
      <c r="DC146" s="452">
        <f>_xlfn.XLOOKUP($A146,'Actuals Summer'!$A:$A,'Actuals Summer'!L:L,0,0)</f>
        <v>0</v>
      </c>
      <c r="DD146" s="452">
        <f>_xlfn.XLOOKUP($A146,'Actuals Summer'!$A:$A,'Actuals Summer'!K:K,0,0)+_xlfn.XLOOKUP($A146,'Actuals Summer'!$A:$A,'Actuals Summer'!Q:Q,0,0)</f>
        <v>0</v>
      </c>
      <c r="DE146" s="452">
        <f>_xlfn.XLOOKUP($A146,'Actuals Summer'!$A:$A,'Actuals Summer'!I:I,0,0)+_xlfn.XLOOKUP($A146,'Actuals Summer'!$A:$A,'Actuals Summer'!R:R,0,0)</f>
        <v>49666.5</v>
      </c>
      <c r="DF146" s="452">
        <f>_xlfn.XLOOKUP($A146,'Actuals Summer'!$A:$A,'Actuals Summer'!J:J,0,0)</f>
        <v>6622.2</v>
      </c>
      <c r="DG146" s="452">
        <f>_xlfn.XLOOKUP($A146,'Actuals Dep Summer'!$B:$B,'Actuals Dep Summer'!G:G,0,0)*'Actuals Dep Summer'!$F$2*'Actuals Dep Summer'!$C$2</f>
        <v>118.95</v>
      </c>
      <c r="DH146" s="452">
        <f>_xlfn.XLOOKUP($A146,'Actuals Dep Summer'!$B:$B,'Actuals Dep Summer'!H:H,0,0)*'Actuals Dep Summer'!$F$2*'Actuals Dep Summer'!$C$3</f>
        <v>452.4</v>
      </c>
      <c r="DI146" s="452">
        <f>_xlfn.XLOOKUP($A146,'Actuals Dep Summer'!$B:$B,'Actuals Dep Summer'!I:I,0,0)*'Actuals Dep Summer'!$F$2*'Actuals Dep Summer'!$C$4</f>
        <v>530.4</v>
      </c>
      <c r="DJ146" s="452">
        <f>_xlfn.XLOOKUP($A146,'Actuals Summer'!$A:$A,'Actuals Summer'!P:P,0,0)</f>
        <v>2925</v>
      </c>
      <c r="DK146" s="452">
        <f>_xlfn.XLOOKUP($A146,'Actuals Summer'!$A:$A,'Actuals Summer'!O:O,0,0)</f>
        <v>0</v>
      </c>
      <c r="DL146" s="452"/>
      <c r="DM146" s="452">
        <f>_xlfn.XLOOKUP($A146,'Actuals Summer'!$A:$A,'Actuals Summer'!M:M,0,0)</f>
        <v>0</v>
      </c>
      <c r="DN146" s="453">
        <f t="shared" si="64"/>
        <v>60315.45</v>
      </c>
      <c r="DO146" s="453">
        <f>_xlfn.XLOOKUP(A146,'Actuals Summer'!A:A,'Actuals Summer'!S:S,0,0)-'Summer data team '!DN146</f>
        <v>0</v>
      </c>
      <c r="DP146" s="463">
        <f t="shared" si="65"/>
        <v>118.94999999999709</v>
      </c>
    </row>
    <row r="147" spans="1:120" ht="13" x14ac:dyDescent="0.3">
      <c r="A147" s="364">
        <v>2471</v>
      </c>
      <c r="B147" s="364">
        <v>3302471</v>
      </c>
      <c r="C147" s="364" t="s">
        <v>344</v>
      </c>
      <c r="D147" s="506">
        <v>0</v>
      </c>
      <c r="E147" s="506">
        <v>0</v>
      </c>
      <c r="F147" s="506">
        <v>0</v>
      </c>
      <c r="G147" s="506">
        <v>17</v>
      </c>
      <c r="H147" s="506">
        <v>17</v>
      </c>
      <c r="I147" s="507">
        <v>0</v>
      </c>
      <c r="J147" s="507">
        <v>34</v>
      </c>
      <c r="K147" s="506">
        <v>0</v>
      </c>
      <c r="L147" s="506">
        <v>0</v>
      </c>
      <c r="M147" s="507">
        <v>0</v>
      </c>
      <c r="N147" s="506">
        <v>0</v>
      </c>
      <c r="O147" s="506">
        <v>0</v>
      </c>
      <c r="P147" s="506">
        <v>255</v>
      </c>
      <c r="Q147" s="506">
        <v>255</v>
      </c>
      <c r="R147" s="507">
        <v>510</v>
      </c>
      <c r="S147" s="506">
        <v>0</v>
      </c>
      <c r="T147" s="506">
        <v>0</v>
      </c>
      <c r="U147" s="506">
        <v>0</v>
      </c>
      <c r="V147" s="506">
        <v>0</v>
      </c>
      <c r="W147" s="507">
        <v>0</v>
      </c>
      <c r="X147" s="506">
        <v>0</v>
      </c>
      <c r="Y147" s="506">
        <v>0</v>
      </c>
      <c r="Z147" s="508">
        <v>0</v>
      </c>
      <c r="AA147" s="506">
        <v>19</v>
      </c>
      <c r="AB147" s="506">
        <v>285</v>
      </c>
      <c r="AC147" s="508">
        <v>0</v>
      </c>
      <c r="AD147" s="506">
        <v>13</v>
      </c>
      <c r="AE147" s="506">
        <v>195</v>
      </c>
      <c r="AF147" s="508">
        <v>0</v>
      </c>
      <c r="AG147" s="509">
        <v>0</v>
      </c>
      <c r="AH147" s="509">
        <v>0</v>
      </c>
      <c r="AI147" s="508">
        <v>0</v>
      </c>
      <c r="AJ147" s="509">
        <v>9</v>
      </c>
      <c r="AK147" s="509">
        <v>135</v>
      </c>
      <c r="AL147" s="508">
        <v>0</v>
      </c>
      <c r="AM147" s="506">
        <v>9</v>
      </c>
      <c r="AN147" s="506">
        <v>135</v>
      </c>
      <c r="AO147" s="508">
        <v>0</v>
      </c>
      <c r="AP147" s="508"/>
      <c r="AQ147" s="508">
        <f t="shared" si="66"/>
        <v>9</v>
      </c>
      <c r="AR147" s="509">
        <v>0</v>
      </c>
      <c r="AS147" s="509">
        <v>0</v>
      </c>
      <c r="AT147" s="508">
        <v>0</v>
      </c>
      <c r="AU147" s="509">
        <v>0</v>
      </c>
      <c r="AV147" s="509">
        <v>0</v>
      </c>
      <c r="AW147" s="508">
        <v>0</v>
      </c>
      <c r="AX147" s="506">
        <v>0</v>
      </c>
      <c r="AY147" s="506">
        <v>0</v>
      </c>
      <c r="AZ147" s="508">
        <v>0</v>
      </c>
      <c r="BA147" s="508"/>
      <c r="BB147" s="508">
        <f t="shared" si="67"/>
        <v>0</v>
      </c>
      <c r="BC147" s="509">
        <v>0</v>
      </c>
      <c r="BD147" s="509">
        <v>0</v>
      </c>
      <c r="BE147" s="506">
        <v>0</v>
      </c>
      <c r="BF147" s="200"/>
      <c r="BG147" s="200"/>
      <c r="BH147" s="200"/>
      <c r="BI147" s="200"/>
      <c r="BJ147" s="200"/>
      <c r="BK147" s="200"/>
      <c r="BL147" s="200"/>
      <c r="BM147" s="505">
        <f t="shared" si="68"/>
        <v>0</v>
      </c>
      <c r="BN147" s="200">
        <f t="shared" si="69"/>
        <v>0</v>
      </c>
      <c r="BO147" s="200">
        <f t="shared" si="62"/>
        <v>0</v>
      </c>
      <c r="BP147" s="200">
        <f t="shared" si="70"/>
        <v>6630</v>
      </c>
      <c r="BQ147" s="200">
        <f t="shared" si="71"/>
        <v>0</v>
      </c>
      <c r="BR147" s="200">
        <f t="shared" si="72"/>
        <v>0</v>
      </c>
      <c r="BS147" s="200">
        <f t="shared" si="73"/>
        <v>3705</v>
      </c>
      <c r="BT147" s="200">
        <f t="shared" si="74"/>
        <v>2535</v>
      </c>
      <c r="BU147" s="200">
        <f t="shared" si="75"/>
        <v>1755</v>
      </c>
      <c r="BV147" s="200">
        <v>0</v>
      </c>
      <c r="BW147" s="200">
        <v>0</v>
      </c>
      <c r="BX147" s="200">
        <f t="shared" si="76"/>
        <v>0</v>
      </c>
      <c r="CB147" s="381">
        <f>_xlfn.IFNA(VLOOKUP(A147,'Actuals Summer'!$A:$AG,23,FALSE),0)</f>
        <v>6630</v>
      </c>
      <c r="CC147" s="381">
        <f>_xlfn.IFNA(VLOOKUP(A147,'Actuals Summer'!$A:$AG,24,FALSE),0)</f>
        <v>0</v>
      </c>
      <c r="CD147" s="381">
        <f>_xlfn.IFNA(VLOOKUP(A147,'Actuals Summer'!$A:$AG,25,FALSE),0)</f>
        <v>0</v>
      </c>
      <c r="CE147" s="381">
        <f>_xlfn.IFNA(VLOOKUP(A147,'Actuals Summer'!$A:$AG,26,FALSE),0)</f>
        <v>0</v>
      </c>
      <c r="CF147" s="381">
        <f>_xlfn.IFNA(VLOOKUP(A147,'Actuals Summer'!$A:$AG,27,FALSE),0)</f>
        <v>0</v>
      </c>
      <c r="CG147" s="381">
        <f>_xlfn.IFNA(VLOOKUP(A147,'Actuals Dep Summer'!B:O,6,FALSE)*$BN$3,0)</f>
        <v>0</v>
      </c>
      <c r="CH147" s="381">
        <f>_xlfn.IFNA(VLOOKUP(A147,'Actuals Dep Summer'!B:O,7,FALSE)*$BN$3,0)</f>
        <v>3705</v>
      </c>
      <c r="CI147" s="381">
        <f>_xlfn.IFNA(VLOOKUP(A147,'Actuals Dep Summer'!B:O,8,FALSE)*$BN$3,0)</f>
        <v>2535</v>
      </c>
      <c r="CJ147" s="381">
        <f>_xlfn.IFNA(VLOOKUP(A147,'Actuals Summer'!$A:$AG,31,FALSE),0)*$BN$3</f>
        <v>0</v>
      </c>
      <c r="CK147" s="381"/>
      <c r="CL147" s="381">
        <f>_xlfn.IFNA(VLOOKUP(A147,'Actuals Summer'!$A:$AG,32,FALSE),0)*$BN$3</f>
        <v>22815</v>
      </c>
      <c r="CM147" s="381">
        <f>_xlfn.IFNA(VLOOKUP(A147,'Actuals Summer'!$A:$AG,33,FALSE),0)</f>
        <v>0</v>
      </c>
      <c r="CP147" s="458">
        <f t="shared" si="77"/>
        <v>0</v>
      </c>
      <c r="CQ147" s="458">
        <f t="shared" si="78"/>
        <v>0</v>
      </c>
      <c r="CR147" s="458">
        <f t="shared" si="63"/>
        <v>0</v>
      </c>
      <c r="CS147" s="458">
        <f t="shared" si="79"/>
        <v>37525.800000000003</v>
      </c>
      <c r="CT147" s="458">
        <f t="shared" si="80"/>
        <v>0</v>
      </c>
      <c r="CU147" s="458">
        <f t="shared" si="81"/>
        <v>0</v>
      </c>
      <c r="CV147" s="458">
        <f t="shared" si="82"/>
        <v>1074.4499999999998</v>
      </c>
      <c r="CW147" s="458">
        <f t="shared" si="83"/>
        <v>202.8</v>
      </c>
      <c r="CX147" s="458">
        <f t="shared" si="84"/>
        <v>1755</v>
      </c>
      <c r="CY147" s="458">
        <f t="shared" si="85"/>
        <v>0</v>
      </c>
      <c r="CZ147" s="458">
        <f t="shared" si="86"/>
        <v>0</v>
      </c>
      <c r="DA147" s="458">
        <f t="shared" si="87"/>
        <v>0</v>
      </c>
      <c r="DB147" s="458">
        <f t="shared" si="88"/>
        <v>40558.050000000003</v>
      </c>
      <c r="DC147" s="452">
        <f>_xlfn.XLOOKUP($A147,'Actuals Summer'!$A:$A,'Actuals Summer'!L:L,0,0)</f>
        <v>0</v>
      </c>
      <c r="DD147" s="452">
        <f>_xlfn.XLOOKUP($A147,'Actuals Summer'!$A:$A,'Actuals Summer'!K:K,0,0)+_xlfn.XLOOKUP($A147,'Actuals Summer'!$A:$A,'Actuals Summer'!Q:Q,0,0)</f>
        <v>0</v>
      </c>
      <c r="DE147" s="452">
        <f>_xlfn.XLOOKUP($A147,'Actuals Summer'!$A:$A,'Actuals Summer'!I:I,0,0)+_xlfn.XLOOKUP($A147,'Actuals Summer'!$A:$A,'Actuals Summer'!R:R,0,0)</f>
        <v>37525.800000000003</v>
      </c>
      <c r="DF147" s="452">
        <f>_xlfn.XLOOKUP($A147,'Actuals Summer'!$A:$A,'Actuals Summer'!J:J,0,0)</f>
        <v>0</v>
      </c>
      <c r="DG147" s="452">
        <f>_xlfn.XLOOKUP($A147,'Actuals Dep Summer'!$B:$B,'Actuals Dep Summer'!G:G,0,0)*'Actuals Dep Summer'!$F$2*'Actuals Dep Summer'!$C$2</f>
        <v>0</v>
      </c>
      <c r="DH147" s="452">
        <f>_xlfn.XLOOKUP($A147,'Actuals Dep Summer'!$B:$B,'Actuals Dep Summer'!H:H,0,0)*'Actuals Dep Summer'!$F$2*'Actuals Dep Summer'!$C$3</f>
        <v>1074.4499999999998</v>
      </c>
      <c r="DI147" s="452">
        <f>_xlfn.XLOOKUP($A147,'Actuals Dep Summer'!$B:$B,'Actuals Dep Summer'!I:I,0,0)*'Actuals Dep Summer'!$F$2*'Actuals Dep Summer'!$C$4</f>
        <v>202.8</v>
      </c>
      <c r="DJ147" s="452">
        <f>_xlfn.XLOOKUP($A147,'Actuals Summer'!$A:$A,'Actuals Summer'!P:P,0,0)</f>
        <v>1755</v>
      </c>
      <c r="DK147" s="452">
        <f>_xlfn.XLOOKUP($A147,'Actuals Summer'!$A:$A,'Actuals Summer'!O:O,0,0)</f>
        <v>0</v>
      </c>
      <c r="DL147" s="452"/>
      <c r="DM147" s="452">
        <f>_xlfn.XLOOKUP($A147,'Actuals Summer'!$A:$A,'Actuals Summer'!M:M,0,0)</f>
        <v>0</v>
      </c>
      <c r="DN147" s="453">
        <f t="shared" si="64"/>
        <v>40558.050000000003</v>
      </c>
      <c r="DO147" s="453">
        <f>_xlfn.XLOOKUP(A147,'Actuals Summer'!A:A,'Actuals Summer'!S:S,0,0)-'Summer data team '!DN147</f>
        <v>0</v>
      </c>
      <c r="DP147" s="463">
        <f t="shared" si="65"/>
        <v>0</v>
      </c>
    </row>
    <row r="148" spans="1:120" ht="13" x14ac:dyDescent="0.3">
      <c r="A148" s="364">
        <v>2478</v>
      </c>
      <c r="B148" s="364">
        <v>3302478</v>
      </c>
      <c r="C148" s="364" t="s">
        <v>171</v>
      </c>
      <c r="D148" s="506">
        <v>0</v>
      </c>
      <c r="E148" s="506">
        <v>0</v>
      </c>
      <c r="F148" s="506">
        <v>0</v>
      </c>
      <c r="G148" s="506">
        <v>11</v>
      </c>
      <c r="H148" s="506">
        <v>15</v>
      </c>
      <c r="I148" s="507">
        <v>0</v>
      </c>
      <c r="J148" s="507">
        <v>26</v>
      </c>
      <c r="K148" s="506">
        <v>10</v>
      </c>
      <c r="L148" s="506">
        <v>8</v>
      </c>
      <c r="M148" s="507">
        <v>18</v>
      </c>
      <c r="N148" s="506">
        <v>0</v>
      </c>
      <c r="O148" s="506">
        <v>0</v>
      </c>
      <c r="P148" s="506">
        <v>165</v>
      </c>
      <c r="Q148" s="506">
        <v>225</v>
      </c>
      <c r="R148" s="507">
        <v>390</v>
      </c>
      <c r="S148" s="506">
        <v>0</v>
      </c>
      <c r="T148" s="506">
        <v>0</v>
      </c>
      <c r="U148" s="506">
        <v>150</v>
      </c>
      <c r="V148" s="506">
        <v>120</v>
      </c>
      <c r="W148" s="507">
        <v>270</v>
      </c>
      <c r="X148" s="506">
        <v>0</v>
      </c>
      <c r="Y148" s="506">
        <v>0</v>
      </c>
      <c r="Z148" s="508">
        <v>0</v>
      </c>
      <c r="AA148" s="506">
        <v>0</v>
      </c>
      <c r="AB148" s="506">
        <v>0</v>
      </c>
      <c r="AC148" s="508">
        <v>0</v>
      </c>
      <c r="AD148" s="506">
        <v>2</v>
      </c>
      <c r="AE148" s="506">
        <v>30</v>
      </c>
      <c r="AF148" s="508">
        <v>30</v>
      </c>
      <c r="AG148" s="509">
        <v>0</v>
      </c>
      <c r="AH148" s="509">
        <v>0</v>
      </c>
      <c r="AI148" s="508">
        <v>0</v>
      </c>
      <c r="AJ148" s="509">
        <v>2</v>
      </c>
      <c r="AK148" s="509">
        <v>30</v>
      </c>
      <c r="AL148" s="508">
        <v>30</v>
      </c>
      <c r="AM148" s="506">
        <v>2</v>
      </c>
      <c r="AN148" s="506">
        <v>30</v>
      </c>
      <c r="AO148" s="508">
        <v>30</v>
      </c>
      <c r="AP148" s="508"/>
      <c r="AQ148" s="508">
        <f t="shared" si="66"/>
        <v>2</v>
      </c>
      <c r="AR148" s="509">
        <v>0</v>
      </c>
      <c r="AS148" s="509">
        <v>0</v>
      </c>
      <c r="AT148" s="508">
        <v>0</v>
      </c>
      <c r="AU148" s="509">
        <v>2</v>
      </c>
      <c r="AV148" s="509">
        <v>30</v>
      </c>
      <c r="AW148" s="508">
        <v>30</v>
      </c>
      <c r="AX148" s="506">
        <v>2</v>
      </c>
      <c r="AY148" s="506">
        <v>30</v>
      </c>
      <c r="AZ148" s="508">
        <v>30</v>
      </c>
      <c r="BA148" s="508"/>
      <c r="BB148" s="508">
        <f t="shared" si="67"/>
        <v>4</v>
      </c>
      <c r="BC148" s="509">
        <v>0</v>
      </c>
      <c r="BD148" s="509">
        <v>0</v>
      </c>
      <c r="BE148" s="506">
        <v>0</v>
      </c>
      <c r="BF148" s="200"/>
      <c r="BG148" s="200"/>
      <c r="BH148" s="200"/>
      <c r="BI148" s="200"/>
      <c r="BJ148" s="200"/>
      <c r="BK148" s="200"/>
      <c r="BL148" s="200"/>
      <c r="BM148" s="505">
        <f t="shared" si="68"/>
        <v>0</v>
      </c>
      <c r="BN148" s="200">
        <f t="shared" si="69"/>
        <v>0</v>
      </c>
      <c r="BO148" s="200">
        <f t="shared" si="62"/>
        <v>0</v>
      </c>
      <c r="BP148" s="200">
        <f t="shared" si="70"/>
        <v>5070</v>
      </c>
      <c r="BQ148" s="200">
        <f t="shared" si="71"/>
        <v>3510</v>
      </c>
      <c r="BR148" s="200">
        <f t="shared" si="72"/>
        <v>0</v>
      </c>
      <c r="BS148" s="200">
        <f t="shared" si="73"/>
        <v>0</v>
      </c>
      <c r="BT148" s="200">
        <f t="shared" si="74"/>
        <v>780</v>
      </c>
      <c r="BU148" s="200">
        <f t="shared" si="75"/>
        <v>390</v>
      </c>
      <c r="BV148" s="200">
        <v>0</v>
      </c>
      <c r="BW148" s="200">
        <v>2</v>
      </c>
      <c r="BX148" s="200">
        <f t="shared" si="76"/>
        <v>0</v>
      </c>
      <c r="CB148" s="381">
        <f>_xlfn.IFNA(VLOOKUP(A148,'Actuals Summer'!$A:$AG,23,FALSE),0)</f>
        <v>5070</v>
      </c>
      <c r="CC148" s="381">
        <f>_xlfn.IFNA(VLOOKUP(A148,'Actuals Summer'!$A:$AG,24,FALSE),0)</f>
        <v>3510.0000000000005</v>
      </c>
      <c r="CD148" s="381">
        <f>_xlfn.IFNA(VLOOKUP(A148,'Actuals Summer'!$A:$AG,25,FALSE),0)</f>
        <v>0</v>
      </c>
      <c r="CE148" s="381">
        <f>_xlfn.IFNA(VLOOKUP(A148,'Actuals Summer'!$A:$AG,26,FALSE),0)</f>
        <v>0</v>
      </c>
      <c r="CF148" s="381">
        <f>_xlfn.IFNA(VLOOKUP(A148,'Actuals Summer'!$A:$AG,27,FALSE),0)</f>
        <v>0</v>
      </c>
      <c r="CG148" s="381">
        <f>_xlfn.IFNA(VLOOKUP(A148,'Actuals Dep Summer'!B:O,6,FALSE)*$BN$3,0)</f>
        <v>0</v>
      </c>
      <c r="CH148" s="381">
        <f>_xlfn.IFNA(VLOOKUP(A148,'Actuals Dep Summer'!B:O,7,FALSE)*$BN$3,0)</f>
        <v>0</v>
      </c>
      <c r="CI148" s="381">
        <f>_xlfn.IFNA(VLOOKUP(A148,'Actuals Dep Summer'!B:O,8,FALSE)*$BN$3,0)</f>
        <v>390</v>
      </c>
      <c r="CJ148" s="381">
        <f>_xlfn.IFNA(VLOOKUP(A148,'Actuals Summer'!$A:$AG,31,FALSE),0)*$BN$3</f>
        <v>25.985695947185036</v>
      </c>
      <c r="CK148" s="381"/>
      <c r="CL148" s="381">
        <f>_xlfn.IFNA(VLOOKUP(A148,'Actuals Summer'!$A:$AG,32,FALSE),0)*$BN$3</f>
        <v>5070</v>
      </c>
      <c r="CM148" s="381">
        <f>_xlfn.IFNA(VLOOKUP(A148,'Actuals Summer'!$A:$AG,33,FALSE),0)</f>
        <v>0</v>
      </c>
      <c r="CP148" s="458">
        <f t="shared" si="77"/>
        <v>0</v>
      </c>
      <c r="CQ148" s="458">
        <f t="shared" si="78"/>
        <v>0</v>
      </c>
      <c r="CR148" s="458">
        <f t="shared" si="63"/>
        <v>0</v>
      </c>
      <c r="CS148" s="458">
        <f t="shared" si="79"/>
        <v>28696.2</v>
      </c>
      <c r="CT148" s="458">
        <f t="shared" si="80"/>
        <v>19866.600000000002</v>
      </c>
      <c r="CU148" s="458">
        <f t="shared" si="81"/>
        <v>0</v>
      </c>
      <c r="CV148" s="458">
        <f t="shared" si="82"/>
        <v>0</v>
      </c>
      <c r="CW148" s="458">
        <f t="shared" si="83"/>
        <v>62.4</v>
      </c>
      <c r="CX148" s="458">
        <f t="shared" si="84"/>
        <v>390</v>
      </c>
      <c r="CY148" s="458">
        <f t="shared" si="85"/>
        <v>0</v>
      </c>
      <c r="CZ148" s="458">
        <f t="shared" si="86"/>
        <v>372.89473684210526</v>
      </c>
      <c r="DA148" s="458">
        <f t="shared" si="87"/>
        <v>0</v>
      </c>
      <c r="DB148" s="458">
        <f t="shared" si="88"/>
        <v>49388.094736842111</v>
      </c>
      <c r="DC148" s="452">
        <f>_xlfn.XLOOKUP($A148,'Actuals Summer'!$A:$A,'Actuals Summer'!L:L,0,0)</f>
        <v>0</v>
      </c>
      <c r="DD148" s="452">
        <f>_xlfn.XLOOKUP($A148,'Actuals Summer'!$A:$A,'Actuals Summer'!K:K,0,0)+_xlfn.XLOOKUP($A148,'Actuals Summer'!$A:$A,'Actuals Summer'!Q:Q,0,0)</f>
        <v>0</v>
      </c>
      <c r="DE148" s="452">
        <f>_xlfn.XLOOKUP($A148,'Actuals Summer'!$A:$A,'Actuals Summer'!I:I,0,0)+_xlfn.XLOOKUP($A148,'Actuals Summer'!$A:$A,'Actuals Summer'!R:R,0,0)</f>
        <v>28696.2</v>
      </c>
      <c r="DF148" s="452">
        <f>_xlfn.XLOOKUP($A148,'Actuals Summer'!$A:$A,'Actuals Summer'!J:J,0,0)</f>
        <v>19866.600000000002</v>
      </c>
      <c r="DG148" s="452">
        <f>_xlfn.XLOOKUP($A148,'Actuals Dep Summer'!$B:$B,'Actuals Dep Summer'!G:G,0,0)*'Actuals Dep Summer'!$F$2*'Actuals Dep Summer'!$C$2</f>
        <v>0</v>
      </c>
      <c r="DH148" s="452">
        <f>_xlfn.XLOOKUP($A148,'Actuals Dep Summer'!$B:$B,'Actuals Dep Summer'!H:H,0,0)*'Actuals Dep Summer'!$F$2*'Actuals Dep Summer'!$C$3</f>
        <v>0</v>
      </c>
      <c r="DI148" s="452">
        <f>_xlfn.XLOOKUP($A148,'Actuals Dep Summer'!$B:$B,'Actuals Dep Summer'!I:I,0,0)*'Actuals Dep Summer'!$F$2*'Actuals Dep Summer'!$C$4</f>
        <v>31.2</v>
      </c>
      <c r="DJ148" s="452">
        <f>_xlfn.XLOOKUP($A148,'Actuals Summer'!$A:$A,'Actuals Summer'!P:P,0,0)</f>
        <v>390</v>
      </c>
      <c r="DK148" s="452">
        <f>_xlfn.XLOOKUP($A148,'Actuals Summer'!$A:$A,'Actuals Summer'!O:O,0,0)</f>
        <v>149.15789473684211</v>
      </c>
      <c r="DL148" s="452"/>
      <c r="DM148" s="452">
        <f>_xlfn.XLOOKUP($A148,'Actuals Summer'!$A:$A,'Actuals Summer'!M:M,0,0)</f>
        <v>0</v>
      </c>
      <c r="DN148" s="453">
        <f t="shared" si="64"/>
        <v>49133.15789473684</v>
      </c>
      <c r="DO148" s="453">
        <f>_xlfn.XLOOKUP(A148,'Actuals Summer'!A:A,'Actuals Summer'!S:S,0,0)-'Summer data team '!DN148</f>
        <v>0</v>
      </c>
      <c r="DP148" s="463">
        <f t="shared" si="65"/>
        <v>254.93684210527135</v>
      </c>
    </row>
    <row r="149" spans="1:120" ht="13" x14ac:dyDescent="0.3">
      <c r="A149" s="364">
        <v>2479</v>
      </c>
      <c r="B149" s="364">
        <v>3302479</v>
      </c>
      <c r="C149" s="364" t="s">
        <v>34</v>
      </c>
      <c r="D149" s="506">
        <v>0</v>
      </c>
      <c r="E149" s="506">
        <v>0</v>
      </c>
      <c r="F149" s="506">
        <v>0</v>
      </c>
      <c r="G149" s="506">
        <v>44</v>
      </c>
      <c r="H149" s="506">
        <v>33</v>
      </c>
      <c r="I149" s="507">
        <v>0</v>
      </c>
      <c r="J149" s="507">
        <v>77</v>
      </c>
      <c r="K149" s="506">
        <v>9</v>
      </c>
      <c r="L149" s="506">
        <v>2</v>
      </c>
      <c r="M149" s="507">
        <v>11</v>
      </c>
      <c r="N149" s="506">
        <v>0</v>
      </c>
      <c r="O149" s="506">
        <v>0</v>
      </c>
      <c r="P149" s="506">
        <v>660</v>
      </c>
      <c r="Q149" s="506">
        <v>495</v>
      </c>
      <c r="R149" s="507">
        <v>1155</v>
      </c>
      <c r="S149" s="506">
        <v>0</v>
      </c>
      <c r="T149" s="506">
        <v>0</v>
      </c>
      <c r="U149" s="506">
        <v>135</v>
      </c>
      <c r="V149" s="506">
        <v>30</v>
      </c>
      <c r="W149" s="507">
        <v>165</v>
      </c>
      <c r="X149" s="506">
        <v>18</v>
      </c>
      <c r="Y149" s="506">
        <v>270</v>
      </c>
      <c r="Z149" s="508">
        <v>30</v>
      </c>
      <c r="AA149" s="506">
        <v>46</v>
      </c>
      <c r="AB149" s="506">
        <v>690</v>
      </c>
      <c r="AC149" s="508">
        <v>90</v>
      </c>
      <c r="AD149" s="506">
        <v>10</v>
      </c>
      <c r="AE149" s="506">
        <v>150</v>
      </c>
      <c r="AF149" s="508">
        <v>15</v>
      </c>
      <c r="AG149" s="509">
        <v>0</v>
      </c>
      <c r="AH149" s="509">
        <v>0</v>
      </c>
      <c r="AI149" s="508">
        <v>0</v>
      </c>
      <c r="AJ149" s="509">
        <v>17</v>
      </c>
      <c r="AK149" s="509">
        <v>255</v>
      </c>
      <c r="AL149" s="508">
        <v>0</v>
      </c>
      <c r="AM149" s="506">
        <v>17</v>
      </c>
      <c r="AN149" s="506">
        <v>255</v>
      </c>
      <c r="AO149" s="508">
        <v>0</v>
      </c>
      <c r="AP149" s="508"/>
      <c r="AQ149" s="508">
        <f t="shared" si="66"/>
        <v>17</v>
      </c>
      <c r="AR149" s="509">
        <v>0</v>
      </c>
      <c r="AS149" s="509">
        <v>0</v>
      </c>
      <c r="AT149" s="508">
        <v>0</v>
      </c>
      <c r="AU149" s="509">
        <v>17</v>
      </c>
      <c r="AV149" s="509">
        <v>255</v>
      </c>
      <c r="AW149" s="508">
        <v>0</v>
      </c>
      <c r="AX149" s="506">
        <v>17</v>
      </c>
      <c r="AY149" s="506">
        <v>255</v>
      </c>
      <c r="AZ149" s="508">
        <v>0</v>
      </c>
      <c r="BA149" s="508"/>
      <c r="BB149" s="508">
        <f t="shared" si="67"/>
        <v>34</v>
      </c>
      <c r="BC149" s="509">
        <v>0</v>
      </c>
      <c r="BD149" s="509">
        <v>0</v>
      </c>
      <c r="BE149" s="506">
        <v>0</v>
      </c>
      <c r="BF149" s="200"/>
      <c r="BG149" s="200"/>
      <c r="BH149" s="200"/>
      <c r="BI149" s="200"/>
      <c r="BJ149" s="200"/>
      <c r="BK149" s="200"/>
      <c r="BL149" s="200"/>
      <c r="BM149" s="505">
        <f t="shared" si="68"/>
        <v>0</v>
      </c>
      <c r="BN149" s="200">
        <f t="shared" si="69"/>
        <v>0</v>
      </c>
      <c r="BO149" s="200">
        <f t="shared" si="62"/>
        <v>0</v>
      </c>
      <c r="BP149" s="200">
        <f t="shared" si="70"/>
        <v>15015</v>
      </c>
      <c r="BQ149" s="200">
        <f t="shared" si="71"/>
        <v>2145</v>
      </c>
      <c r="BR149" s="200">
        <f t="shared" si="72"/>
        <v>3900</v>
      </c>
      <c r="BS149" s="200">
        <f t="shared" si="73"/>
        <v>10140</v>
      </c>
      <c r="BT149" s="200">
        <f t="shared" si="74"/>
        <v>2145</v>
      </c>
      <c r="BU149" s="200">
        <f t="shared" si="75"/>
        <v>3315</v>
      </c>
      <c r="BV149" s="200">
        <v>17</v>
      </c>
      <c r="BW149" s="200">
        <v>0</v>
      </c>
      <c r="BX149" s="200">
        <f t="shared" si="76"/>
        <v>0</v>
      </c>
      <c r="CB149" s="381">
        <f>_xlfn.IFNA(VLOOKUP(A149,'Actuals Summer'!$A:$AG,23,FALSE),0)</f>
        <v>15015.000000000002</v>
      </c>
      <c r="CC149" s="381">
        <f>_xlfn.IFNA(VLOOKUP(A149,'Actuals Summer'!$A:$AG,24,FALSE),0)</f>
        <v>2145</v>
      </c>
      <c r="CD149" s="381">
        <f>_xlfn.IFNA(VLOOKUP(A149,'Actuals Summer'!$A:$AG,25,FALSE),0)</f>
        <v>0</v>
      </c>
      <c r="CE149" s="381">
        <f>_xlfn.IFNA(VLOOKUP(A149,'Actuals Summer'!$A:$AG,26,FALSE),0)</f>
        <v>0</v>
      </c>
      <c r="CF149" s="381">
        <f>_xlfn.IFNA(VLOOKUP(A149,'Actuals Summer'!$A:$AG,27,FALSE),0)</f>
        <v>0</v>
      </c>
      <c r="CG149" s="381">
        <f>_xlfn.IFNA(VLOOKUP(A149,'Actuals Dep Summer'!B:O,6,FALSE)*$BN$3,0)</f>
        <v>3510</v>
      </c>
      <c r="CH149" s="381">
        <f>_xlfn.IFNA(VLOOKUP(A149,'Actuals Dep Summer'!B:O,7,FALSE)*$BN$3,0)</f>
        <v>8970</v>
      </c>
      <c r="CI149" s="381">
        <f>_xlfn.IFNA(VLOOKUP(A149,'Actuals Dep Summer'!B:O,8,FALSE)*$BN$3,0)</f>
        <v>1950</v>
      </c>
      <c r="CJ149" s="381">
        <f>_xlfn.IFNA(VLOOKUP(A149,'Actuals Summer'!$A:$AG,31,FALSE),0)*$BN$3</f>
        <v>220.87841555107278</v>
      </c>
      <c r="CK149" s="381"/>
      <c r="CL149" s="381">
        <f>_xlfn.IFNA(VLOOKUP(A149,'Actuals Summer'!$A:$AG,32,FALSE),0)*$BN$3</f>
        <v>43095</v>
      </c>
      <c r="CM149" s="381">
        <f>_xlfn.IFNA(VLOOKUP(A149,'Actuals Summer'!$A:$AG,33,FALSE),0)</f>
        <v>0</v>
      </c>
      <c r="CP149" s="458">
        <f t="shared" si="77"/>
        <v>0</v>
      </c>
      <c r="CQ149" s="458">
        <f t="shared" si="78"/>
        <v>0</v>
      </c>
      <c r="CR149" s="458">
        <f t="shared" si="63"/>
        <v>0</v>
      </c>
      <c r="CS149" s="458">
        <f t="shared" si="79"/>
        <v>84984.900000000009</v>
      </c>
      <c r="CT149" s="458">
        <f t="shared" si="80"/>
        <v>12140.7</v>
      </c>
      <c r="CU149" s="458">
        <f t="shared" si="81"/>
        <v>2379</v>
      </c>
      <c r="CV149" s="458">
        <f t="shared" si="82"/>
        <v>2940.6</v>
      </c>
      <c r="CW149" s="458">
        <f t="shared" si="83"/>
        <v>171.6</v>
      </c>
      <c r="CX149" s="458">
        <f t="shared" si="84"/>
        <v>3315</v>
      </c>
      <c r="CY149" s="458">
        <f t="shared" si="85"/>
        <v>1267.8421052631577</v>
      </c>
      <c r="CZ149" s="458">
        <f t="shared" si="86"/>
        <v>0</v>
      </c>
      <c r="DA149" s="458">
        <f t="shared" si="87"/>
        <v>0</v>
      </c>
      <c r="DB149" s="458">
        <f t="shared" si="88"/>
        <v>107199.64210526318</v>
      </c>
      <c r="DC149" s="452">
        <f>_xlfn.XLOOKUP($A149,'Actuals Summer'!$A:$A,'Actuals Summer'!L:L,0,0)</f>
        <v>0</v>
      </c>
      <c r="DD149" s="452">
        <f>_xlfn.XLOOKUP($A149,'Actuals Summer'!$A:$A,'Actuals Summer'!K:K,0,0)+_xlfn.XLOOKUP($A149,'Actuals Summer'!$A:$A,'Actuals Summer'!Q:Q,0,0)</f>
        <v>0</v>
      </c>
      <c r="DE149" s="452">
        <f>_xlfn.XLOOKUP($A149,'Actuals Summer'!$A:$A,'Actuals Summer'!I:I,0,0)+_xlfn.XLOOKUP($A149,'Actuals Summer'!$A:$A,'Actuals Summer'!R:R,0,0)</f>
        <v>84984.900000000009</v>
      </c>
      <c r="DF149" s="452">
        <f>_xlfn.XLOOKUP($A149,'Actuals Summer'!$A:$A,'Actuals Summer'!J:J,0,0)</f>
        <v>12140.7</v>
      </c>
      <c r="DG149" s="452">
        <f>_xlfn.XLOOKUP($A149,'Actuals Dep Summer'!$B:$B,'Actuals Dep Summer'!G:G,0,0)*'Actuals Dep Summer'!$F$2*'Actuals Dep Summer'!$C$2</f>
        <v>2141.1</v>
      </c>
      <c r="DH149" s="452">
        <f>_xlfn.XLOOKUP($A149,'Actuals Dep Summer'!$B:$B,'Actuals Dep Summer'!H:H,0,0)*'Actuals Dep Summer'!$F$2*'Actuals Dep Summer'!$C$3</f>
        <v>2601.2999999999997</v>
      </c>
      <c r="DI149" s="452">
        <f>_xlfn.XLOOKUP($A149,'Actuals Dep Summer'!$B:$B,'Actuals Dep Summer'!I:I,0,0)*'Actuals Dep Summer'!$F$2*'Actuals Dep Summer'!$C$4</f>
        <v>156</v>
      </c>
      <c r="DJ149" s="452">
        <f>_xlfn.XLOOKUP($A149,'Actuals Summer'!$A:$A,'Actuals Summer'!P:P,0,0)</f>
        <v>3315</v>
      </c>
      <c r="DK149" s="452">
        <f>_xlfn.XLOOKUP($A149,'Actuals Summer'!$A:$A,'Actuals Summer'!O:O,0,0)</f>
        <v>1267.8421052631579</v>
      </c>
      <c r="DL149" s="452"/>
      <c r="DM149" s="452">
        <f>_xlfn.XLOOKUP($A149,'Actuals Summer'!$A:$A,'Actuals Summer'!M:M,0,0)</f>
        <v>0</v>
      </c>
      <c r="DN149" s="453">
        <f t="shared" si="64"/>
        <v>106606.84210526317</v>
      </c>
      <c r="DO149" s="453">
        <f>_xlfn.XLOOKUP(A149,'Actuals Summer'!A:A,'Actuals Summer'!S:S,0,0)-'Summer data team '!DN149</f>
        <v>0</v>
      </c>
      <c r="DP149" s="463">
        <f t="shared" si="65"/>
        <v>592.80000000000291</v>
      </c>
    </row>
    <row r="150" spans="1:120" ht="13" x14ac:dyDescent="0.3">
      <c r="A150" s="364">
        <v>2480</v>
      </c>
      <c r="B150" s="364">
        <v>3302480</v>
      </c>
      <c r="C150" s="364" t="s">
        <v>345</v>
      </c>
      <c r="D150" s="506">
        <v>0</v>
      </c>
      <c r="E150" s="506">
        <v>0</v>
      </c>
      <c r="F150" s="506">
        <v>0</v>
      </c>
      <c r="G150" s="506">
        <v>13</v>
      </c>
      <c r="H150" s="506">
        <v>15</v>
      </c>
      <c r="I150" s="507">
        <v>0</v>
      </c>
      <c r="J150" s="507">
        <v>28</v>
      </c>
      <c r="K150" s="506">
        <v>1</v>
      </c>
      <c r="L150" s="506">
        <v>1</v>
      </c>
      <c r="M150" s="507">
        <v>2</v>
      </c>
      <c r="N150" s="506">
        <v>0</v>
      </c>
      <c r="O150" s="506">
        <v>0</v>
      </c>
      <c r="P150" s="506">
        <v>195</v>
      </c>
      <c r="Q150" s="506">
        <v>225</v>
      </c>
      <c r="R150" s="507">
        <v>420</v>
      </c>
      <c r="S150" s="506">
        <v>0</v>
      </c>
      <c r="T150" s="506">
        <v>0</v>
      </c>
      <c r="U150" s="506">
        <v>15</v>
      </c>
      <c r="V150" s="506">
        <v>15</v>
      </c>
      <c r="W150" s="507">
        <v>30</v>
      </c>
      <c r="X150" s="506">
        <v>24</v>
      </c>
      <c r="Y150" s="506">
        <v>360</v>
      </c>
      <c r="Z150" s="508">
        <v>30</v>
      </c>
      <c r="AA150" s="506">
        <v>1</v>
      </c>
      <c r="AB150" s="506">
        <v>15</v>
      </c>
      <c r="AC150" s="508">
        <v>0</v>
      </c>
      <c r="AD150" s="506">
        <v>0</v>
      </c>
      <c r="AE150" s="506">
        <v>0</v>
      </c>
      <c r="AF150" s="508">
        <v>0</v>
      </c>
      <c r="AG150" s="509">
        <v>0</v>
      </c>
      <c r="AH150" s="509">
        <v>0</v>
      </c>
      <c r="AI150" s="508">
        <v>0</v>
      </c>
      <c r="AJ150" s="509">
        <v>11</v>
      </c>
      <c r="AK150" s="509">
        <v>165</v>
      </c>
      <c r="AL150" s="508">
        <v>15</v>
      </c>
      <c r="AM150" s="506">
        <v>11</v>
      </c>
      <c r="AN150" s="506">
        <v>165</v>
      </c>
      <c r="AO150" s="508">
        <v>15</v>
      </c>
      <c r="AP150" s="508"/>
      <c r="AQ150" s="508">
        <f t="shared" si="66"/>
        <v>11</v>
      </c>
      <c r="AR150" s="509">
        <v>0</v>
      </c>
      <c r="AS150" s="509">
        <v>0</v>
      </c>
      <c r="AT150" s="508">
        <v>0</v>
      </c>
      <c r="AU150" s="509">
        <v>1</v>
      </c>
      <c r="AV150" s="509">
        <v>15</v>
      </c>
      <c r="AW150" s="508">
        <v>0</v>
      </c>
      <c r="AX150" s="506">
        <v>1</v>
      </c>
      <c r="AY150" s="506">
        <v>15</v>
      </c>
      <c r="AZ150" s="508">
        <v>0</v>
      </c>
      <c r="BA150" s="508"/>
      <c r="BB150" s="508">
        <f t="shared" si="67"/>
        <v>2</v>
      </c>
      <c r="BC150" s="509">
        <v>0</v>
      </c>
      <c r="BD150" s="509">
        <v>0</v>
      </c>
      <c r="BE150" s="506">
        <v>0</v>
      </c>
      <c r="BF150" s="200"/>
      <c r="BG150" s="200"/>
      <c r="BH150" s="200"/>
      <c r="BI150" s="200"/>
      <c r="BJ150" s="200"/>
      <c r="BK150" s="200"/>
      <c r="BL150" s="200"/>
      <c r="BM150" s="505">
        <f t="shared" si="68"/>
        <v>0</v>
      </c>
      <c r="BN150" s="200">
        <f t="shared" si="69"/>
        <v>0</v>
      </c>
      <c r="BO150" s="200">
        <f t="shared" si="62"/>
        <v>0</v>
      </c>
      <c r="BP150" s="200">
        <f t="shared" si="70"/>
        <v>5460</v>
      </c>
      <c r="BQ150" s="200">
        <f t="shared" si="71"/>
        <v>390</v>
      </c>
      <c r="BR150" s="200">
        <f t="shared" si="72"/>
        <v>5070</v>
      </c>
      <c r="BS150" s="200">
        <f t="shared" si="73"/>
        <v>195</v>
      </c>
      <c r="BT150" s="200">
        <f t="shared" si="74"/>
        <v>0</v>
      </c>
      <c r="BU150" s="200">
        <f t="shared" si="75"/>
        <v>2145</v>
      </c>
      <c r="BV150" s="200">
        <v>1</v>
      </c>
      <c r="BW150" s="200">
        <v>0</v>
      </c>
      <c r="BX150" s="200">
        <f t="shared" si="76"/>
        <v>0</v>
      </c>
      <c r="CB150" s="381">
        <f>_xlfn.IFNA(VLOOKUP(A150,'Actuals Summer'!$A:$AG,23,FALSE),0)</f>
        <v>5460</v>
      </c>
      <c r="CC150" s="381">
        <f>_xlfn.IFNA(VLOOKUP(A150,'Actuals Summer'!$A:$AG,24,FALSE),0)</f>
        <v>390</v>
      </c>
      <c r="CD150" s="381">
        <f>_xlfn.IFNA(VLOOKUP(A150,'Actuals Summer'!$A:$AG,25,FALSE),0)</f>
        <v>0</v>
      </c>
      <c r="CE150" s="381">
        <f>_xlfn.IFNA(VLOOKUP(A150,'Actuals Summer'!$A:$AG,26,FALSE),0)</f>
        <v>0</v>
      </c>
      <c r="CF150" s="381">
        <f>_xlfn.IFNA(VLOOKUP(A150,'Actuals Summer'!$A:$AG,27,FALSE),0)</f>
        <v>0</v>
      </c>
      <c r="CG150" s="381">
        <f>_xlfn.IFNA(VLOOKUP(A150,'Actuals Dep Summer'!B:O,6,FALSE)*$BN$3,0)</f>
        <v>4680</v>
      </c>
      <c r="CH150" s="381">
        <f>_xlfn.IFNA(VLOOKUP(A150,'Actuals Dep Summer'!B:O,7,FALSE)*$BN$3,0)</f>
        <v>195</v>
      </c>
      <c r="CI150" s="381">
        <f>_xlfn.IFNA(VLOOKUP(A150,'Actuals Dep Summer'!B:O,8,FALSE)*$BN$3,0)</f>
        <v>0</v>
      </c>
      <c r="CJ150" s="381">
        <f>_xlfn.IFNA(VLOOKUP(A150,'Actuals Summer'!$A:$AG,31,FALSE),0)*$BN$3</f>
        <v>12.992847973592518</v>
      </c>
      <c r="CK150" s="381"/>
      <c r="CL150" s="381">
        <f>_xlfn.IFNA(VLOOKUP(A150,'Actuals Summer'!$A:$AG,32,FALSE),0)*$BN$3</f>
        <v>27885</v>
      </c>
      <c r="CM150" s="381">
        <f>_xlfn.IFNA(VLOOKUP(A150,'Actuals Summer'!$A:$AG,33,FALSE),0)</f>
        <v>0</v>
      </c>
      <c r="CP150" s="458">
        <f t="shared" si="77"/>
        <v>0</v>
      </c>
      <c r="CQ150" s="458">
        <f t="shared" si="78"/>
        <v>0</v>
      </c>
      <c r="CR150" s="458">
        <f t="shared" si="63"/>
        <v>0</v>
      </c>
      <c r="CS150" s="458">
        <f t="shared" si="79"/>
        <v>30903.600000000002</v>
      </c>
      <c r="CT150" s="458">
        <f t="shared" si="80"/>
        <v>2207.4</v>
      </c>
      <c r="CU150" s="458">
        <f t="shared" si="81"/>
        <v>3092.7</v>
      </c>
      <c r="CV150" s="458">
        <f t="shared" si="82"/>
        <v>56.55</v>
      </c>
      <c r="CW150" s="458">
        <f t="shared" si="83"/>
        <v>0</v>
      </c>
      <c r="CX150" s="458">
        <f t="shared" si="84"/>
        <v>2145</v>
      </c>
      <c r="CY150" s="458">
        <f t="shared" si="85"/>
        <v>74.578947368421041</v>
      </c>
      <c r="CZ150" s="458">
        <f t="shared" si="86"/>
        <v>0</v>
      </c>
      <c r="DA150" s="458">
        <f t="shared" si="87"/>
        <v>0</v>
      </c>
      <c r="DB150" s="458">
        <f t="shared" si="88"/>
        <v>38479.82894736842</v>
      </c>
      <c r="DC150" s="452">
        <f>_xlfn.XLOOKUP($A150,'Actuals Summer'!$A:$A,'Actuals Summer'!L:L,0,0)</f>
        <v>0</v>
      </c>
      <c r="DD150" s="452">
        <f>_xlfn.XLOOKUP($A150,'Actuals Summer'!$A:$A,'Actuals Summer'!K:K,0,0)+_xlfn.XLOOKUP($A150,'Actuals Summer'!$A:$A,'Actuals Summer'!Q:Q,0,0)</f>
        <v>0</v>
      </c>
      <c r="DE150" s="452">
        <f>_xlfn.XLOOKUP($A150,'Actuals Summer'!$A:$A,'Actuals Summer'!I:I,0,0)+_xlfn.XLOOKUP($A150,'Actuals Summer'!$A:$A,'Actuals Summer'!R:R,0,0)</f>
        <v>30903.600000000002</v>
      </c>
      <c r="DF150" s="452">
        <f>_xlfn.XLOOKUP($A150,'Actuals Summer'!$A:$A,'Actuals Summer'!J:J,0,0)</f>
        <v>2207.4</v>
      </c>
      <c r="DG150" s="452">
        <f>_xlfn.XLOOKUP($A150,'Actuals Dep Summer'!$B:$B,'Actuals Dep Summer'!G:G,0,0)*'Actuals Dep Summer'!$F$2*'Actuals Dep Summer'!$C$2</f>
        <v>2854.7999999999997</v>
      </c>
      <c r="DH150" s="452">
        <f>_xlfn.XLOOKUP($A150,'Actuals Dep Summer'!$B:$B,'Actuals Dep Summer'!H:H,0,0)*'Actuals Dep Summer'!$F$2*'Actuals Dep Summer'!$C$3</f>
        <v>56.55</v>
      </c>
      <c r="DI150" s="452">
        <f>_xlfn.XLOOKUP($A150,'Actuals Dep Summer'!$B:$B,'Actuals Dep Summer'!I:I,0,0)*'Actuals Dep Summer'!$F$2*'Actuals Dep Summer'!$C$4</f>
        <v>0</v>
      </c>
      <c r="DJ150" s="452">
        <f>_xlfn.XLOOKUP($A150,'Actuals Summer'!$A:$A,'Actuals Summer'!P:P,0,0)</f>
        <v>2145</v>
      </c>
      <c r="DK150" s="452">
        <f>_xlfn.XLOOKUP($A150,'Actuals Summer'!$A:$A,'Actuals Summer'!O:O,0,0)</f>
        <v>74.578947368421055</v>
      </c>
      <c r="DL150" s="452"/>
      <c r="DM150" s="452">
        <f>_xlfn.XLOOKUP($A150,'Actuals Summer'!$A:$A,'Actuals Summer'!M:M,0,0)</f>
        <v>0</v>
      </c>
      <c r="DN150" s="453">
        <f t="shared" si="64"/>
        <v>38241.928947368426</v>
      </c>
      <c r="DO150" s="453">
        <f>_xlfn.XLOOKUP(A150,'Actuals Summer'!A:A,'Actuals Summer'!S:S,0,0)-'Summer data team '!DN150</f>
        <v>0</v>
      </c>
      <c r="DP150" s="463">
        <f t="shared" si="65"/>
        <v>237.89999999999418</v>
      </c>
    </row>
    <row r="151" spans="1:120" ht="13" x14ac:dyDescent="0.3">
      <c r="A151" s="364">
        <v>2481</v>
      </c>
      <c r="B151" s="364">
        <v>3302481</v>
      </c>
      <c r="C151" s="364" t="s">
        <v>346</v>
      </c>
      <c r="D151" s="506">
        <v>0</v>
      </c>
      <c r="E151" s="506">
        <v>0</v>
      </c>
      <c r="F151" s="506">
        <v>0</v>
      </c>
      <c r="G151" s="506">
        <v>21</v>
      </c>
      <c r="H151" s="506">
        <v>25</v>
      </c>
      <c r="I151" s="507">
        <v>0</v>
      </c>
      <c r="J151" s="507">
        <v>46</v>
      </c>
      <c r="K151" s="506">
        <v>1</v>
      </c>
      <c r="L151" s="506">
        <v>2</v>
      </c>
      <c r="M151" s="507">
        <v>3</v>
      </c>
      <c r="N151" s="506">
        <v>0</v>
      </c>
      <c r="O151" s="506">
        <v>0</v>
      </c>
      <c r="P151" s="506">
        <v>315</v>
      </c>
      <c r="Q151" s="506">
        <v>375</v>
      </c>
      <c r="R151" s="507">
        <v>690</v>
      </c>
      <c r="S151" s="506">
        <v>0</v>
      </c>
      <c r="T151" s="506">
        <v>0</v>
      </c>
      <c r="U151" s="506">
        <v>15</v>
      </c>
      <c r="V151" s="506">
        <v>30</v>
      </c>
      <c r="W151" s="507">
        <v>45</v>
      </c>
      <c r="X151" s="506">
        <v>0</v>
      </c>
      <c r="Y151" s="506">
        <v>0</v>
      </c>
      <c r="Z151" s="508">
        <v>0</v>
      </c>
      <c r="AA151" s="506">
        <v>2</v>
      </c>
      <c r="AB151" s="506">
        <v>30</v>
      </c>
      <c r="AC151" s="508">
        <v>0</v>
      </c>
      <c r="AD151" s="506">
        <v>37</v>
      </c>
      <c r="AE151" s="506">
        <v>555</v>
      </c>
      <c r="AF151" s="508">
        <v>15</v>
      </c>
      <c r="AG151" s="509">
        <v>0</v>
      </c>
      <c r="AH151" s="509">
        <v>0</v>
      </c>
      <c r="AI151" s="508">
        <v>0</v>
      </c>
      <c r="AJ151" s="509">
        <v>18</v>
      </c>
      <c r="AK151" s="509">
        <v>270</v>
      </c>
      <c r="AL151" s="508">
        <v>30</v>
      </c>
      <c r="AM151" s="506">
        <v>18</v>
      </c>
      <c r="AN151" s="506">
        <v>270</v>
      </c>
      <c r="AO151" s="508">
        <v>30</v>
      </c>
      <c r="AP151" s="508"/>
      <c r="AQ151" s="508">
        <f t="shared" si="66"/>
        <v>18</v>
      </c>
      <c r="AR151" s="509">
        <v>0</v>
      </c>
      <c r="AS151" s="509">
        <v>0</v>
      </c>
      <c r="AT151" s="508">
        <v>0</v>
      </c>
      <c r="AU151" s="509">
        <v>18</v>
      </c>
      <c r="AV151" s="509">
        <v>270</v>
      </c>
      <c r="AW151" s="508">
        <v>30</v>
      </c>
      <c r="AX151" s="506">
        <v>18</v>
      </c>
      <c r="AY151" s="506">
        <v>270</v>
      </c>
      <c r="AZ151" s="508">
        <v>30</v>
      </c>
      <c r="BA151" s="508"/>
      <c r="BB151" s="508">
        <f t="shared" si="67"/>
        <v>36</v>
      </c>
      <c r="BC151" s="509">
        <v>0</v>
      </c>
      <c r="BD151" s="509">
        <v>0</v>
      </c>
      <c r="BE151" s="506">
        <v>0</v>
      </c>
      <c r="BF151" s="200"/>
      <c r="BG151" s="200"/>
      <c r="BH151" s="200"/>
      <c r="BI151" s="200"/>
      <c r="BJ151" s="200"/>
      <c r="BK151" s="200"/>
      <c r="BL151" s="200"/>
      <c r="BM151" s="505">
        <f t="shared" si="68"/>
        <v>0</v>
      </c>
      <c r="BN151" s="200">
        <f t="shared" si="69"/>
        <v>0</v>
      </c>
      <c r="BO151" s="200">
        <f t="shared" si="62"/>
        <v>0</v>
      </c>
      <c r="BP151" s="200">
        <f t="shared" si="70"/>
        <v>8970</v>
      </c>
      <c r="BQ151" s="200">
        <f t="shared" si="71"/>
        <v>585</v>
      </c>
      <c r="BR151" s="200">
        <f t="shared" si="72"/>
        <v>0</v>
      </c>
      <c r="BS151" s="200">
        <f t="shared" si="73"/>
        <v>390</v>
      </c>
      <c r="BT151" s="200">
        <f t="shared" si="74"/>
        <v>7410</v>
      </c>
      <c r="BU151" s="200">
        <f t="shared" si="75"/>
        <v>3510</v>
      </c>
      <c r="BV151" s="200">
        <v>16</v>
      </c>
      <c r="BW151" s="200">
        <v>2</v>
      </c>
      <c r="BX151" s="200">
        <f t="shared" si="76"/>
        <v>0</v>
      </c>
      <c r="CB151" s="381">
        <f>_xlfn.IFNA(VLOOKUP(A151,'Actuals Summer'!$A:$AG,23,FALSE),0)</f>
        <v>8970</v>
      </c>
      <c r="CC151" s="381">
        <f>_xlfn.IFNA(VLOOKUP(A151,'Actuals Summer'!$A:$AG,24,FALSE),0)</f>
        <v>585</v>
      </c>
      <c r="CD151" s="381">
        <f>_xlfn.IFNA(VLOOKUP(A151,'Actuals Summer'!$A:$AG,25,FALSE),0)</f>
        <v>0</v>
      </c>
      <c r="CE151" s="381">
        <f>_xlfn.IFNA(VLOOKUP(A151,'Actuals Summer'!$A:$AG,26,FALSE),0)</f>
        <v>0</v>
      </c>
      <c r="CF151" s="381">
        <f>_xlfn.IFNA(VLOOKUP(A151,'Actuals Summer'!$A:$AG,27,FALSE),0)</f>
        <v>0</v>
      </c>
      <c r="CG151" s="381">
        <f>_xlfn.IFNA(VLOOKUP(A151,'Actuals Dep Summer'!B:O,6,FALSE)*$BN$3,0)</f>
        <v>0</v>
      </c>
      <c r="CH151" s="381">
        <f>_xlfn.IFNA(VLOOKUP(A151,'Actuals Dep Summer'!B:O,7,FALSE)*$BN$3,0)</f>
        <v>390</v>
      </c>
      <c r="CI151" s="381">
        <f>_xlfn.IFNA(VLOOKUP(A151,'Actuals Dep Summer'!B:O,8,FALSE)*$BN$3,0)</f>
        <v>7215</v>
      </c>
      <c r="CJ151" s="381">
        <f>_xlfn.IFNA(VLOOKUP(A151,'Actuals Summer'!$A:$AG,31,FALSE),0)*$BN$3</f>
        <v>233.87126352466532</v>
      </c>
      <c r="CK151" s="381"/>
      <c r="CL151" s="381">
        <f>_xlfn.IFNA(VLOOKUP(A151,'Actuals Summer'!$A:$AG,32,FALSE),0)*$BN$3</f>
        <v>45630</v>
      </c>
      <c r="CM151" s="381">
        <f>_xlfn.IFNA(VLOOKUP(A151,'Actuals Summer'!$A:$AG,33,FALSE),0)</f>
        <v>0</v>
      </c>
      <c r="CP151" s="458">
        <f t="shared" si="77"/>
        <v>0</v>
      </c>
      <c r="CQ151" s="458">
        <f t="shared" si="78"/>
        <v>0</v>
      </c>
      <c r="CR151" s="458">
        <f t="shared" si="63"/>
        <v>0</v>
      </c>
      <c r="CS151" s="458">
        <f t="shared" si="79"/>
        <v>50770.200000000004</v>
      </c>
      <c r="CT151" s="458">
        <f t="shared" si="80"/>
        <v>3311.1</v>
      </c>
      <c r="CU151" s="458">
        <f t="shared" si="81"/>
        <v>0</v>
      </c>
      <c r="CV151" s="458">
        <f t="shared" si="82"/>
        <v>113.1</v>
      </c>
      <c r="CW151" s="458">
        <f t="shared" si="83"/>
        <v>592.80000000000007</v>
      </c>
      <c r="CX151" s="458">
        <f t="shared" si="84"/>
        <v>3510</v>
      </c>
      <c r="CY151" s="458">
        <f t="shared" si="85"/>
        <v>1193.2631578947367</v>
      </c>
      <c r="CZ151" s="458">
        <f t="shared" si="86"/>
        <v>372.89473684210526</v>
      </c>
      <c r="DA151" s="458">
        <f t="shared" si="87"/>
        <v>0</v>
      </c>
      <c r="DB151" s="458">
        <f t="shared" si="88"/>
        <v>59863.357894736851</v>
      </c>
      <c r="DC151" s="452">
        <f>_xlfn.XLOOKUP($A151,'Actuals Summer'!$A:$A,'Actuals Summer'!L:L,0,0)</f>
        <v>0</v>
      </c>
      <c r="DD151" s="452">
        <f>_xlfn.XLOOKUP($A151,'Actuals Summer'!$A:$A,'Actuals Summer'!K:K,0,0)+_xlfn.XLOOKUP($A151,'Actuals Summer'!$A:$A,'Actuals Summer'!Q:Q,0,0)</f>
        <v>0</v>
      </c>
      <c r="DE151" s="452">
        <f>_xlfn.XLOOKUP($A151,'Actuals Summer'!$A:$A,'Actuals Summer'!I:I,0,0)+_xlfn.XLOOKUP($A151,'Actuals Summer'!$A:$A,'Actuals Summer'!R:R,0,0)</f>
        <v>50770.200000000004</v>
      </c>
      <c r="DF151" s="452">
        <f>_xlfn.XLOOKUP($A151,'Actuals Summer'!$A:$A,'Actuals Summer'!J:J,0,0)</f>
        <v>3311.1</v>
      </c>
      <c r="DG151" s="452">
        <f>_xlfn.XLOOKUP($A151,'Actuals Dep Summer'!$B:$B,'Actuals Dep Summer'!G:G,0,0)*'Actuals Dep Summer'!$F$2*'Actuals Dep Summer'!$C$2</f>
        <v>0</v>
      </c>
      <c r="DH151" s="452">
        <f>_xlfn.XLOOKUP($A151,'Actuals Dep Summer'!$B:$B,'Actuals Dep Summer'!H:H,0,0)*'Actuals Dep Summer'!$F$2*'Actuals Dep Summer'!$C$3</f>
        <v>113.1</v>
      </c>
      <c r="DI151" s="452">
        <f>_xlfn.XLOOKUP($A151,'Actuals Dep Summer'!$B:$B,'Actuals Dep Summer'!I:I,0,0)*'Actuals Dep Summer'!$F$2*'Actuals Dep Summer'!$C$4</f>
        <v>577.20000000000005</v>
      </c>
      <c r="DJ151" s="452">
        <f>_xlfn.XLOOKUP($A151,'Actuals Summer'!$A:$A,'Actuals Summer'!P:P,0,0)</f>
        <v>3510</v>
      </c>
      <c r="DK151" s="452">
        <f>_xlfn.XLOOKUP($A151,'Actuals Summer'!$A:$A,'Actuals Summer'!O:O,0,0)</f>
        <v>1342.421052631579</v>
      </c>
      <c r="DL151" s="452"/>
      <c r="DM151" s="452">
        <f>_xlfn.XLOOKUP($A151,'Actuals Summer'!$A:$A,'Actuals Summer'!M:M,0,0)</f>
        <v>0</v>
      </c>
      <c r="DN151" s="453">
        <f t="shared" si="64"/>
        <v>59624.021052631579</v>
      </c>
      <c r="DO151" s="453">
        <f>_xlfn.XLOOKUP(A151,'Actuals Summer'!A:A,'Actuals Summer'!S:S,0,0)-'Summer data team '!DN151</f>
        <v>0</v>
      </c>
      <c r="DP151" s="463">
        <f t="shared" si="65"/>
        <v>239.33684210527281</v>
      </c>
    </row>
    <row r="152" spans="1:120" ht="13" x14ac:dyDescent="0.3">
      <c r="A152" s="364">
        <v>2486</v>
      </c>
      <c r="B152" s="364">
        <v>3302486</v>
      </c>
      <c r="C152" s="364" t="s">
        <v>75</v>
      </c>
      <c r="D152" s="506">
        <v>0</v>
      </c>
      <c r="E152" s="506">
        <v>0</v>
      </c>
      <c r="F152" s="506">
        <v>0</v>
      </c>
      <c r="G152" s="506">
        <v>13</v>
      </c>
      <c r="H152" s="506">
        <v>5</v>
      </c>
      <c r="I152" s="507">
        <v>0</v>
      </c>
      <c r="J152" s="507">
        <v>18</v>
      </c>
      <c r="K152" s="506">
        <v>0</v>
      </c>
      <c r="L152" s="506">
        <v>0</v>
      </c>
      <c r="M152" s="507">
        <v>0</v>
      </c>
      <c r="N152" s="506">
        <v>0</v>
      </c>
      <c r="O152" s="506">
        <v>0</v>
      </c>
      <c r="P152" s="506">
        <v>195</v>
      </c>
      <c r="Q152" s="506">
        <v>75</v>
      </c>
      <c r="R152" s="507">
        <v>270</v>
      </c>
      <c r="S152" s="506">
        <v>0</v>
      </c>
      <c r="T152" s="506">
        <v>0</v>
      </c>
      <c r="U152" s="506">
        <v>0</v>
      </c>
      <c r="V152" s="506">
        <v>0</v>
      </c>
      <c r="W152" s="507">
        <v>0</v>
      </c>
      <c r="X152" s="506">
        <v>16</v>
      </c>
      <c r="Y152" s="506">
        <v>240</v>
      </c>
      <c r="Z152" s="508">
        <v>0</v>
      </c>
      <c r="AA152" s="506">
        <v>2</v>
      </c>
      <c r="AB152" s="506">
        <v>30</v>
      </c>
      <c r="AC152" s="508">
        <v>0</v>
      </c>
      <c r="AD152" s="506">
        <v>0</v>
      </c>
      <c r="AE152" s="506">
        <v>0</v>
      </c>
      <c r="AF152" s="508">
        <v>0</v>
      </c>
      <c r="AG152" s="509">
        <v>0</v>
      </c>
      <c r="AH152" s="509">
        <v>0</v>
      </c>
      <c r="AI152" s="508">
        <v>0</v>
      </c>
      <c r="AJ152" s="509">
        <v>9</v>
      </c>
      <c r="AK152" s="509">
        <v>135</v>
      </c>
      <c r="AL152" s="508">
        <v>0</v>
      </c>
      <c r="AM152" s="506">
        <v>9</v>
      </c>
      <c r="AN152" s="506">
        <v>135</v>
      </c>
      <c r="AO152" s="508">
        <v>0</v>
      </c>
      <c r="AP152" s="508"/>
      <c r="AQ152" s="508">
        <f t="shared" si="66"/>
        <v>9</v>
      </c>
      <c r="AR152" s="509">
        <v>0</v>
      </c>
      <c r="AS152" s="509">
        <v>0</v>
      </c>
      <c r="AT152" s="508">
        <v>0</v>
      </c>
      <c r="AU152" s="509">
        <v>9</v>
      </c>
      <c r="AV152" s="509">
        <v>135</v>
      </c>
      <c r="AW152" s="508">
        <v>0</v>
      </c>
      <c r="AX152" s="506">
        <v>9</v>
      </c>
      <c r="AY152" s="506">
        <v>135</v>
      </c>
      <c r="AZ152" s="508">
        <v>0</v>
      </c>
      <c r="BA152" s="508"/>
      <c r="BB152" s="508">
        <f t="shared" si="67"/>
        <v>18</v>
      </c>
      <c r="BC152" s="509">
        <v>0</v>
      </c>
      <c r="BD152" s="509">
        <v>0</v>
      </c>
      <c r="BE152" s="506">
        <v>0</v>
      </c>
      <c r="BF152" s="200"/>
      <c r="BG152" s="200"/>
      <c r="BH152" s="200"/>
      <c r="BI152" s="200"/>
      <c r="BJ152" s="200"/>
      <c r="BK152" s="200"/>
      <c r="BL152" s="200"/>
      <c r="BM152" s="505">
        <f t="shared" si="68"/>
        <v>0</v>
      </c>
      <c r="BN152" s="200">
        <f t="shared" si="69"/>
        <v>0</v>
      </c>
      <c r="BO152" s="200">
        <f t="shared" si="62"/>
        <v>0</v>
      </c>
      <c r="BP152" s="200">
        <f t="shared" si="70"/>
        <v>3510</v>
      </c>
      <c r="BQ152" s="200">
        <f t="shared" si="71"/>
        <v>0</v>
      </c>
      <c r="BR152" s="200">
        <f t="shared" si="72"/>
        <v>3120</v>
      </c>
      <c r="BS152" s="200">
        <f t="shared" si="73"/>
        <v>390</v>
      </c>
      <c r="BT152" s="200">
        <f t="shared" si="74"/>
        <v>0</v>
      </c>
      <c r="BU152" s="200">
        <f t="shared" si="75"/>
        <v>1755</v>
      </c>
      <c r="BV152" s="200">
        <v>9</v>
      </c>
      <c r="BW152" s="200">
        <v>0</v>
      </c>
      <c r="BX152" s="200">
        <f t="shared" si="76"/>
        <v>0</v>
      </c>
      <c r="CB152" s="381">
        <f>_xlfn.IFNA(VLOOKUP(A152,'Actuals Summer'!$A:$AG,23,FALSE),0)</f>
        <v>3510.0000000000005</v>
      </c>
      <c r="CC152" s="381">
        <f>_xlfn.IFNA(VLOOKUP(A152,'Actuals Summer'!$A:$AG,24,FALSE),0)</f>
        <v>0</v>
      </c>
      <c r="CD152" s="381">
        <f>_xlfn.IFNA(VLOOKUP(A152,'Actuals Summer'!$A:$AG,25,FALSE),0)</f>
        <v>0</v>
      </c>
      <c r="CE152" s="381">
        <f>_xlfn.IFNA(VLOOKUP(A152,'Actuals Summer'!$A:$AG,26,FALSE),0)</f>
        <v>0</v>
      </c>
      <c r="CF152" s="381">
        <f>_xlfn.IFNA(VLOOKUP(A152,'Actuals Summer'!$A:$AG,27,FALSE),0)</f>
        <v>0</v>
      </c>
      <c r="CG152" s="381">
        <f>_xlfn.IFNA(VLOOKUP(A152,'Actuals Dep Summer'!B:O,6,FALSE)*$BN$3,0)</f>
        <v>3120</v>
      </c>
      <c r="CH152" s="381">
        <f>_xlfn.IFNA(VLOOKUP(A152,'Actuals Dep Summer'!B:O,7,FALSE)*$BN$3,0)</f>
        <v>390</v>
      </c>
      <c r="CI152" s="381">
        <f>_xlfn.IFNA(VLOOKUP(A152,'Actuals Dep Summer'!B:O,8,FALSE)*$BN$3,0)</f>
        <v>0</v>
      </c>
      <c r="CJ152" s="381">
        <f>_xlfn.IFNA(VLOOKUP(A152,'Actuals Summer'!$A:$AG,31,FALSE),0)*$BN$3</f>
        <v>116.93563176233266</v>
      </c>
      <c r="CK152" s="381"/>
      <c r="CL152" s="381">
        <f>_xlfn.IFNA(VLOOKUP(A152,'Actuals Summer'!$A:$AG,32,FALSE),0)*$BN$3</f>
        <v>22815</v>
      </c>
      <c r="CM152" s="381">
        <f>_xlfn.IFNA(VLOOKUP(A152,'Actuals Summer'!$A:$AG,33,FALSE),0)</f>
        <v>0</v>
      </c>
      <c r="CP152" s="458">
        <f t="shared" si="77"/>
        <v>0</v>
      </c>
      <c r="CQ152" s="458">
        <f t="shared" si="78"/>
        <v>0</v>
      </c>
      <c r="CR152" s="458">
        <f t="shared" si="63"/>
        <v>0</v>
      </c>
      <c r="CS152" s="458">
        <f t="shared" si="79"/>
        <v>19866.600000000002</v>
      </c>
      <c r="CT152" s="458">
        <f t="shared" si="80"/>
        <v>0</v>
      </c>
      <c r="CU152" s="458">
        <f t="shared" si="81"/>
        <v>1903.2</v>
      </c>
      <c r="CV152" s="458">
        <f t="shared" si="82"/>
        <v>113.1</v>
      </c>
      <c r="CW152" s="458">
        <f t="shared" si="83"/>
        <v>0</v>
      </c>
      <c r="CX152" s="458">
        <f t="shared" si="84"/>
        <v>1755</v>
      </c>
      <c r="CY152" s="458">
        <f t="shared" si="85"/>
        <v>671.21052631578948</v>
      </c>
      <c r="CZ152" s="458">
        <f t="shared" si="86"/>
        <v>0</v>
      </c>
      <c r="DA152" s="458">
        <f t="shared" si="87"/>
        <v>0</v>
      </c>
      <c r="DB152" s="458">
        <f t="shared" si="88"/>
        <v>24309.110526315792</v>
      </c>
      <c r="DC152" s="452">
        <f>_xlfn.XLOOKUP($A152,'Actuals Summer'!$A:$A,'Actuals Summer'!L:L,0,0)</f>
        <v>0</v>
      </c>
      <c r="DD152" s="452">
        <f>_xlfn.XLOOKUP($A152,'Actuals Summer'!$A:$A,'Actuals Summer'!K:K,0,0)+_xlfn.XLOOKUP($A152,'Actuals Summer'!$A:$A,'Actuals Summer'!Q:Q,0,0)</f>
        <v>0</v>
      </c>
      <c r="DE152" s="452">
        <f>_xlfn.XLOOKUP($A152,'Actuals Summer'!$A:$A,'Actuals Summer'!I:I,0,0)+_xlfn.XLOOKUP($A152,'Actuals Summer'!$A:$A,'Actuals Summer'!R:R,0,0)</f>
        <v>19866.600000000002</v>
      </c>
      <c r="DF152" s="452">
        <f>_xlfn.XLOOKUP($A152,'Actuals Summer'!$A:$A,'Actuals Summer'!J:J,0,0)</f>
        <v>0</v>
      </c>
      <c r="DG152" s="452">
        <f>_xlfn.XLOOKUP($A152,'Actuals Dep Summer'!$B:$B,'Actuals Dep Summer'!G:G,0,0)*'Actuals Dep Summer'!$F$2*'Actuals Dep Summer'!$C$2</f>
        <v>1903.2</v>
      </c>
      <c r="DH152" s="452">
        <f>_xlfn.XLOOKUP($A152,'Actuals Dep Summer'!$B:$B,'Actuals Dep Summer'!H:H,0,0)*'Actuals Dep Summer'!$F$2*'Actuals Dep Summer'!$C$3</f>
        <v>113.1</v>
      </c>
      <c r="DI152" s="452">
        <f>_xlfn.XLOOKUP($A152,'Actuals Dep Summer'!$B:$B,'Actuals Dep Summer'!I:I,0,0)*'Actuals Dep Summer'!$F$2*'Actuals Dep Summer'!$C$4</f>
        <v>0</v>
      </c>
      <c r="DJ152" s="452">
        <f>_xlfn.XLOOKUP($A152,'Actuals Summer'!$A:$A,'Actuals Summer'!P:P,0,0)</f>
        <v>1755</v>
      </c>
      <c r="DK152" s="452">
        <f>_xlfn.XLOOKUP($A152,'Actuals Summer'!$A:$A,'Actuals Summer'!O:O,0,0)</f>
        <v>671.21052631578948</v>
      </c>
      <c r="DL152" s="452"/>
      <c r="DM152" s="452">
        <f>_xlfn.XLOOKUP($A152,'Actuals Summer'!$A:$A,'Actuals Summer'!M:M,0,0)</f>
        <v>0</v>
      </c>
      <c r="DN152" s="453">
        <f t="shared" si="64"/>
        <v>24309.110526315792</v>
      </c>
      <c r="DO152" s="453">
        <f>_xlfn.XLOOKUP(A152,'Actuals Summer'!A:A,'Actuals Summer'!S:S,0,0)-'Summer data team '!DN152</f>
        <v>0</v>
      </c>
      <c r="DP152" s="463">
        <f t="shared" si="65"/>
        <v>0</v>
      </c>
    </row>
    <row r="153" spans="1:120" ht="13" x14ac:dyDescent="0.3">
      <c r="A153" s="364">
        <v>3002</v>
      </c>
      <c r="B153" s="364">
        <v>3303002</v>
      </c>
      <c r="C153" s="364" t="s">
        <v>348</v>
      </c>
      <c r="D153" s="506">
        <v>0</v>
      </c>
      <c r="E153" s="506">
        <v>0</v>
      </c>
      <c r="F153" s="506">
        <v>0</v>
      </c>
      <c r="G153" s="506">
        <v>9</v>
      </c>
      <c r="H153" s="506">
        <v>7</v>
      </c>
      <c r="I153" s="507">
        <v>0</v>
      </c>
      <c r="J153" s="507">
        <v>16</v>
      </c>
      <c r="K153" s="506">
        <v>0</v>
      </c>
      <c r="L153" s="506">
        <v>0</v>
      </c>
      <c r="M153" s="507">
        <v>0</v>
      </c>
      <c r="N153" s="506">
        <v>0</v>
      </c>
      <c r="O153" s="506">
        <v>0</v>
      </c>
      <c r="P153" s="506">
        <v>135</v>
      </c>
      <c r="Q153" s="506">
        <v>105</v>
      </c>
      <c r="R153" s="507">
        <v>240</v>
      </c>
      <c r="S153" s="506">
        <v>0</v>
      </c>
      <c r="T153" s="506">
        <v>0</v>
      </c>
      <c r="U153" s="506">
        <v>0</v>
      </c>
      <c r="V153" s="506">
        <v>0</v>
      </c>
      <c r="W153" s="507">
        <v>0</v>
      </c>
      <c r="X153" s="506">
        <v>12</v>
      </c>
      <c r="Y153" s="506">
        <v>180</v>
      </c>
      <c r="Z153" s="508">
        <v>0</v>
      </c>
      <c r="AA153" s="506">
        <v>1</v>
      </c>
      <c r="AB153" s="506">
        <v>15</v>
      </c>
      <c r="AC153" s="508">
        <v>0</v>
      </c>
      <c r="AD153" s="506">
        <v>2</v>
      </c>
      <c r="AE153" s="506">
        <v>30</v>
      </c>
      <c r="AF153" s="508">
        <v>0</v>
      </c>
      <c r="AG153" s="509">
        <v>0</v>
      </c>
      <c r="AH153" s="509">
        <v>0</v>
      </c>
      <c r="AI153" s="508">
        <v>0</v>
      </c>
      <c r="AJ153" s="509">
        <v>9</v>
      </c>
      <c r="AK153" s="509">
        <v>135</v>
      </c>
      <c r="AL153" s="508">
        <v>0</v>
      </c>
      <c r="AM153" s="506">
        <v>9</v>
      </c>
      <c r="AN153" s="506">
        <v>135</v>
      </c>
      <c r="AO153" s="508">
        <v>0</v>
      </c>
      <c r="AP153" s="508"/>
      <c r="AQ153" s="508">
        <f t="shared" si="66"/>
        <v>9</v>
      </c>
      <c r="AR153" s="509">
        <v>0</v>
      </c>
      <c r="AS153" s="509">
        <v>0</v>
      </c>
      <c r="AT153" s="508">
        <v>0</v>
      </c>
      <c r="AU153" s="509">
        <v>9</v>
      </c>
      <c r="AV153" s="509">
        <v>135</v>
      </c>
      <c r="AW153" s="508">
        <v>0</v>
      </c>
      <c r="AX153" s="506">
        <v>9</v>
      </c>
      <c r="AY153" s="506">
        <v>135</v>
      </c>
      <c r="AZ153" s="508">
        <v>0</v>
      </c>
      <c r="BA153" s="508"/>
      <c r="BB153" s="508">
        <f t="shared" si="67"/>
        <v>18</v>
      </c>
      <c r="BC153" s="509">
        <v>0</v>
      </c>
      <c r="BD153" s="509">
        <v>0</v>
      </c>
      <c r="BE153" s="506">
        <v>0</v>
      </c>
      <c r="BF153" s="200"/>
      <c r="BG153" s="200"/>
      <c r="BH153" s="200"/>
      <c r="BI153" s="200"/>
      <c r="BJ153" s="200"/>
      <c r="BK153" s="200"/>
      <c r="BL153" s="200"/>
      <c r="BM153" s="505">
        <f t="shared" si="68"/>
        <v>0</v>
      </c>
      <c r="BN153" s="200">
        <f t="shared" si="69"/>
        <v>0</v>
      </c>
      <c r="BO153" s="200">
        <f t="shared" si="62"/>
        <v>0</v>
      </c>
      <c r="BP153" s="200">
        <f t="shared" si="70"/>
        <v>3120</v>
      </c>
      <c r="BQ153" s="200">
        <f t="shared" si="71"/>
        <v>0</v>
      </c>
      <c r="BR153" s="200">
        <f t="shared" si="72"/>
        <v>2340</v>
      </c>
      <c r="BS153" s="200">
        <f t="shared" si="73"/>
        <v>195</v>
      </c>
      <c r="BT153" s="200">
        <f t="shared" si="74"/>
        <v>390</v>
      </c>
      <c r="BU153" s="200">
        <f t="shared" si="75"/>
        <v>1755</v>
      </c>
      <c r="BV153" s="200">
        <v>9</v>
      </c>
      <c r="BW153" s="200">
        <v>0</v>
      </c>
      <c r="BX153" s="200">
        <f t="shared" si="76"/>
        <v>0</v>
      </c>
      <c r="CB153" s="381">
        <f>_xlfn.IFNA(VLOOKUP(A153,'Actuals Summer'!$A:$AG,23,FALSE),0)</f>
        <v>3120</v>
      </c>
      <c r="CC153" s="381">
        <f>_xlfn.IFNA(VLOOKUP(A153,'Actuals Summer'!$A:$AG,24,FALSE),0)</f>
        <v>0</v>
      </c>
      <c r="CD153" s="381">
        <f>_xlfn.IFNA(VLOOKUP(A153,'Actuals Summer'!$A:$AG,25,FALSE),0)</f>
        <v>0</v>
      </c>
      <c r="CE153" s="381">
        <f>_xlfn.IFNA(VLOOKUP(A153,'Actuals Summer'!$A:$AG,26,FALSE),0)</f>
        <v>0</v>
      </c>
      <c r="CF153" s="381">
        <f>_xlfn.IFNA(VLOOKUP(A153,'Actuals Summer'!$A:$AG,27,FALSE),0)</f>
        <v>0</v>
      </c>
      <c r="CG153" s="381">
        <f>_xlfn.IFNA(VLOOKUP(A153,'Actuals Dep Summer'!B:O,6,FALSE)*$BN$3,0)</f>
        <v>2340</v>
      </c>
      <c r="CH153" s="381">
        <f>_xlfn.IFNA(VLOOKUP(A153,'Actuals Dep Summer'!B:O,7,FALSE)*$BN$3,0)</f>
        <v>195</v>
      </c>
      <c r="CI153" s="381">
        <f>_xlfn.IFNA(VLOOKUP(A153,'Actuals Dep Summer'!B:O,8,FALSE)*$BN$3,0)</f>
        <v>390</v>
      </c>
      <c r="CJ153" s="381">
        <f>_xlfn.IFNA(VLOOKUP(A153,'Actuals Summer'!$A:$AG,31,FALSE),0)*$BN$3</f>
        <v>116.93563176233266</v>
      </c>
      <c r="CK153" s="381"/>
      <c r="CL153" s="381">
        <f>_xlfn.IFNA(VLOOKUP(A153,'Actuals Summer'!$A:$AG,32,FALSE),0)*$BN$3</f>
        <v>22815</v>
      </c>
      <c r="CM153" s="381">
        <f>_xlfn.IFNA(VLOOKUP(A153,'Actuals Summer'!$A:$AG,33,FALSE),0)</f>
        <v>0</v>
      </c>
      <c r="CP153" s="458">
        <f t="shared" si="77"/>
        <v>0</v>
      </c>
      <c r="CQ153" s="458">
        <f t="shared" si="78"/>
        <v>0</v>
      </c>
      <c r="CR153" s="458">
        <f t="shared" si="63"/>
        <v>0</v>
      </c>
      <c r="CS153" s="458">
        <f t="shared" si="79"/>
        <v>17659.2</v>
      </c>
      <c r="CT153" s="458">
        <f t="shared" si="80"/>
        <v>0</v>
      </c>
      <c r="CU153" s="458">
        <f t="shared" si="81"/>
        <v>1427.3999999999999</v>
      </c>
      <c r="CV153" s="458">
        <f t="shared" si="82"/>
        <v>56.55</v>
      </c>
      <c r="CW153" s="458">
        <f t="shared" si="83"/>
        <v>31.2</v>
      </c>
      <c r="CX153" s="458">
        <f t="shared" si="84"/>
        <v>1755</v>
      </c>
      <c r="CY153" s="458">
        <f t="shared" si="85"/>
        <v>671.21052631578948</v>
      </c>
      <c r="CZ153" s="458">
        <f t="shared" si="86"/>
        <v>0</v>
      </c>
      <c r="DA153" s="458">
        <f t="shared" si="87"/>
        <v>0</v>
      </c>
      <c r="DB153" s="458">
        <f t="shared" si="88"/>
        <v>21600.560526315792</v>
      </c>
      <c r="DC153" s="452">
        <f>_xlfn.XLOOKUP($A153,'Actuals Summer'!$A:$A,'Actuals Summer'!L:L,0,0)</f>
        <v>0</v>
      </c>
      <c r="DD153" s="452">
        <f>_xlfn.XLOOKUP($A153,'Actuals Summer'!$A:$A,'Actuals Summer'!K:K,0,0)+_xlfn.XLOOKUP($A153,'Actuals Summer'!$A:$A,'Actuals Summer'!Q:Q,0,0)</f>
        <v>0</v>
      </c>
      <c r="DE153" s="452">
        <f>_xlfn.XLOOKUP($A153,'Actuals Summer'!$A:$A,'Actuals Summer'!I:I,0,0)+_xlfn.XLOOKUP($A153,'Actuals Summer'!$A:$A,'Actuals Summer'!R:R,0,0)</f>
        <v>17659.2</v>
      </c>
      <c r="DF153" s="452">
        <f>_xlfn.XLOOKUP($A153,'Actuals Summer'!$A:$A,'Actuals Summer'!J:J,0,0)</f>
        <v>0</v>
      </c>
      <c r="DG153" s="452">
        <f>_xlfn.XLOOKUP($A153,'Actuals Dep Summer'!$B:$B,'Actuals Dep Summer'!G:G,0,0)*'Actuals Dep Summer'!$F$2*'Actuals Dep Summer'!$C$2</f>
        <v>1427.3999999999999</v>
      </c>
      <c r="DH153" s="452">
        <f>_xlfn.XLOOKUP($A153,'Actuals Dep Summer'!$B:$B,'Actuals Dep Summer'!H:H,0,0)*'Actuals Dep Summer'!$F$2*'Actuals Dep Summer'!$C$3</f>
        <v>56.55</v>
      </c>
      <c r="DI153" s="452">
        <f>_xlfn.XLOOKUP($A153,'Actuals Dep Summer'!$B:$B,'Actuals Dep Summer'!I:I,0,0)*'Actuals Dep Summer'!$F$2*'Actuals Dep Summer'!$C$4</f>
        <v>31.2</v>
      </c>
      <c r="DJ153" s="452">
        <f>_xlfn.XLOOKUP($A153,'Actuals Summer'!$A:$A,'Actuals Summer'!P:P,0,0)</f>
        <v>1755</v>
      </c>
      <c r="DK153" s="452">
        <f>_xlfn.XLOOKUP($A153,'Actuals Summer'!$A:$A,'Actuals Summer'!O:O,0,0)</f>
        <v>671.21052631578948</v>
      </c>
      <c r="DL153" s="452"/>
      <c r="DM153" s="452">
        <f>_xlfn.XLOOKUP($A153,'Actuals Summer'!$A:$A,'Actuals Summer'!M:M,0,0)</f>
        <v>0</v>
      </c>
      <c r="DN153" s="453">
        <f t="shared" si="64"/>
        <v>21600.560526315792</v>
      </c>
      <c r="DO153" s="453">
        <f>_xlfn.XLOOKUP(A153,'Actuals Summer'!A:A,'Actuals Summer'!S:S,0,0)-'Summer data team '!DN153</f>
        <v>0</v>
      </c>
      <c r="DP153" s="463">
        <f t="shared" si="65"/>
        <v>0</v>
      </c>
    </row>
    <row r="154" spans="1:120" ht="13" x14ac:dyDescent="0.3">
      <c r="A154" s="364">
        <v>3015</v>
      </c>
      <c r="B154" s="364">
        <v>3303015</v>
      </c>
      <c r="C154" s="364" t="s">
        <v>349</v>
      </c>
      <c r="D154" s="506">
        <v>0</v>
      </c>
      <c r="E154" s="506">
        <v>0</v>
      </c>
      <c r="F154" s="506">
        <v>0</v>
      </c>
      <c r="G154" s="506">
        <v>9</v>
      </c>
      <c r="H154" s="506">
        <v>16</v>
      </c>
      <c r="I154" s="507">
        <v>0</v>
      </c>
      <c r="J154" s="507">
        <v>25</v>
      </c>
      <c r="K154" s="506">
        <v>0</v>
      </c>
      <c r="L154" s="506">
        <v>0</v>
      </c>
      <c r="M154" s="507">
        <v>0</v>
      </c>
      <c r="N154" s="506">
        <v>0</v>
      </c>
      <c r="O154" s="506">
        <v>0</v>
      </c>
      <c r="P154" s="506">
        <v>135</v>
      </c>
      <c r="Q154" s="506">
        <v>240</v>
      </c>
      <c r="R154" s="507">
        <v>375</v>
      </c>
      <c r="S154" s="506">
        <v>0</v>
      </c>
      <c r="T154" s="506">
        <v>0</v>
      </c>
      <c r="U154" s="506">
        <v>0</v>
      </c>
      <c r="V154" s="506">
        <v>0</v>
      </c>
      <c r="W154" s="507">
        <v>0</v>
      </c>
      <c r="X154" s="506">
        <v>1</v>
      </c>
      <c r="Y154" s="506">
        <v>15</v>
      </c>
      <c r="Z154" s="508">
        <v>0</v>
      </c>
      <c r="AA154" s="506">
        <v>9</v>
      </c>
      <c r="AB154" s="506">
        <v>135</v>
      </c>
      <c r="AC154" s="508">
        <v>0</v>
      </c>
      <c r="AD154" s="506">
        <v>3</v>
      </c>
      <c r="AE154" s="506">
        <v>45</v>
      </c>
      <c r="AF154" s="508">
        <v>0</v>
      </c>
      <c r="AG154" s="509">
        <v>0</v>
      </c>
      <c r="AH154" s="509">
        <v>0</v>
      </c>
      <c r="AI154" s="508">
        <v>0</v>
      </c>
      <c r="AJ154" s="509">
        <v>0</v>
      </c>
      <c r="AK154" s="509">
        <v>0</v>
      </c>
      <c r="AL154" s="508">
        <v>0</v>
      </c>
      <c r="AM154" s="506">
        <v>0</v>
      </c>
      <c r="AN154" s="506">
        <v>0</v>
      </c>
      <c r="AO154" s="508">
        <v>0</v>
      </c>
      <c r="AP154" s="508"/>
      <c r="AQ154" s="508">
        <f t="shared" si="66"/>
        <v>0</v>
      </c>
      <c r="AR154" s="509">
        <v>0</v>
      </c>
      <c r="AS154" s="509">
        <v>0</v>
      </c>
      <c r="AT154" s="508">
        <v>0</v>
      </c>
      <c r="AU154" s="509">
        <v>0</v>
      </c>
      <c r="AV154" s="509">
        <v>0</v>
      </c>
      <c r="AW154" s="508">
        <v>0</v>
      </c>
      <c r="AX154" s="506">
        <v>0</v>
      </c>
      <c r="AY154" s="506">
        <v>0</v>
      </c>
      <c r="AZ154" s="508">
        <v>0</v>
      </c>
      <c r="BA154" s="508"/>
      <c r="BB154" s="508">
        <f t="shared" si="67"/>
        <v>0</v>
      </c>
      <c r="BC154" s="509">
        <v>0</v>
      </c>
      <c r="BD154" s="509">
        <v>0</v>
      </c>
      <c r="BE154" s="506">
        <v>0</v>
      </c>
      <c r="BF154" s="200"/>
      <c r="BG154" s="200"/>
      <c r="BH154" s="200"/>
      <c r="BI154" s="200"/>
      <c r="BJ154" s="200"/>
      <c r="BK154" s="200"/>
      <c r="BL154" s="200"/>
      <c r="BM154" s="505">
        <f t="shared" si="68"/>
        <v>0</v>
      </c>
      <c r="BN154" s="200">
        <f t="shared" si="69"/>
        <v>0</v>
      </c>
      <c r="BO154" s="200">
        <f t="shared" si="62"/>
        <v>0</v>
      </c>
      <c r="BP154" s="200">
        <f t="shared" si="70"/>
        <v>4875</v>
      </c>
      <c r="BQ154" s="200">
        <f t="shared" si="71"/>
        <v>0</v>
      </c>
      <c r="BR154" s="200">
        <f t="shared" si="72"/>
        <v>195</v>
      </c>
      <c r="BS154" s="200">
        <f t="shared" si="73"/>
        <v>1755</v>
      </c>
      <c r="BT154" s="200">
        <f t="shared" si="74"/>
        <v>585</v>
      </c>
      <c r="BU154" s="200">
        <f t="shared" si="75"/>
        <v>0</v>
      </c>
      <c r="BV154" s="200">
        <v>0</v>
      </c>
      <c r="BW154" s="200">
        <v>0</v>
      </c>
      <c r="BX154" s="200">
        <f t="shared" si="76"/>
        <v>0</v>
      </c>
      <c r="CB154" s="381">
        <f>_xlfn.IFNA(VLOOKUP(A154,'Actuals Summer'!$A:$AG,23,FALSE),0)</f>
        <v>4875</v>
      </c>
      <c r="CC154" s="381">
        <f>_xlfn.IFNA(VLOOKUP(A154,'Actuals Summer'!$A:$AG,24,FALSE),0)</f>
        <v>0</v>
      </c>
      <c r="CD154" s="381">
        <f>_xlfn.IFNA(VLOOKUP(A154,'Actuals Summer'!$A:$AG,25,FALSE),0)</f>
        <v>0</v>
      </c>
      <c r="CE154" s="381">
        <f>_xlfn.IFNA(VLOOKUP(A154,'Actuals Summer'!$A:$AG,26,FALSE),0)</f>
        <v>0</v>
      </c>
      <c r="CF154" s="381">
        <f>_xlfn.IFNA(VLOOKUP(A154,'Actuals Summer'!$A:$AG,27,FALSE),0)</f>
        <v>0</v>
      </c>
      <c r="CG154" s="381">
        <f>_xlfn.IFNA(VLOOKUP(A154,'Actuals Dep Summer'!B:O,6,FALSE)*$BN$3,0)</f>
        <v>195</v>
      </c>
      <c r="CH154" s="381">
        <f>_xlfn.IFNA(VLOOKUP(A154,'Actuals Dep Summer'!B:O,7,FALSE)*$BN$3,0)</f>
        <v>1755</v>
      </c>
      <c r="CI154" s="381">
        <f>_xlfn.IFNA(VLOOKUP(A154,'Actuals Dep Summer'!B:O,8,FALSE)*$BN$3,0)</f>
        <v>585</v>
      </c>
      <c r="CJ154" s="381">
        <f>_xlfn.IFNA(VLOOKUP(A154,'Actuals Summer'!$A:$AG,31,FALSE),0)*$BN$3</f>
        <v>0</v>
      </c>
      <c r="CK154" s="381"/>
      <c r="CL154" s="381">
        <f>_xlfn.IFNA(VLOOKUP(A154,'Actuals Summer'!$A:$AG,32,FALSE),0)*$BN$3</f>
        <v>0</v>
      </c>
      <c r="CM154" s="381">
        <f>_xlfn.IFNA(VLOOKUP(A154,'Actuals Summer'!$A:$AG,33,FALSE),0)</f>
        <v>0</v>
      </c>
      <c r="CP154" s="458">
        <f t="shared" si="77"/>
        <v>0</v>
      </c>
      <c r="CQ154" s="458">
        <f t="shared" si="78"/>
        <v>0</v>
      </c>
      <c r="CR154" s="458">
        <f t="shared" si="63"/>
        <v>0</v>
      </c>
      <c r="CS154" s="458">
        <f t="shared" si="79"/>
        <v>27592.5</v>
      </c>
      <c r="CT154" s="458">
        <f t="shared" si="80"/>
        <v>0</v>
      </c>
      <c r="CU154" s="458">
        <f t="shared" si="81"/>
        <v>118.95</v>
      </c>
      <c r="CV154" s="458">
        <f t="shared" si="82"/>
        <v>508.95</v>
      </c>
      <c r="CW154" s="458">
        <f t="shared" si="83"/>
        <v>46.800000000000004</v>
      </c>
      <c r="CX154" s="458">
        <f t="shared" si="84"/>
        <v>0</v>
      </c>
      <c r="CY154" s="458">
        <f t="shared" si="85"/>
        <v>0</v>
      </c>
      <c r="CZ154" s="458">
        <f t="shared" si="86"/>
        <v>0</v>
      </c>
      <c r="DA154" s="458">
        <f t="shared" si="87"/>
        <v>0</v>
      </c>
      <c r="DB154" s="458">
        <f t="shared" si="88"/>
        <v>28267.200000000001</v>
      </c>
      <c r="DC154" s="452">
        <f>_xlfn.XLOOKUP($A154,'Actuals Summer'!$A:$A,'Actuals Summer'!L:L,0,0)</f>
        <v>0</v>
      </c>
      <c r="DD154" s="452">
        <f>_xlfn.XLOOKUP($A154,'Actuals Summer'!$A:$A,'Actuals Summer'!K:K,0,0)+_xlfn.XLOOKUP($A154,'Actuals Summer'!$A:$A,'Actuals Summer'!Q:Q,0,0)</f>
        <v>0</v>
      </c>
      <c r="DE154" s="452">
        <f>_xlfn.XLOOKUP($A154,'Actuals Summer'!$A:$A,'Actuals Summer'!I:I,0,0)+_xlfn.XLOOKUP($A154,'Actuals Summer'!$A:$A,'Actuals Summer'!R:R,0,0)</f>
        <v>27592.5</v>
      </c>
      <c r="DF154" s="452">
        <f>_xlfn.XLOOKUP($A154,'Actuals Summer'!$A:$A,'Actuals Summer'!J:J,0,0)</f>
        <v>0</v>
      </c>
      <c r="DG154" s="452">
        <f>_xlfn.XLOOKUP($A154,'Actuals Dep Summer'!$B:$B,'Actuals Dep Summer'!G:G,0,0)*'Actuals Dep Summer'!$F$2*'Actuals Dep Summer'!$C$2</f>
        <v>118.95</v>
      </c>
      <c r="DH154" s="452">
        <f>_xlfn.XLOOKUP($A154,'Actuals Dep Summer'!$B:$B,'Actuals Dep Summer'!H:H,0,0)*'Actuals Dep Summer'!$F$2*'Actuals Dep Summer'!$C$3</f>
        <v>508.95</v>
      </c>
      <c r="DI154" s="452">
        <f>_xlfn.XLOOKUP($A154,'Actuals Dep Summer'!$B:$B,'Actuals Dep Summer'!I:I,0,0)*'Actuals Dep Summer'!$F$2*'Actuals Dep Summer'!$C$4</f>
        <v>46.800000000000004</v>
      </c>
      <c r="DJ154" s="452">
        <f>_xlfn.XLOOKUP($A154,'Actuals Summer'!$A:$A,'Actuals Summer'!P:P,0,0)</f>
        <v>0</v>
      </c>
      <c r="DK154" s="452">
        <f>_xlfn.XLOOKUP($A154,'Actuals Summer'!$A:$A,'Actuals Summer'!O:O,0,0)</f>
        <v>0</v>
      </c>
      <c r="DL154" s="452"/>
      <c r="DM154" s="452">
        <f>_xlfn.XLOOKUP($A154,'Actuals Summer'!$A:$A,'Actuals Summer'!M:M,0,0)</f>
        <v>0</v>
      </c>
      <c r="DN154" s="453">
        <f t="shared" si="64"/>
        <v>28267.200000000001</v>
      </c>
      <c r="DO154" s="453">
        <f>_xlfn.XLOOKUP(A154,'Actuals Summer'!A:A,'Actuals Summer'!S:S,0,0)-'Summer data team '!DN154</f>
        <v>0</v>
      </c>
      <c r="DP154" s="463">
        <f t="shared" si="65"/>
        <v>0</v>
      </c>
    </row>
    <row r="155" spans="1:120" ht="13" x14ac:dyDescent="0.3">
      <c r="A155" s="364">
        <v>3302</v>
      </c>
      <c r="B155" s="364">
        <v>3303302</v>
      </c>
      <c r="C155" s="364" t="s">
        <v>854</v>
      </c>
      <c r="D155" s="506">
        <v>0</v>
      </c>
      <c r="E155" s="506">
        <v>0</v>
      </c>
      <c r="F155" s="506">
        <v>0</v>
      </c>
      <c r="G155" s="506">
        <v>18</v>
      </c>
      <c r="H155" s="506">
        <v>18</v>
      </c>
      <c r="I155" s="507">
        <v>0</v>
      </c>
      <c r="J155" s="507">
        <v>36</v>
      </c>
      <c r="K155" s="506">
        <v>7</v>
      </c>
      <c r="L155" s="506">
        <v>7</v>
      </c>
      <c r="M155" s="507">
        <v>14</v>
      </c>
      <c r="N155" s="506">
        <v>0</v>
      </c>
      <c r="O155" s="506">
        <v>0</v>
      </c>
      <c r="P155" s="506">
        <v>270</v>
      </c>
      <c r="Q155" s="506">
        <v>270</v>
      </c>
      <c r="R155" s="507">
        <v>540</v>
      </c>
      <c r="S155" s="506">
        <v>0</v>
      </c>
      <c r="T155" s="506">
        <v>0</v>
      </c>
      <c r="U155" s="506">
        <v>105</v>
      </c>
      <c r="V155" s="506">
        <v>105</v>
      </c>
      <c r="W155" s="507">
        <v>210</v>
      </c>
      <c r="X155" s="506">
        <v>4</v>
      </c>
      <c r="Y155" s="506">
        <v>60</v>
      </c>
      <c r="Z155" s="508">
        <v>15</v>
      </c>
      <c r="AA155" s="506">
        <v>5</v>
      </c>
      <c r="AB155" s="506">
        <v>75</v>
      </c>
      <c r="AC155" s="508">
        <v>15</v>
      </c>
      <c r="AD155" s="506">
        <v>4</v>
      </c>
      <c r="AE155" s="506">
        <v>60</v>
      </c>
      <c r="AF155" s="508">
        <v>30</v>
      </c>
      <c r="AG155" s="509">
        <v>0</v>
      </c>
      <c r="AH155" s="509">
        <v>0</v>
      </c>
      <c r="AI155" s="508">
        <v>0</v>
      </c>
      <c r="AJ155" s="509">
        <v>8</v>
      </c>
      <c r="AK155" s="509">
        <v>120</v>
      </c>
      <c r="AL155" s="508">
        <v>15</v>
      </c>
      <c r="AM155" s="506">
        <v>8</v>
      </c>
      <c r="AN155" s="506">
        <v>120</v>
      </c>
      <c r="AO155" s="508">
        <v>15</v>
      </c>
      <c r="AP155" s="508"/>
      <c r="AQ155" s="508">
        <f t="shared" si="66"/>
        <v>8</v>
      </c>
      <c r="AR155" s="509">
        <v>0</v>
      </c>
      <c r="AS155" s="509">
        <v>0</v>
      </c>
      <c r="AT155" s="508">
        <v>0</v>
      </c>
      <c r="AU155" s="509">
        <v>8</v>
      </c>
      <c r="AV155" s="509">
        <v>120</v>
      </c>
      <c r="AW155" s="508">
        <v>15</v>
      </c>
      <c r="AX155" s="506">
        <v>8</v>
      </c>
      <c r="AY155" s="506">
        <v>120</v>
      </c>
      <c r="AZ155" s="508">
        <v>15</v>
      </c>
      <c r="BA155" s="508"/>
      <c r="BB155" s="508">
        <f t="shared" si="67"/>
        <v>16</v>
      </c>
      <c r="BC155" s="509">
        <v>0</v>
      </c>
      <c r="BD155" s="509">
        <v>0</v>
      </c>
      <c r="BE155" s="506">
        <v>0</v>
      </c>
      <c r="BF155" s="200"/>
      <c r="BG155" s="200"/>
      <c r="BH155" s="200"/>
      <c r="BI155" s="200"/>
      <c r="BJ155" s="200"/>
      <c r="BK155" s="200"/>
      <c r="BL155" s="200"/>
      <c r="BM155" s="505">
        <f t="shared" si="68"/>
        <v>0</v>
      </c>
      <c r="BN155" s="200">
        <f t="shared" si="69"/>
        <v>0</v>
      </c>
      <c r="BO155" s="200">
        <f t="shared" si="62"/>
        <v>0</v>
      </c>
      <c r="BP155" s="200">
        <f t="shared" si="70"/>
        <v>7020</v>
      </c>
      <c r="BQ155" s="200">
        <f t="shared" si="71"/>
        <v>2730</v>
      </c>
      <c r="BR155" s="200">
        <f t="shared" si="72"/>
        <v>975</v>
      </c>
      <c r="BS155" s="200">
        <f t="shared" si="73"/>
        <v>1170</v>
      </c>
      <c r="BT155" s="200">
        <f t="shared" si="74"/>
        <v>1170</v>
      </c>
      <c r="BU155" s="200">
        <f t="shared" si="75"/>
        <v>1560</v>
      </c>
      <c r="BV155" s="200">
        <v>7</v>
      </c>
      <c r="BW155" s="200">
        <v>1</v>
      </c>
      <c r="BX155" s="200">
        <f t="shared" si="76"/>
        <v>0</v>
      </c>
      <c r="CB155" s="381">
        <f>_xlfn.IFNA(VLOOKUP(A155,'Actuals Summer'!$A:$AG,23,FALSE),0)</f>
        <v>7020.0000000000009</v>
      </c>
      <c r="CC155" s="381">
        <f>_xlfn.IFNA(VLOOKUP(A155,'Actuals Summer'!$A:$AG,24,FALSE),0)</f>
        <v>2730</v>
      </c>
      <c r="CD155" s="381">
        <f>_xlfn.IFNA(VLOOKUP(A155,'Actuals Summer'!$A:$AG,25,FALSE),0)</f>
        <v>0</v>
      </c>
      <c r="CE155" s="381">
        <f>_xlfn.IFNA(VLOOKUP(A155,'Actuals Summer'!$A:$AG,26,FALSE),0)</f>
        <v>0</v>
      </c>
      <c r="CF155" s="381">
        <f>_xlfn.IFNA(VLOOKUP(A155,'Actuals Summer'!$A:$AG,27,FALSE),0)</f>
        <v>0</v>
      </c>
      <c r="CG155" s="381">
        <f>_xlfn.IFNA(VLOOKUP(A155,'Actuals Dep Summer'!B:O,6,FALSE)*$BN$3,0)</f>
        <v>780</v>
      </c>
      <c r="CH155" s="381">
        <f>_xlfn.IFNA(VLOOKUP(A155,'Actuals Dep Summer'!B:O,7,FALSE)*$BN$3,0)</f>
        <v>975</v>
      </c>
      <c r="CI155" s="381">
        <f>_xlfn.IFNA(VLOOKUP(A155,'Actuals Dep Summer'!B:O,8,FALSE)*$BN$3,0)</f>
        <v>780</v>
      </c>
      <c r="CJ155" s="381">
        <f>_xlfn.IFNA(VLOOKUP(A155,'Actuals Summer'!$A:$AG,31,FALSE),0)*$BN$3</f>
        <v>103.94278378874014</v>
      </c>
      <c r="CK155" s="381"/>
      <c r="CL155" s="381">
        <f>_xlfn.IFNA(VLOOKUP(A155,'Actuals Summer'!$A:$AG,32,FALSE),0)*$BN$3</f>
        <v>20280</v>
      </c>
      <c r="CM155" s="381">
        <f>_xlfn.IFNA(VLOOKUP(A155,'Actuals Summer'!$A:$AG,33,FALSE),0)</f>
        <v>0</v>
      </c>
      <c r="CP155" s="458">
        <f t="shared" si="77"/>
        <v>0</v>
      </c>
      <c r="CQ155" s="458">
        <f t="shared" si="78"/>
        <v>0</v>
      </c>
      <c r="CR155" s="458">
        <f t="shared" si="63"/>
        <v>0</v>
      </c>
      <c r="CS155" s="458">
        <f t="shared" si="79"/>
        <v>39733.200000000004</v>
      </c>
      <c r="CT155" s="458">
        <f t="shared" si="80"/>
        <v>15451.800000000001</v>
      </c>
      <c r="CU155" s="458">
        <f t="shared" si="81"/>
        <v>594.75</v>
      </c>
      <c r="CV155" s="458">
        <f t="shared" si="82"/>
        <v>339.29999999999995</v>
      </c>
      <c r="CW155" s="458">
        <f t="shared" si="83"/>
        <v>93.600000000000009</v>
      </c>
      <c r="CX155" s="458">
        <f t="shared" si="84"/>
        <v>1560</v>
      </c>
      <c r="CY155" s="458">
        <f t="shared" si="85"/>
        <v>522.05263157894728</v>
      </c>
      <c r="CZ155" s="458">
        <f t="shared" si="86"/>
        <v>186.44736842105263</v>
      </c>
      <c r="DA155" s="458">
        <f t="shared" si="87"/>
        <v>0</v>
      </c>
      <c r="DB155" s="458">
        <f t="shared" si="88"/>
        <v>58481.150000000009</v>
      </c>
      <c r="DC155" s="452">
        <f>_xlfn.XLOOKUP($A155,'Actuals Summer'!$A:$A,'Actuals Summer'!L:L,0,0)</f>
        <v>0</v>
      </c>
      <c r="DD155" s="452">
        <f>_xlfn.XLOOKUP($A155,'Actuals Summer'!$A:$A,'Actuals Summer'!K:K,0,0)+_xlfn.XLOOKUP($A155,'Actuals Summer'!$A:$A,'Actuals Summer'!Q:Q,0,0)</f>
        <v>0</v>
      </c>
      <c r="DE155" s="452">
        <f>_xlfn.XLOOKUP($A155,'Actuals Summer'!$A:$A,'Actuals Summer'!I:I,0,0)+_xlfn.XLOOKUP($A155,'Actuals Summer'!$A:$A,'Actuals Summer'!R:R,0,0)</f>
        <v>39733.200000000004</v>
      </c>
      <c r="DF155" s="452">
        <f>_xlfn.XLOOKUP($A155,'Actuals Summer'!$A:$A,'Actuals Summer'!J:J,0,0)</f>
        <v>15451.800000000001</v>
      </c>
      <c r="DG155" s="452">
        <f>_xlfn.XLOOKUP($A155,'Actuals Dep Summer'!$B:$B,'Actuals Dep Summer'!G:G,0,0)*'Actuals Dep Summer'!$F$2*'Actuals Dep Summer'!$C$2</f>
        <v>475.8</v>
      </c>
      <c r="DH155" s="452">
        <f>_xlfn.XLOOKUP($A155,'Actuals Dep Summer'!$B:$B,'Actuals Dep Summer'!H:H,0,0)*'Actuals Dep Summer'!$F$2*'Actuals Dep Summer'!$C$3</f>
        <v>282.75</v>
      </c>
      <c r="DI155" s="452">
        <f>_xlfn.XLOOKUP($A155,'Actuals Dep Summer'!$B:$B,'Actuals Dep Summer'!I:I,0,0)*'Actuals Dep Summer'!$F$2*'Actuals Dep Summer'!$C$4</f>
        <v>62.4</v>
      </c>
      <c r="DJ155" s="452">
        <f>_xlfn.XLOOKUP($A155,'Actuals Summer'!$A:$A,'Actuals Summer'!P:P,0,0)</f>
        <v>1560</v>
      </c>
      <c r="DK155" s="452">
        <f>_xlfn.XLOOKUP($A155,'Actuals Summer'!$A:$A,'Actuals Summer'!O:O,0,0)</f>
        <v>596.63157894736844</v>
      </c>
      <c r="DL155" s="452"/>
      <c r="DM155" s="452">
        <f>_xlfn.XLOOKUP($A155,'Actuals Summer'!$A:$A,'Actuals Summer'!M:M,0,0)</f>
        <v>0</v>
      </c>
      <c r="DN155" s="453">
        <f t="shared" si="64"/>
        <v>58162.581578947378</v>
      </c>
      <c r="DO155" s="453">
        <f>_xlfn.XLOOKUP(A155,'Actuals Summer'!A:A,'Actuals Summer'!S:S,0,0)-'Summer data team '!DN155</f>
        <v>0</v>
      </c>
      <c r="DP155" s="463">
        <f t="shared" si="65"/>
        <v>318.56842105263058</v>
      </c>
    </row>
    <row r="156" spans="1:120" ht="13" x14ac:dyDescent="0.3">
      <c r="A156" s="364">
        <v>3306</v>
      </c>
      <c r="B156" s="364">
        <v>3303306</v>
      </c>
      <c r="C156" s="364" t="s">
        <v>855</v>
      </c>
      <c r="D156" s="506">
        <v>0</v>
      </c>
      <c r="E156" s="506">
        <v>0</v>
      </c>
      <c r="F156" s="506">
        <v>0</v>
      </c>
      <c r="G156" s="506">
        <v>14</v>
      </c>
      <c r="H156" s="506">
        <v>24</v>
      </c>
      <c r="I156" s="507">
        <v>0</v>
      </c>
      <c r="J156" s="507">
        <v>38</v>
      </c>
      <c r="K156" s="506">
        <v>0</v>
      </c>
      <c r="L156" s="506">
        <v>0</v>
      </c>
      <c r="M156" s="507">
        <v>0</v>
      </c>
      <c r="N156" s="506">
        <v>0</v>
      </c>
      <c r="O156" s="506">
        <v>0</v>
      </c>
      <c r="P156" s="506">
        <v>210</v>
      </c>
      <c r="Q156" s="506">
        <v>360</v>
      </c>
      <c r="R156" s="507">
        <v>570</v>
      </c>
      <c r="S156" s="506">
        <v>0</v>
      </c>
      <c r="T156" s="506">
        <v>0</v>
      </c>
      <c r="U156" s="506">
        <v>0</v>
      </c>
      <c r="V156" s="506">
        <v>0</v>
      </c>
      <c r="W156" s="507">
        <v>0</v>
      </c>
      <c r="X156" s="506">
        <v>0</v>
      </c>
      <c r="Y156" s="506">
        <v>0</v>
      </c>
      <c r="Z156" s="508">
        <v>0</v>
      </c>
      <c r="AA156" s="506">
        <v>2</v>
      </c>
      <c r="AB156" s="506">
        <v>30</v>
      </c>
      <c r="AC156" s="508">
        <v>0</v>
      </c>
      <c r="AD156" s="506">
        <v>28</v>
      </c>
      <c r="AE156" s="506">
        <v>420</v>
      </c>
      <c r="AF156" s="508">
        <v>0</v>
      </c>
      <c r="AG156" s="509">
        <v>0</v>
      </c>
      <c r="AH156" s="509">
        <v>0</v>
      </c>
      <c r="AI156" s="508">
        <v>0</v>
      </c>
      <c r="AJ156" s="509">
        <v>7</v>
      </c>
      <c r="AK156" s="509">
        <v>105</v>
      </c>
      <c r="AL156" s="508">
        <v>0</v>
      </c>
      <c r="AM156" s="506">
        <v>7</v>
      </c>
      <c r="AN156" s="506">
        <v>105</v>
      </c>
      <c r="AO156" s="508">
        <v>0</v>
      </c>
      <c r="AP156" s="508"/>
      <c r="AQ156" s="508">
        <f t="shared" si="66"/>
        <v>7</v>
      </c>
      <c r="AR156" s="509">
        <v>0</v>
      </c>
      <c r="AS156" s="509">
        <v>0</v>
      </c>
      <c r="AT156" s="508">
        <v>0</v>
      </c>
      <c r="AU156" s="509">
        <v>0</v>
      </c>
      <c r="AV156" s="509">
        <v>0</v>
      </c>
      <c r="AW156" s="508">
        <v>0</v>
      </c>
      <c r="AX156" s="506">
        <v>0</v>
      </c>
      <c r="AY156" s="506">
        <v>0</v>
      </c>
      <c r="AZ156" s="508">
        <v>0</v>
      </c>
      <c r="BA156" s="508"/>
      <c r="BB156" s="508">
        <f t="shared" si="67"/>
        <v>0</v>
      </c>
      <c r="BC156" s="509">
        <v>0</v>
      </c>
      <c r="BD156" s="509">
        <v>0</v>
      </c>
      <c r="BE156" s="506">
        <v>0</v>
      </c>
      <c r="BF156" s="200"/>
      <c r="BG156" s="200"/>
      <c r="BH156" s="200"/>
      <c r="BI156" s="200"/>
      <c r="BJ156" s="200"/>
      <c r="BK156" s="200"/>
      <c r="BL156" s="200"/>
      <c r="BM156" s="505">
        <f t="shared" si="68"/>
        <v>0</v>
      </c>
      <c r="BN156" s="200">
        <f t="shared" si="69"/>
        <v>0</v>
      </c>
      <c r="BO156" s="200">
        <f t="shared" si="62"/>
        <v>0</v>
      </c>
      <c r="BP156" s="200">
        <f t="shared" si="70"/>
        <v>7410</v>
      </c>
      <c r="BQ156" s="200">
        <f t="shared" si="71"/>
        <v>0</v>
      </c>
      <c r="BR156" s="200">
        <f t="shared" si="72"/>
        <v>0</v>
      </c>
      <c r="BS156" s="200">
        <f t="shared" si="73"/>
        <v>390</v>
      </c>
      <c r="BT156" s="200">
        <f t="shared" si="74"/>
        <v>5460</v>
      </c>
      <c r="BU156" s="200">
        <f t="shared" si="75"/>
        <v>1365</v>
      </c>
      <c r="BV156" s="200">
        <v>0</v>
      </c>
      <c r="BW156" s="200">
        <v>0</v>
      </c>
      <c r="BX156" s="200">
        <f t="shared" si="76"/>
        <v>0</v>
      </c>
      <c r="CB156" s="381">
        <f>_xlfn.IFNA(VLOOKUP(A156,'Actuals Summer'!$A:$AG,23,FALSE),0)</f>
        <v>7410</v>
      </c>
      <c r="CC156" s="381">
        <f>_xlfn.IFNA(VLOOKUP(A156,'Actuals Summer'!$A:$AG,24,FALSE),0)</f>
        <v>0</v>
      </c>
      <c r="CD156" s="381">
        <f>_xlfn.IFNA(VLOOKUP(A156,'Actuals Summer'!$A:$AG,25,FALSE),0)</f>
        <v>0</v>
      </c>
      <c r="CE156" s="381">
        <f>_xlfn.IFNA(VLOOKUP(A156,'Actuals Summer'!$A:$AG,26,FALSE),0)</f>
        <v>0</v>
      </c>
      <c r="CF156" s="381">
        <f>_xlfn.IFNA(VLOOKUP(A156,'Actuals Summer'!$A:$AG,27,FALSE),0)</f>
        <v>0</v>
      </c>
      <c r="CG156" s="381">
        <f>_xlfn.IFNA(VLOOKUP(A156,'Actuals Dep Summer'!B:O,6,FALSE)*$BN$3,0)</f>
        <v>0</v>
      </c>
      <c r="CH156" s="381">
        <f>_xlfn.IFNA(VLOOKUP(A156,'Actuals Dep Summer'!B:O,7,FALSE)*$BN$3,0)</f>
        <v>390</v>
      </c>
      <c r="CI156" s="381">
        <f>_xlfn.IFNA(VLOOKUP(A156,'Actuals Dep Summer'!B:O,8,FALSE)*$BN$3,0)</f>
        <v>5460</v>
      </c>
      <c r="CJ156" s="381">
        <f>_xlfn.IFNA(VLOOKUP(A156,'Actuals Summer'!$A:$AG,31,FALSE),0)*$BN$3</f>
        <v>0</v>
      </c>
      <c r="CK156" s="381"/>
      <c r="CL156" s="381">
        <f>_xlfn.IFNA(VLOOKUP(A156,'Actuals Summer'!$A:$AG,32,FALSE),0)*$BN$3</f>
        <v>17745</v>
      </c>
      <c r="CM156" s="381">
        <f>_xlfn.IFNA(VLOOKUP(A156,'Actuals Summer'!$A:$AG,33,FALSE),0)</f>
        <v>0</v>
      </c>
      <c r="CP156" s="458">
        <f t="shared" si="77"/>
        <v>0</v>
      </c>
      <c r="CQ156" s="458">
        <f t="shared" si="78"/>
        <v>0</v>
      </c>
      <c r="CR156" s="458">
        <f t="shared" si="63"/>
        <v>0</v>
      </c>
      <c r="CS156" s="458">
        <f t="shared" si="79"/>
        <v>41940.6</v>
      </c>
      <c r="CT156" s="458">
        <f t="shared" si="80"/>
        <v>0</v>
      </c>
      <c r="CU156" s="458">
        <f t="shared" si="81"/>
        <v>0</v>
      </c>
      <c r="CV156" s="458">
        <f t="shared" si="82"/>
        <v>113.1</v>
      </c>
      <c r="CW156" s="458">
        <f t="shared" si="83"/>
        <v>436.8</v>
      </c>
      <c r="CX156" s="458">
        <f t="shared" si="84"/>
        <v>1365</v>
      </c>
      <c r="CY156" s="458">
        <f t="shared" si="85"/>
        <v>0</v>
      </c>
      <c r="CZ156" s="458">
        <f t="shared" si="86"/>
        <v>0</v>
      </c>
      <c r="DA156" s="458">
        <f t="shared" si="87"/>
        <v>0</v>
      </c>
      <c r="DB156" s="458">
        <f t="shared" si="88"/>
        <v>43855.5</v>
      </c>
      <c r="DC156" s="452">
        <f>_xlfn.XLOOKUP($A156,'Actuals Summer'!$A:$A,'Actuals Summer'!L:L,0,0)</f>
        <v>0</v>
      </c>
      <c r="DD156" s="452">
        <f>_xlfn.XLOOKUP($A156,'Actuals Summer'!$A:$A,'Actuals Summer'!K:K,0,0)+_xlfn.XLOOKUP($A156,'Actuals Summer'!$A:$A,'Actuals Summer'!Q:Q,0,0)</f>
        <v>0</v>
      </c>
      <c r="DE156" s="452">
        <f>_xlfn.XLOOKUP($A156,'Actuals Summer'!$A:$A,'Actuals Summer'!I:I,0,0)+_xlfn.XLOOKUP($A156,'Actuals Summer'!$A:$A,'Actuals Summer'!R:R,0,0)</f>
        <v>41940.6</v>
      </c>
      <c r="DF156" s="452">
        <f>_xlfn.XLOOKUP($A156,'Actuals Summer'!$A:$A,'Actuals Summer'!J:J,0,0)</f>
        <v>0</v>
      </c>
      <c r="DG156" s="452">
        <f>_xlfn.XLOOKUP($A156,'Actuals Dep Summer'!$B:$B,'Actuals Dep Summer'!G:G,0,0)*'Actuals Dep Summer'!$F$2*'Actuals Dep Summer'!$C$2</f>
        <v>0</v>
      </c>
      <c r="DH156" s="452">
        <f>_xlfn.XLOOKUP($A156,'Actuals Dep Summer'!$B:$B,'Actuals Dep Summer'!H:H,0,0)*'Actuals Dep Summer'!$F$2*'Actuals Dep Summer'!$C$3</f>
        <v>113.1</v>
      </c>
      <c r="DI156" s="452">
        <f>_xlfn.XLOOKUP($A156,'Actuals Dep Summer'!$B:$B,'Actuals Dep Summer'!I:I,0,0)*'Actuals Dep Summer'!$F$2*'Actuals Dep Summer'!$C$4</f>
        <v>436.8</v>
      </c>
      <c r="DJ156" s="452">
        <f>_xlfn.XLOOKUP($A156,'Actuals Summer'!$A:$A,'Actuals Summer'!P:P,0,0)</f>
        <v>1365</v>
      </c>
      <c r="DK156" s="452">
        <f>_xlfn.XLOOKUP($A156,'Actuals Summer'!$A:$A,'Actuals Summer'!O:O,0,0)</f>
        <v>0</v>
      </c>
      <c r="DL156" s="452"/>
      <c r="DM156" s="452">
        <f>_xlfn.XLOOKUP($A156,'Actuals Summer'!$A:$A,'Actuals Summer'!M:M,0,0)</f>
        <v>0</v>
      </c>
      <c r="DN156" s="453">
        <f t="shared" si="64"/>
        <v>43855.5</v>
      </c>
      <c r="DO156" s="453">
        <f>_xlfn.XLOOKUP(A156,'Actuals Summer'!A:A,'Actuals Summer'!S:S,0,0)-'Summer data team '!DN156</f>
        <v>0</v>
      </c>
      <c r="DP156" s="463">
        <f t="shared" si="65"/>
        <v>0</v>
      </c>
    </row>
    <row r="157" spans="1:120" ht="13" x14ac:dyDescent="0.3">
      <c r="A157" s="364">
        <v>3310</v>
      </c>
      <c r="B157" s="364">
        <v>3303310</v>
      </c>
      <c r="C157" s="364" t="s">
        <v>217</v>
      </c>
      <c r="D157" s="506">
        <v>0</v>
      </c>
      <c r="E157" s="506">
        <v>0</v>
      </c>
      <c r="F157" s="506">
        <v>0</v>
      </c>
      <c r="G157" s="506">
        <v>14</v>
      </c>
      <c r="H157" s="506">
        <v>11</v>
      </c>
      <c r="I157" s="507">
        <v>0</v>
      </c>
      <c r="J157" s="507">
        <v>25</v>
      </c>
      <c r="K157" s="506">
        <v>1</v>
      </c>
      <c r="L157" s="506">
        <v>0</v>
      </c>
      <c r="M157" s="507">
        <v>1</v>
      </c>
      <c r="N157" s="506">
        <v>0</v>
      </c>
      <c r="O157" s="506">
        <v>0</v>
      </c>
      <c r="P157" s="506">
        <v>210</v>
      </c>
      <c r="Q157" s="506">
        <v>165</v>
      </c>
      <c r="R157" s="507">
        <v>375</v>
      </c>
      <c r="S157" s="506">
        <v>0</v>
      </c>
      <c r="T157" s="506">
        <v>0</v>
      </c>
      <c r="U157" s="506">
        <v>15</v>
      </c>
      <c r="V157" s="506">
        <v>0</v>
      </c>
      <c r="W157" s="507">
        <v>15</v>
      </c>
      <c r="X157" s="506">
        <v>18</v>
      </c>
      <c r="Y157" s="506">
        <v>270</v>
      </c>
      <c r="Z157" s="508">
        <v>15</v>
      </c>
      <c r="AA157" s="506">
        <v>2</v>
      </c>
      <c r="AB157" s="506">
        <v>30</v>
      </c>
      <c r="AC157" s="508">
        <v>0</v>
      </c>
      <c r="AD157" s="506">
        <v>1</v>
      </c>
      <c r="AE157" s="506">
        <v>15</v>
      </c>
      <c r="AF157" s="508">
        <v>0</v>
      </c>
      <c r="AG157" s="509">
        <v>0</v>
      </c>
      <c r="AH157" s="509">
        <v>0</v>
      </c>
      <c r="AI157" s="508">
        <v>0</v>
      </c>
      <c r="AJ157" s="509">
        <v>13</v>
      </c>
      <c r="AK157" s="509">
        <v>195</v>
      </c>
      <c r="AL157" s="508">
        <v>15</v>
      </c>
      <c r="AM157" s="506">
        <v>13</v>
      </c>
      <c r="AN157" s="506">
        <v>195</v>
      </c>
      <c r="AO157" s="508">
        <v>15</v>
      </c>
      <c r="AP157" s="508"/>
      <c r="AQ157" s="508">
        <f t="shared" si="66"/>
        <v>13</v>
      </c>
      <c r="AR157" s="509">
        <v>0</v>
      </c>
      <c r="AS157" s="509">
        <v>0</v>
      </c>
      <c r="AT157" s="508">
        <v>0</v>
      </c>
      <c r="AU157" s="509">
        <v>13</v>
      </c>
      <c r="AV157" s="509">
        <v>195</v>
      </c>
      <c r="AW157" s="508">
        <v>15</v>
      </c>
      <c r="AX157" s="506">
        <v>13</v>
      </c>
      <c r="AY157" s="506">
        <v>195</v>
      </c>
      <c r="AZ157" s="508">
        <v>15</v>
      </c>
      <c r="BA157" s="508"/>
      <c r="BB157" s="508">
        <f t="shared" si="67"/>
        <v>26</v>
      </c>
      <c r="BC157" s="509">
        <v>0</v>
      </c>
      <c r="BD157" s="509">
        <v>0</v>
      </c>
      <c r="BE157" s="506">
        <v>0</v>
      </c>
      <c r="BF157" s="200"/>
      <c r="BG157" s="200"/>
      <c r="BH157" s="200"/>
      <c r="BI157" s="200"/>
      <c r="BJ157" s="200"/>
      <c r="BK157" s="200"/>
      <c r="BL157" s="200"/>
      <c r="BM157" s="505">
        <f t="shared" si="68"/>
        <v>0</v>
      </c>
      <c r="BN157" s="200">
        <f t="shared" si="69"/>
        <v>0</v>
      </c>
      <c r="BO157" s="200">
        <f t="shared" si="62"/>
        <v>0</v>
      </c>
      <c r="BP157" s="200">
        <f t="shared" si="70"/>
        <v>4875</v>
      </c>
      <c r="BQ157" s="200">
        <f t="shared" si="71"/>
        <v>195</v>
      </c>
      <c r="BR157" s="200">
        <f t="shared" si="72"/>
        <v>3705</v>
      </c>
      <c r="BS157" s="200">
        <f t="shared" si="73"/>
        <v>390</v>
      </c>
      <c r="BT157" s="200">
        <f t="shared" si="74"/>
        <v>195</v>
      </c>
      <c r="BU157" s="200">
        <f t="shared" si="75"/>
        <v>2535</v>
      </c>
      <c r="BV157" s="200">
        <v>12</v>
      </c>
      <c r="BW157" s="200">
        <v>1</v>
      </c>
      <c r="BX157" s="200">
        <f t="shared" si="76"/>
        <v>0</v>
      </c>
      <c r="CB157" s="381">
        <f>_xlfn.IFNA(VLOOKUP(A157,'Actuals Summer'!$A:$AG,23,FALSE),0)</f>
        <v>4875</v>
      </c>
      <c r="CC157" s="381">
        <f>_xlfn.IFNA(VLOOKUP(A157,'Actuals Summer'!$A:$AG,24,FALSE),0)</f>
        <v>195</v>
      </c>
      <c r="CD157" s="381">
        <f>_xlfn.IFNA(VLOOKUP(A157,'Actuals Summer'!$A:$AG,25,FALSE),0)</f>
        <v>0</v>
      </c>
      <c r="CE157" s="381">
        <f>_xlfn.IFNA(VLOOKUP(A157,'Actuals Summer'!$A:$AG,26,FALSE),0)</f>
        <v>0</v>
      </c>
      <c r="CF157" s="381">
        <f>_xlfn.IFNA(VLOOKUP(A157,'Actuals Summer'!$A:$AG,27,FALSE),0)</f>
        <v>0</v>
      </c>
      <c r="CG157" s="381">
        <f>_xlfn.IFNA(VLOOKUP(A157,'Actuals Dep Summer'!B:O,6,FALSE)*$BN$3,0)</f>
        <v>3510</v>
      </c>
      <c r="CH157" s="381">
        <f>_xlfn.IFNA(VLOOKUP(A157,'Actuals Dep Summer'!B:O,7,FALSE)*$BN$3,0)</f>
        <v>390</v>
      </c>
      <c r="CI157" s="381">
        <f>_xlfn.IFNA(VLOOKUP(A157,'Actuals Dep Summer'!B:O,8,FALSE)*$BN$3,0)</f>
        <v>195</v>
      </c>
      <c r="CJ157" s="381">
        <f>_xlfn.IFNA(VLOOKUP(A157,'Actuals Summer'!$A:$AG,31,FALSE),0)*$BN$3</f>
        <v>168.90702365670273</v>
      </c>
      <c r="CK157" s="381"/>
      <c r="CL157" s="381">
        <f>_xlfn.IFNA(VLOOKUP(A157,'Actuals Summer'!$A:$AG,32,FALSE),0)*$BN$3</f>
        <v>32955</v>
      </c>
      <c r="CM157" s="381">
        <f>_xlfn.IFNA(VLOOKUP(A157,'Actuals Summer'!$A:$AG,33,FALSE),0)</f>
        <v>0</v>
      </c>
      <c r="CP157" s="458">
        <f t="shared" si="77"/>
        <v>0</v>
      </c>
      <c r="CQ157" s="458">
        <f t="shared" si="78"/>
        <v>0</v>
      </c>
      <c r="CR157" s="458">
        <f t="shared" si="63"/>
        <v>0</v>
      </c>
      <c r="CS157" s="458">
        <f t="shared" si="79"/>
        <v>27592.5</v>
      </c>
      <c r="CT157" s="458">
        <f t="shared" si="80"/>
        <v>1103.7</v>
      </c>
      <c r="CU157" s="458">
        <f t="shared" si="81"/>
        <v>2260.0499999999997</v>
      </c>
      <c r="CV157" s="458">
        <f t="shared" si="82"/>
        <v>113.1</v>
      </c>
      <c r="CW157" s="458">
        <f t="shared" si="83"/>
        <v>15.6</v>
      </c>
      <c r="CX157" s="458">
        <f t="shared" si="84"/>
        <v>2535</v>
      </c>
      <c r="CY157" s="458">
        <f t="shared" si="85"/>
        <v>894.9473684210526</v>
      </c>
      <c r="CZ157" s="458">
        <f t="shared" si="86"/>
        <v>186.44736842105263</v>
      </c>
      <c r="DA157" s="458">
        <f t="shared" si="87"/>
        <v>0</v>
      </c>
      <c r="DB157" s="458">
        <f t="shared" si="88"/>
        <v>34701.344736842104</v>
      </c>
      <c r="DC157" s="452">
        <f>_xlfn.XLOOKUP($A157,'Actuals Summer'!$A:$A,'Actuals Summer'!L:L,0,0)</f>
        <v>0</v>
      </c>
      <c r="DD157" s="452">
        <f>_xlfn.XLOOKUP($A157,'Actuals Summer'!$A:$A,'Actuals Summer'!K:K,0,0)+_xlfn.XLOOKUP($A157,'Actuals Summer'!$A:$A,'Actuals Summer'!Q:Q,0,0)</f>
        <v>0</v>
      </c>
      <c r="DE157" s="452">
        <f>_xlfn.XLOOKUP($A157,'Actuals Summer'!$A:$A,'Actuals Summer'!I:I,0,0)+_xlfn.XLOOKUP($A157,'Actuals Summer'!$A:$A,'Actuals Summer'!R:R,0,0)</f>
        <v>27592.5</v>
      </c>
      <c r="DF157" s="452">
        <f>_xlfn.XLOOKUP($A157,'Actuals Summer'!$A:$A,'Actuals Summer'!J:J,0,0)</f>
        <v>1103.7</v>
      </c>
      <c r="DG157" s="452">
        <f>_xlfn.XLOOKUP($A157,'Actuals Dep Summer'!$B:$B,'Actuals Dep Summer'!G:G,0,0)*'Actuals Dep Summer'!$F$2*'Actuals Dep Summer'!$C$2</f>
        <v>2141.1</v>
      </c>
      <c r="DH157" s="452">
        <f>_xlfn.XLOOKUP($A157,'Actuals Dep Summer'!$B:$B,'Actuals Dep Summer'!H:H,0,0)*'Actuals Dep Summer'!$F$2*'Actuals Dep Summer'!$C$3</f>
        <v>113.1</v>
      </c>
      <c r="DI157" s="452">
        <f>_xlfn.XLOOKUP($A157,'Actuals Dep Summer'!$B:$B,'Actuals Dep Summer'!I:I,0,0)*'Actuals Dep Summer'!$F$2*'Actuals Dep Summer'!$C$4</f>
        <v>15.6</v>
      </c>
      <c r="DJ157" s="452">
        <f>_xlfn.XLOOKUP($A157,'Actuals Summer'!$A:$A,'Actuals Summer'!P:P,0,0)</f>
        <v>2535</v>
      </c>
      <c r="DK157" s="452">
        <f>_xlfn.XLOOKUP($A157,'Actuals Summer'!$A:$A,'Actuals Summer'!O:O,0,0)</f>
        <v>969.52631578947376</v>
      </c>
      <c r="DL157" s="452"/>
      <c r="DM157" s="452">
        <f>_xlfn.XLOOKUP($A157,'Actuals Summer'!$A:$A,'Actuals Summer'!M:M,0,0)</f>
        <v>0</v>
      </c>
      <c r="DN157" s="453">
        <f t="shared" si="64"/>
        <v>34470.526315789473</v>
      </c>
      <c r="DO157" s="453">
        <f>_xlfn.XLOOKUP(A157,'Actuals Summer'!A:A,'Actuals Summer'!S:S,0,0)-'Summer data team '!DN157</f>
        <v>0</v>
      </c>
      <c r="DP157" s="463">
        <f t="shared" si="65"/>
        <v>230.81842105263058</v>
      </c>
    </row>
    <row r="158" spans="1:120" ht="13" x14ac:dyDescent="0.3">
      <c r="A158" s="364">
        <v>3311</v>
      </c>
      <c r="B158" s="364">
        <v>3303311</v>
      </c>
      <c r="C158" s="364" t="s">
        <v>352</v>
      </c>
      <c r="D158" s="506">
        <v>0</v>
      </c>
      <c r="E158" s="506">
        <v>0</v>
      </c>
      <c r="F158" s="506">
        <v>0</v>
      </c>
      <c r="G158" s="506">
        <v>25</v>
      </c>
      <c r="H158" s="506">
        <v>22</v>
      </c>
      <c r="I158" s="507">
        <v>0</v>
      </c>
      <c r="J158" s="507">
        <v>47</v>
      </c>
      <c r="K158" s="506">
        <v>0</v>
      </c>
      <c r="L158" s="506">
        <v>3</v>
      </c>
      <c r="M158" s="507">
        <v>3</v>
      </c>
      <c r="N158" s="506">
        <v>0</v>
      </c>
      <c r="O158" s="506">
        <v>0</v>
      </c>
      <c r="P158" s="506">
        <v>375</v>
      </c>
      <c r="Q158" s="506">
        <v>324</v>
      </c>
      <c r="R158" s="507">
        <v>699</v>
      </c>
      <c r="S158" s="506">
        <v>0</v>
      </c>
      <c r="T158" s="506">
        <v>0</v>
      </c>
      <c r="U158" s="506">
        <v>0</v>
      </c>
      <c r="V158" s="506">
        <v>45</v>
      </c>
      <c r="W158" s="507">
        <v>45</v>
      </c>
      <c r="X158" s="506">
        <v>32</v>
      </c>
      <c r="Y158" s="506">
        <v>477</v>
      </c>
      <c r="Z158" s="508">
        <v>30</v>
      </c>
      <c r="AA158" s="506">
        <v>9</v>
      </c>
      <c r="AB158" s="506">
        <v>132</v>
      </c>
      <c r="AC158" s="508">
        <v>0</v>
      </c>
      <c r="AD158" s="506">
        <v>1</v>
      </c>
      <c r="AE158" s="506">
        <v>15</v>
      </c>
      <c r="AF158" s="508">
        <v>0</v>
      </c>
      <c r="AG158" s="509">
        <v>0</v>
      </c>
      <c r="AH158" s="509">
        <v>0</v>
      </c>
      <c r="AI158" s="508">
        <v>0</v>
      </c>
      <c r="AJ158" s="509">
        <v>18</v>
      </c>
      <c r="AK158" s="509">
        <v>267</v>
      </c>
      <c r="AL158" s="508">
        <v>0</v>
      </c>
      <c r="AM158" s="506">
        <v>18</v>
      </c>
      <c r="AN158" s="506">
        <v>267</v>
      </c>
      <c r="AO158" s="508">
        <v>0</v>
      </c>
      <c r="AP158" s="508"/>
      <c r="AQ158" s="508">
        <f t="shared" si="66"/>
        <v>18</v>
      </c>
      <c r="AR158" s="509">
        <v>0</v>
      </c>
      <c r="AS158" s="509">
        <v>0</v>
      </c>
      <c r="AT158" s="508">
        <v>0</v>
      </c>
      <c r="AU158" s="509">
        <v>18</v>
      </c>
      <c r="AV158" s="509">
        <v>267</v>
      </c>
      <c r="AW158" s="508">
        <v>0</v>
      </c>
      <c r="AX158" s="506">
        <v>18</v>
      </c>
      <c r="AY158" s="506">
        <v>267</v>
      </c>
      <c r="AZ158" s="508">
        <v>0</v>
      </c>
      <c r="BA158" s="508"/>
      <c r="BB158" s="508">
        <f t="shared" si="67"/>
        <v>36</v>
      </c>
      <c r="BC158" s="509">
        <v>0</v>
      </c>
      <c r="BD158" s="509">
        <v>0</v>
      </c>
      <c r="BE158" s="506">
        <v>0</v>
      </c>
      <c r="BF158" s="200"/>
      <c r="BG158" s="200"/>
      <c r="BH158" s="200"/>
      <c r="BI158" s="200"/>
      <c r="BJ158" s="200"/>
      <c r="BK158" s="200"/>
      <c r="BL158" s="200"/>
      <c r="BM158" s="505">
        <f t="shared" si="68"/>
        <v>0</v>
      </c>
      <c r="BN158" s="200">
        <f t="shared" si="69"/>
        <v>0</v>
      </c>
      <c r="BO158" s="200">
        <f t="shared" si="62"/>
        <v>0</v>
      </c>
      <c r="BP158" s="200">
        <f t="shared" si="70"/>
        <v>9087</v>
      </c>
      <c r="BQ158" s="200">
        <f t="shared" si="71"/>
        <v>585</v>
      </c>
      <c r="BR158" s="200">
        <f t="shared" si="72"/>
        <v>6591</v>
      </c>
      <c r="BS158" s="200">
        <f t="shared" si="73"/>
        <v>1716</v>
      </c>
      <c r="BT158" s="200">
        <f t="shared" si="74"/>
        <v>195</v>
      </c>
      <c r="BU158" s="200">
        <f t="shared" si="75"/>
        <v>3471</v>
      </c>
      <c r="BV158" s="200">
        <v>18</v>
      </c>
      <c r="BW158" s="200">
        <v>0</v>
      </c>
      <c r="BX158" s="200">
        <f t="shared" si="76"/>
        <v>0</v>
      </c>
      <c r="CB158" s="381">
        <f>_xlfn.IFNA(VLOOKUP(A158,'Actuals Summer'!$A:$AG,23,FALSE),0)</f>
        <v>9087</v>
      </c>
      <c r="CC158" s="381">
        <f>_xlfn.IFNA(VLOOKUP(A158,'Actuals Summer'!$A:$AG,24,FALSE),0)</f>
        <v>585</v>
      </c>
      <c r="CD158" s="381">
        <f>_xlfn.IFNA(VLOOKUP(A158,'Actuals Summer'!$A:$AG,25,FALSE),0)</f>
        <v>0</v>
      </c>
      <c r="CE158" s="381">
        <f>_xlfn.IFNA(VLOOKUP(A158,'Actuals Summer'!$A:$AG,26,FALSE),0)</f>
        <v>0</v>
      </c>
      <c r="CF158" s="381">
        <f>_xlfn.IFNA(VLOOKUP(A158,'Actuals Summer'!$A:$AG,27,FALSE),0)</f>
        <v>0</v>
      </c>
      <c r="CG158" s="381">
        <f>_xlfn.IFNA(VLOOKUP(A158,'Actuals Dep Summer'!B:O,6,FALSE)*$BN$3,0)</f>
        <v>6201</v>
      </c>
      <c r="CH158" s="381">
        <f>_xlfn.IFNA(VLOOKUP(A158,'Actuals Dep Summer'!B:O,7,FALSE)*$BN$3,0)</f>
        <v>1716</v>
      </c>
      <c r="CI158" s="381">
        <f>_xlfn.IFNA(VLOOKUP(A158,'Actuals Dep Summer'!B:O,8,FALSE)*$BN$3,0)</f>
        <v>195</v>
      </c>
      <c r="CJ158" s="381">
        <f>_xlfn.IFNA(VLOOKUP(A158,'Actuals Summer'!$A:$AG,31,FALSE),0)*$BN$3</f>
        <v>233.87126352466532</v>
      </c>
      <c r="CK158" s="381"/>
      <c r="CL158" s="381">
        <f>_xlfn.IFNA(VLOOKUP(A158,'Actuals Summer'!$A:$AG,32,FALSE),0)*$BN$3</f>
        <v>45630</v>
      </c>
      <c r="CM158" s="381">
        <f>_xlfn.IFNA(VLOOKUP(A158,'Actuals Summer'!$A:$AG,33,FALSE),0)</f>
        <v>0</v>
      </c>
      <c r="CP158" s="458">
        <f t="shared" si="77"/>
        <v>0</v>
      </c>
      <c r="CQ158" s="458">
        <f t="shared" si="78"/>
        <v>0</v>
      </c>
      <c r="CR158" s="458">
        <f t="shared" si="63"/>
        <v>0</v>
      </c>
      <c r="CS158" s="458">
        <f t="shared" si="79"/>
        <v>51432.42</v>
      </c>
      <c r="CT158" s="458">
        <f t="shared" si="80"/>
        <v>3311.1</v>
      </c>
      <c r="CU158" s="458">
        <f t="shared" si="81"/>
        <v>4020.5099999999998</v>
      </c>
      <c r="CV158" s="458">
        <f t="shared" si="82"/>
        <v>497.64</v>
      </c>
      <c r="CW158" s="458">
        <f t="shared" si="83"/>
        <v>15.6</v>
      </c>
      <c r="CX158" s="458">
        <f t="shared" si="84"/>
        <v>3471</v>
      </c>
      <c r="CY158" s="458">
        <f t="shared" si="85"/>
        <v>1342.421052631579</v>
      </c>
      <c r="CZ158" s="458">
        <f t="shared" si="86"/>
        <v>0</v>
      </c>
      <c r="DA158" s="458">
        <f t="shared" si="87"/>
        <v>0</v>
      </c>
      <c r="DB158" s="458">
        <f t="shared" si="88"/>
        <v>64090.691052631577</v>
      </c>
      <c r="DC158" s="452">
        <f>_xlfn.XLOOKUP($A158,'Actuals Summer'!$A:$A,'Actuals Summer'!L:L,0,0)</f>
        <v>0</v>
      </c>
      <c r="DD158" s="452">
        <f>_xlfn.XLOOKUP($A158,'Actuals Summer'!$A:$A,'Actuals Summer'!K:K,0,0)+_xlfn.XLOOKUP($A158,'Actuals Summer'!$A:$A,'Actuals Summer'!Q:Q,0,0)</f>
        <v>0</v>
      </c>
      <c r="DE158" s="452">
        <f>_xlfn.XLOOKUP($A158,'Actuals Summer'!$A:$A,'Actuals Summer'!I:I,0,0)+_xlfn.XLOOKUP($A158,'Actuals Summer'!$A:$A,'Actuals Summer'!R:R,0,0)</f>
        <v>51432.42</v>
      </c>
      <c r="DF158" s="452">
        <f>_xlfn.XLOOKUP($A158,'Actuals Summer'!$A:$A,'Actuals Summer'!J:J,0,0)</f>
        <v>3311.1</v>
      </c>
      <c r="DG158" s="452">
        <f>_xlfn.XLOOKUP($A158,'Actuals Dep Summer'!$B:$B,'Actuals Dep Summer'!G:G,0,0)*'Actuals Dep Summer'!$F$2*'Actuals Dep Summer'!$C$2</f>
        <v>3782.61</v>
      </c>
      <c r="DH158" s="452">
        <f>_xlfn.XLOOKUP($A158,'Actuals Dep Summer'!$B:$B,'Actuals Dep Summer'!H:H,0,0)*'Actuals Dep Summer'!$F$2*'Actuals Dep Summer'!$C$3</f>
        <v>497.64</v>
      </c>
      <c r="DI158" s="452">
        <f>_xlfn.XLOOKUP($A158,'Actuals Dep Summer'!$B:$B,'Actuals Dep Summer'!I:I,0,0)*'Actuals Dep Summer'!$F$2*'Actuals Dep Summer'!$C$4</f>
        <v>15.6</v>
      </c>
      <c r="DJ158" s="452">
        <f>_xlfn.XLOOKUP($A158,'Actuals Summer'!$A:$A,'Actuals Summer'!P:P,0,0)</f>
        <v>3510</v>
      </c>
      <c r="DK158" s="452">
        <f>_xlfn.XLOOKUP($A158,'Actuals Summer'!$A:$A,'Actuals Summer'!O:O,0,0)</f>
        <v>1342.421052631579</v>
      </c>
      <c r="DL158" s="452"/>
      <c r="DM158" s="452">
        <f>_xlfn.XLOOKUP($A158,'Actuals Summer'!$A:$A,'Actuals Summer'!M:M,0,0)</f>
        <v>0</v>
      </c>
      <c r="DN158" s="453">
        <f t="shared" si="64"/>
        <v>63891.791052631575</v>
      </c>
      <c r="DO158" s="453">
        <f>_xlfn.XLOOKUP(A158,'Actuals Summer'!A:A,'Actuals Summer'!S:S,0,0)-'Summer data team '!DN158</f>
        <v>0</v>
      </c>
      <c r="DP158" s="463">
        <f t="shared" si="65"/>
        <v>198.90000000000146</v>
      </c>
    </row>
    <row r="159" spans="1:120" ht="13" x14ac:dyDescent="0.3">
      <c r="A159" s="364">
        <v>3314</v>
      </c>
      <c r="B159" s="364">
        <v>3303314</v>
      </c>
      <c r="C159" s="364" t="s">
        <v>856</v>
      </c>
      <c r="D159" s="506">
        <v>0</v>
      </c>
      <c r="E159" s="506">
        <v>0</v>
      </c>
      <c r="F159" s="506">
        <v>0</v>
      </c>
      <c r="G159" s="506">
        <v>3</v>
      </c>
      <c r="H159" s="506">
        <v>23</v>
      </c>
      <c r="I159" s="507">
        <v>0</v>
      </c>
      <c r="J159" s="507">
        <v>26</v>
      </c>
      <c r="K159" s="506">
        <v>0</v>
      </c>
      <c r="L159" s="506">
        <v>3</v>
      </c>
      <c r="M159" s="507">
        <v>3</v>
      </c>
      <c r="N159" s="506">
        <v>0</v>
      </c>
      <c r="O159" s="506">
        <v>0</v>
      </c>
      <c r="P159" s="506">
        <v>45</v>
      </c>
      <c r="Q159" s="506">
        <v>345</v>
      </c>
      <c r="R159" s="507">
        <v>390</v>
      </c>
      <c r="S159" s="506">
        <v>0</v>
      </c>
      <c r="T159" s="506">
        <v>0</v>
      </c>
      <c r="U159" s="506">
        <v>0</v>
      </c>
      <c r="V159" s="506">
        <v>45</v>
      </c>
      <c r="W159" s="507">
        <v>45</v>
      </c>
      <c r="X159" s="506">
        <v>13</v>
      </c>
      <c r="Y159" s="506">
        <v>195</v>
      </c>
      <c r="Z159" s="508">
        <v>30</v>
      </c>
      <c r="AA159" s="506">
        <v>1</v>
      </c>
      <c r="AB159" s="506">
        <v>15</v>
      </c>
      <c r="AC159" s="508">
        <v>0</v>
      </c>
      <c r="AD159" s="506">
        <v>3</v>
      </c>
      <c r="AE159" s="506">
        <v>45</v>
      </c>
      <c r="AF159" s="508">
        <v>15</v>
      </c>
      <c r="AG159" s="509">
        <v>0</v>
      </c>
      <c r="AH159" s="509">
        <v>0</v>
      </c>
      <c r="AI159" s="508">
        <v>0</v>
      </c>
      <c r="AJ159" s="509">
        <v>8</v>
      </c>
      <c r="AK159" s="509">
        <v>120</v>
      </c>
      <c r="AL159" s="508">
        <v>0</v>
      </c>
      <c r="AM159" s="506">
        <v>8</v>
      </c>
      <c r="AN159" s="506">
        <v>120</v>
      </c>
      <c r="AO159" s="508">
        <v>0</v>
      </c>
      <c r="AP159" s="508"/>
      <c r="AQ159" s="508">
        <f t="shared" si="66"/>
        <v>8</v>
      </c>
      <c r="AR159" s="509">
        <v>0</v>
      </c>
      <c r="AS159" s="509">
        <v>0</v>
      </c>
      <c r="AT159" s="508">
        <v>0</v>
      </c>
      <c r="AU159" s="509">
        <v>8</v>
      </c>
      <c r="AV159" s="509">
        <v>120</v>
      </c>
      <c r="AW159" s="508">
        <v>0</v>
      </c>
      <c r="AX159" s="506">
        <v>8</v>
      </c>
      <c r="AY159" s="506">
        <v>120</v>
      </c>
      <c r="AZ159" s="508">
        <v>0</v>
      </c>
      <c r="BA159" s="508"/>
      <c r="BB159" s="508">
        <f t="shared" si="67"/>
        <v>16</v>
      </c>
      <c r="BC159" s="509">
        <v>0</v>
      </c>
      <c r="BD159" s="509">
        <v>0</v>
      </c>
      <c r="BE159" s="506">
        <v>0</v>
      </c>
      <c r="BF159" s="200"/>
      <c r="BG159" s="200"/>
      <c r="BH159" s="200"/>
      <c r="BI159" s="200"/>
      <c r="BJ159" s="200"/>
      <c r="BK159" s="200"/>
      <c r="BL159" s="200"/>
      <c r="BM159" s="505">
        <f t="shared" si="68"/>
        <v>0</v>
      </c>
      <c r="BN159" s="200">
        <f t="shared" si="69"/>
        <v>0</v>
      </c>
      <c r="BO159" s="200">
        <f t="shared" si="62"/>
        <v>0</v>
      </c>
      <c r="BP159" s="200">
        <f t="shared" si="70"/>
        <v>5070</v>
      </c>
      <c r="BQ159" s="200">
        <f t="shared" si="71"/>
        <v>585</v>
      </c>
      <c r="BR159" s="200">
        <f t="shared" si="72"/>
        <v>2925</v>
      </c>
      <c r="BS159" s="200">
        <f t="shared" si="73"/>
        <v>195</v>
      </c>
      <c r="BT159" s="200">
        <f t="shared" si="74"/>
        <v>780</v>
      </c>
      <c r="BU159" s="200">
        <f t="shared" si="75"/>
        <v>1560</v>
      </c>
      <c r="BV159" s="200">
        <v>8</v>
      </c>
      <c r="BW159" s="200">
        <v>0</v>
      </c>
      <c r="BX159" s="200">
        <f t="shared" si="76"/>
        <v>0</v>
      </c>
      <c r="CB159" s="381">
        <f>_xlfn.IFNA(VLOOKUP(A159,'Actuals Summer'!$A:$AG,23,FALSE),0)</f>
        <v>5070</v>
      </c>
      <c r="CC159" s="381">
        <f>_xlfn.IFNA(VLOOKUP(A159,'Actuals Summer'!$A:$AG,24,FALSE),0)</f>
        <v>585</v>
      </c>
      <c r="CD159" s="381">
        <f>_xlfn.IFNA(VLOOKUP(A159,'Actuals Summer'!$A:$AG,25,FALSE),0)</f>
        <v>0</v>
      </c>
      <c r="CE159" s="381">
        <f>_xlfn.IFNA(VLOOKUP(A159,'Actuals Summer'!$A:$AG,26,FALSE),0)</f>
        <v>0</v>
      </c>
      <c r="CF159" s="381">
        <f>_xlfn.IFNA(VLOOKUP(A159,'Actuals Summer'!$A:$AG,27,FALSE),0)</f>
        <v>0</v>
      </c>
      <c r="CG159" s="381">
        <f>_xlfn.IFNA(VLOOKUP(A159,'Actuals Dep Summer'!B:O,6,FALSE)*$BN$3,0)</f>
        <v>2535</v>
      </c>
      <c r="CH159" s="381">
        <f>_xlfn.IFNA(VLOOKUP(A159,'Actuals Dep Summer'!B:O,7,FALSE)*$BN$3,0)</f>
        <v>195</v>
      </c>
      <c r="CI159" s="381">
        <f>_xlfn.IFNA(VLOOKUP(A159,'Actuals Dep Summer'!B:O,8,FALSE)*$BN$3,0)</f>
        <v>585</v>
      </c>
      <c r="CJ159" s="381">
        <f>_xlfn.IFNA(VLOOKUP(A159,'Actuals Summer'!$A:$AG,31,FALSE),0)*$BN$3</f>
        <v>103.94278378874014</v>
      </c>
      <c r="CK159" s="381"/>
      <c r="CL159" s="381">
        <f>_xlfn.IFNA(VLOOKUP(A159,'Actuals Summer'!$A:$AG,32,FALSE),0)*$BN$3</f>
        <v>20280</v>
      </c>
      <c r="CM159" s="381">
        <f>_xlfn.IFNA(VLOOKUP(A159,'Actuals Summer'!$A:$AG,33,FALSE),0)</f>
        <v>0</v>
      </c>
      <c r="CP159" s="458">
        <f t="shared" si="77"/>
        <v>0</v>
      </c>
      <c r="CQ159" s="458">
        <f t="shared" si="78"/>
        <v>0</v>
      </c>
      <c r="CR159" s="458">
        <f t="shared" si="63"/>
        <v>0</v>
      </c>
      <c r="CS159" s="458">
        <f t="shared" si="79"/>
        <v>28696.2</v>
      </c>
      <c r="CT159" s="458">
        <f t="shared" si="80"/>
        <v>3311.1</v>
      </c>
      <c r="CU159" s="458">
        <f t="shared" si="81"/>
        <v>1784.25</v>
      </c>
      <c r="CV159" s="458">
        <f t="shared" si="82"/>
        <v>56.55</v>
      </c>
      <c r="CW159" s="458">
        <f t="shared" si="83"/>
        <v>62.4</v>
      </c>
      <c r="CX159" s="458">
        <f t="shared" si="84"/>
        <v>1560</v>
      </c>
      <c r="CY159" s="458">
        <f t="shared" si="85"/>
        <v>596.63157894736833</v>
      </c>
      <c r="CZ159" s="458">
        <f t="shared" si="86"/>
        <v>0</v>
      </c>
      <c r="DA159" s="458">
        <f t="shared" si="87"/>
        <v>0</v>
      </c>
      <c r="DB159" s="458">
        <f t="shared" si="88"/>
        <v>36067.131578947374</v>
      </c>
      <c r="DC159" s="452">
        <f>_xlfn.XLOOKUP($A159,'Actuals Summer'!$A:$A,'Actuals Summer'!L:L,0,0)</f>
        <v>0</v>
      </c>
      <c r="DD159" s="452">
        <f>_xlfn.XLOOKUP($A159,'Actuals Summer'!$A:$A,'Actuals Summer'!K:K,0,0)+_xlfn.XLOOKUP($A159,'Actuals Summer'!$A:$A,'Actuals Summer'!Q:Q,0,0)</f>
        <v>0</v>
      </c>
      <c r="DE159" s="452">
        <f>_xlfn.XLOOKUP($A159,'Actuals Summer'!$A:$A,'Actuals Summer'!I:I,0,0)+_xlfn.XLOOKUP($A159,'Actuals Summer'!$A:$A,'Actuals Summer'!R:R,0,0)</f>
        <v>28696.2</v>
      </c>
      <c r="DF159" s="452">
        <f>_xlfn.XLOOKUP($A159,'Actuals Summer'!$A:$A,'Actuals Summer'!J:J,0,0)</f>
        <v>3311.1</v>
      </c>
      <c r="DG159" s="452">
        <f>_xlfn.XLOOKUP($A159,'Actuals Dep Summer'!$B:$B,'Actuals Dep Summer'!G:G,0,0)*'Actuals Dep Summer'!$F$2*'Actuals Dep Summer'!$C$2</f>
        <v>1546.35</v>
      </c>
      <c r="DH159" s="452">
        <f>_xlfn.XLOOKUP($A159,'Actuals Dep Summer'!$B:$B,'Actuals Dep Summer'!H:H,0,0)*'Actuals Dep Summer'!$F$2*'Actuals Dep Summer'!$C$3</f>
        <v>56.55</v>
      </c>
      <c r="DI159" s="452">
        <f>_xlfn.XLOOKUP($A159,'Actuals Dep Summer'!$B:$B,'Actuals Dep Summer'!I:I,0,0)*'Actuals Dep Summer'!$F$2*'Actuals Dep Summer'!$C$4</f>
        <v>46.800000000000004</v>
      </c>
      <c r="DJ159" s="452">
        <f>_xlfn.XLOOKUP($A159,'Actuals Summer'!$A:$A,'Actuals Summer'!P:P,0,0)</f>
        <v>1560</v>
      </c>
      <c r="DK159" s="452">
        <f>_xlfn.XLOOKUP($A159,'Actuals Summer'!$A:$A,'Actuals Summer'!O:O,0,0)</f>
        <v>596.63157894736844</v>
      </c>
      <c r="DL159" s="452"/>
      <c r="DM159" s="452">
        <f>_xlfn.XLOOKUP($A159,'Actuals Summer'!$A:$A,'Actuals Summer'!M:M,0,0)</f>
        <v>0</v>
      </c>
      <c r="DN159" s="453">
        <f t="shared" si="64"/>
        <v>35813.631578947374</v>
      </c>
      <c r="DO159" s="453">
        <f>_xlfn.XLOOKUP(A159,'Actuals Summer'!A:A,'Actuals Summer'!S:S,0,0)-'Summer data team '!DN159</f>
        <v>0</v>
      </c>
      <c r="DP159" s="463">
        <f t="shared" si="65"/>
        <v>253.5</v>
      </c>
    </row>
    <row r="160" spans="1:120" ht="13" x14ac:dyDescent="0.3">
      <c r="A160" s="364">
        <v>3317</v>
      </c>
      <c r="B160" s="364">
        <v>3303317</v>
      </c>
      <c r="C160" s="364" t="s">
        <v>95</v>
      </c>
      <c r="D160" s="506">
        <v>0</v>
      </c>
      <c r="E160" s="506">
        <v>0</v>
      </c>
      <c r="F160" s="506">
        <v>0</v>
      </c>
      <c r="G160" s="506">
        <v>10</v>
      </c>
      <c r="H160" s="506">
        <v>16</v>
      </c>
      <c r="I160" s="507">
        <v>0</v>
      </c>
      <c r="J160" s="507">
        <v>26</v>
      </c>
      <c r="K160" s="506">
        <v>0</v>
      </c>
      <c r="L160" s="506">
        <v>2</v>
      </c>
      <c r="M160" s="507">
        <v>2</v>
      </c>
      <c r="N160" s="506">
        <v>0</v>
      </c>
      <c r="O160" s="506">
        <v>0</v>
      </c>
      <c r="P160" s="506">
        <v>150</v>
      </c>
      <c r="Q160" s="506">
        <v>240</v>
      </c>
      <c r="R160" s="507">
        <v>390</v>
      </c>
      <c r="S160" s="506">
        <v>0</v>
      </c>
      <c r="T160" s="506">
        <v>0</v>
      </c>
      <c r="U160" s="506">
        <v>0</v>
      </c>
      <c r="V160" s="506">
        <v>30</v>
      </c>
      <c r="W160" s="507">
        <v>30</v>
      </c>
      <c r="X160" s="506">
        <v>1</v>
      </c>
      <c r="Y160" s="506">
        <v>15</v>
      </c>
      <c r="Z160" s="508">
        <v>0</v>
      </c>
      <c r="AA160" s="506">
        <v>1</v>
      </c>
      <c r="AB160" s="506">
        <v>15</v>
      </c>
      <c r="AC160" s="508">
        <v>0</v>
      </c>
      <c r="AD160" s="506">
        <v>14</v>
      </c>
      <c r="AE160" s="506">
        <v>210</v>
      </c>
      <c r="AF160" s="508">
        <v>30</v>
      </c>
      <c r="AG160" s="509">
        <v>0</v>
      </c>
      <c r="AH160" s="509">
        <v>0</v>
      </c>
      <c r="AI160" s="508">
        <v>0</v>
      </c>
      <c r="AJ160" s="509">
        <v>14</v>
      </c>
      <c r="AK160" s="509">
        <v>210</v>
      </c>
      <c r="AL160" s="508">
        <v>0</v>
      </c>
      <c r="AM160" s="506">
        <v>14</v>
      </c>
      <c r="AN160" s="506">
        <v>210</v>
      </c>
      <c r="AO160" s="508">
        <v>0</v>
      </c>
      <c r="AP160" s="508"/>
      <c r="AQ160" s="508">
        <f t="shared" si="66"/>
        <v>14</v>
      </c>
      <c r="AR160" s="509">
        <v>0</v>
      </c>
      <c r="AS160" s="509">
        <v>0</v>
      </c>
      <c r="AT160" s="508">
        <v>0</v>
      </c>
      <c r="AU160" s="509">
        <v>14</v>
      </c>
      <c r="AV160" s="509">
        <v>210</v>
      </c>
      <c r="AW160" s="508">
        <v>0</v>
      </c>
      <c r="AX160" s="506">
        <v>14</v>
      </c>
      <c r="AY160" s="506">
        <v>210</v>
      </c>
      <c r="AZ160" s="508">
        <v>0</v>
      </c>
      <c r="BA160" s="508"/>
      <c r="BB160" s="508">
        <f t="shared" si="67"/>
        <v>28</v>
      </c>
      <c r="BC160" s="509">
        <v>0</v>
      </c>
      <c r="BD160" s="509">
        <v>0</v>
      </c>
      <c r="BE160" s="506">
        <v>0</v>
      </c>
      <c r="BF160" s="200"/>
      <c r="BG160" s="200"/>
      <c r="BH160" s="200"/>
      <c r="BI160" s="200"/>
      <c r="BJ160" s="200"/>
      <c r="BK160" s="200"/>
      <c r="BL160" s="200"/>
      <c r="BM160" s="505">
        <f t="shared" si="68"/>
        <v>0</v>
      </c>
      <c r="BN160" s="200">
        <f t="shared" si="69"/>
        <v>0</v>
      </c>
      <c r="BO160" s="200">
        <f t="shared" si="62"/>
        <v>0</v>
      </c>
      <c r="BP160" s="200">
        <f t="shared" si="70"/>
        <v>5070</v>
      </c>
      <c r="BQ160" s="200">
        <f t="shared" si="71"/>
        <v>390</v>
      </c>
      <c r="BR160" s="200">
        <f t="shared" si="72"/>
        <v>195</v>
      </c>
      <c r="BS160" s="200">
        <f t="shared" si="73"/>
        <v>195</v>
      </c>
      <c r="BT160" s="200">
        <f t="shared" si="74"/>
        <v>3120</v>
      </c>
      <c r="BU160" s="200">
        <f t="shared" si="75"/>
        <v>2730</v>
      </c>
      <c r="BV160" s="200">
        <v>14</v>
      </c>
      <c r="BW160" s="200">
        <v>0</v>
      </c>
      <c r="BX160" s="200">
        <f t="shared" si="76"/>
        <v>0</v>
      </c>
      <c r="CB160" s="381">
        <f>_xlfn.IFNA(VLOOKUP(A160,'Actuals Summer'!$A:$AG,23,FALSE),0)</f>
        <v>5070</v>
      </c>
      <c r="CC160" s="381">
        <f>_xlfn.IFNA(VLOOKUP(A160,'Actuals Summer'!$A:$AG,24,FALSE),0)</f>
        <v>390</v>
      </c>
      <c r="CD160" s="381">
        <f>_xlfn.IFNA(VLOOKUP(A160,'Actuals Summer'!$A:$AG,25,FALSE),0)</f>
        <v>0</v>
      </c>
      <c r="CE160" s="381">
        <f>_xlfn.IFNA(VLOOKUP(A160,'Actuals Summer'!$A:$AG,26,FALSE),0)</f>
        <v>0</v>
      </c>
      <c r="CF160" s="381">
        <f>_xlfn.IFNA(VLOOKUP(A160,'Actuals Summer'!$A:$AG,27,FALSE),0)</f>
        <v>0</v>
      </c>
      <c r="CG160" s="381">
        <f>_xlfn.IFNA(VLOOKUP(A160,'Actuals Dep Summer'!B:O,6,FALSE)*$BN$3,0)</f>
        <v>195</v>
      </c>
      <c r="CH160" s="381">
        <f>_xlfn.IFNA(VLOOKUP(A160,'Actuals Dep Summer'!B:O,7,FALSE)*$BN$3,0)</f>
        <v>195</v>
      </c>
      <c r="CI160" s="381">
        <f>_xlfn.IFNA(VLOOKUP(A160,'Actuals Dep Summer'!B:O,8,FALSE)*$BN$3,0)</f>
        <v>2730</v>
      </c>
      <c r="CJ160" s="381">
        <f>_xlfn.IFNA(VLOOKUP(A160,'Actuals Summer'!$A:$AG,31,FALSE),0)*$BN$3</f>
        <v>181.89987163029525</v>
      </c>
      <c r="CK160" s="381"/>
      <c r="CL160" s="381">
        <f>_xlfn.IFNA(VLOOKUP(A160,'Actuals Summer'!$A:$AG,32,FALSE),0)*$BN$3</f>
        <v>35490</v>
      </c>
      <c r="CM160" s="381">
        <f>_xlfn.IFNA(VLOOKUP(A160,'Actuals Summer'!$A:$AG,33,FALSE),0)</f>
        <v>0</v>
      </c>
      <c r="CP160" s="458">
        <f t="shared" si="77"/>
        <v>0</v>
      </c>
      <c r="CQ160" s="458">
        <f t="shared" si="78"/>
        <v>0</v>
      </c>
      <c r="CR160" s="458">
        <f t="shared" si="63"/>
        <v>0</v>
      </c>
      <c r="CS160" s="458">
        <f t="shared" si="79"/>
        <v>28696.2</v>
      </c>
      <c r="CT160" s="458">
        <f t="shared" si="80"/>
        <v>2207.4</v>
      </c>
      <c r="CU160" s="458">
        <f t="shared" si="81"/>
        <v>118.95</v>
      </c>
      <c r="CV160" s="458">
        <f t="shared" si="82"/>
        <v>56.55</v>
      </c>
      <c r="CW160" s="458">
        <f t="shared" si="83"/>
        <v>249.6</v>
      </c>
      <c r="CX160" s="458">
        <f t="shared" si="84"/>
        <v>2730</v>
      </c>
      <c r="CY160" s="458">
        <f t="shared" si="85"/>
        <v>1044.1052631578946</v>
      </c>
      <c r="CZ160" s="458">
        <f t="shared" si="86"/>
        <v>0</v>
      </c>
      <c r="DA160" s="458">
        <f t="shared" si="87"/>
        <v>0</v>
      </c>
      <c r="DB160" s="458">
        <f t="shared" si="88"/>
        <v>35102.80526315789</v>
      </c>
      <c r="DC160" s="452">
        <f>_xlfn.XLOOKUP($A160,'Actuals Summer'!$A:$A,'Actuals Summer'!L:L,0,0)</f>
        <v>0</v>
      </c>
      <c r="DD160" s="452">
        <f>_xlfn.XLOOKUP($A160,'Actuals Summer'!$A:$A,'Actuals Summer'!K:K,0,0)+_xlfn.XLOOKUP($A160,'Actuals Summer'!$A:$A,'Actuals Summer'!Q:Q,0,0)</f>
        <v>0</v>
      </c>
      <c r="DE160" s="452">
        <f>_xlfn.XLOOKUP($A160,'Actuals Summer'!$A:$A,'Actuals Summer'!I:I,0,0)+_xlfn.XLOOKUP($A160,'Actuals Summer'!$A:$A,'Actuals Summer'!R:R,0,0)</f>
        <v>28696.2</v>
      </c>
      <c r="DF160" s="452">
        <f>_xlfn.XLOOKUP($A160,'Actuals Summer'!$A:$A,'Actuals Summer'!J:J,0,0)</f>
        <v>2207.4</v>
      </c>
      <c r="DG160" s="452">
        <f>_xlfn.XLOOKUP($A160,'Actuals Dep Summer'!$B:$B,'Actuals Dep Summer'!G:G,0,0)*'Actuals Dep Summer'!$F$2*'Actuals Dep Summer'!$C$2</f>
        <v>118.95</v>
      </c>
      <c r="DH160" s="452">
        <f>_xlfn.XLOOKUP($A160,'Actuals Dep Summer'!$B:$B,'Actuals Dep Summer'!H:H,0,0)*'Actuals Dep Summer'!$F$2*'Actuals Dep Summer'!$C$3</f>
        <v>56.55</v>
      </c>
      <c r="DI160" s="452">
        <f>_xlfn.XLOOKUP($A160,'Actuals Dep Summer'!$B:$B,'Actuals Dep Summer'!I:I,0,0)*'Actuals Dep Summer'!$F$2*'Actuals Dep Summer'!$C$4</f>
        <v>218.4</v>
      </c>
      <c r="DJ160" s="452">
        <f>_xlfn.XLOOKUP($A160,'Actuals Summer'!$A:$A,'Actuals Summer'!P:P,0,0)</f>
        <v>2730</v>
      </c>
      <c r="DK160" s="452">
        <f>_xlfn.XLOOKUP($A160,'Actuals Summer'!$A:$A,'Actuals Summer'!O:O,0,0)</f>
        <v>1044.1052631578948</v>
      </c>
      <c r="DL160" s="452"/>
      <c r="DM160" s="452">
        <f>_xlfn.XLOOKUP($A160,'Actuals Summer'!$A:$A,'Actuals Summer'!M:M,0,0)</f>
        <v>0</v>
      </c>
      <c r="DN160" s="453">
        <f t="shared" si="64"/>
        <v>35071.605263157893</v>
      </c>
      <c r="DO160" s="453">
        <f>_xlfn.XLOOKUP(A160,'Actuals Summer'!A:A,'Actuals Summer'!S:S,0,0)-'Summer data team '!DN160</f>
        <v>0</v>
      </c>
      <c r="DP160" s="463">
        <f t="shared" si="65"/>
        <v>31.19999999999709</v>
      </c>
    </row>
    <row r="161" spans="1:120" ht="13" x14ac:dyDescent="0.3">
      <c r="A161" s="364">
        <v>3319</v>
      </c>
      <c r="B161" s="364">
        <v>3303319</v>
      </c>
      <c r="C161" s="364" t="s">
        <v>61</v>
      </c>
      <c r="D161" s="506">
        <v>0</v>
      </c>
      <c r="E161" s="506">
        <v>0</v>
      </c>
      <c r="F161" s="506">
        <v>0</v>
      </c>
      <c r="G161" s="506">
        <v>11</v>
      </c>
      <c r="H161" s="506">
        <v>24</v>
      </c>
      <c r="I161" s="507">
        <v>0</v>
      </c>
      <c r="J161" s="507">
        <v>35</v>
      </c>
      <c r="K161" s="506">
        <v>2</v>
      </c>
      <c r="L161" s="506">
        <v>8</v>
      </c>
      <c r="M161" s="507">
        <v>10</v>
      </c>
      <c r="N161" s="506">
        <v>0</v>
      </c>
      <c r="O161" s="506">
        <v>0</v>
      </c>
      <c r="P161" s="506">
        <v>165</v>
      </c>
      <c r="Q161" s="506">
        <v>360</v>
      </c>
      <c r="R161" s="507">
        <v>525</v>
      </c>
      <c r="S161" s="506">
        <v>0</v>
      </c>
      <c r="T161" s="506">
        <v>0</v>
      </c>
      <c r="U161" s="506">
        <v>30</v>
      </c>
      <c r="V161" s="506">
        <v>120</v>
      </c>
      <c r="W161" s="507">
        <v>150</v>
      </c>
      <c r="X161" s="506">
        <v>10</v>
      </c>
      <c r="Y161" s="506">
        <v>150</v>
      </c>
      <c r="Z161" s="508">
        <v>30</v>
      </c>
      <c r="AA161" s="506">
        <v>15</v>
      </c>
      <c r="AB161" s="506">
        <v>225</v>
      </c>
      <c r="AC161" s="508">
        <v>90</v>
      </c>
      <c r="AD161" s="506">
        <v>2</v>
      </c>
      <c r="AE161" s="506">
        <v>30</v>
      </c>
      <c r="AF161" s="508">
        <v>0</v>
      </c>
      <c r="AG161" s="509">
        <v>0</v>
      </c>
      <c r="AH161" s="509">
        <v>0</v>
      </c>
      <c r="AI161" s="508">
        <v>0</v>
      </c>
      <c r="AJ161" s="509">
        <v>20</v>
      </c>
      <c r="AK161" s="509">
        <v>300</v>
      </c>
      <c r="AL161" s="508">
        <v>75</v>
      </c>
      <c r="AM161" s="506">
        <v>20</v>
      </c>
      <c r="AN161" s="506">
        <v>300</v>
      </c>
      <c r="AO161" s="508">
        <v>75</v>
      </c>
      <c r="AP161" s="508"/>
      <c r="AQ161" s="508">
        <f t="shared" si="66"/>
        <v>20</v>
      </c>
      <c r="AR161" s="509">
        <v>0</v>
      </c>
      <c r="AS161" s="509">
        <v>0</v>
      </c>
      <c r="AT161" s="508">
        <v>0</v>
      </c>
      <c r="AU161" s="509">
        <v>20</v>
      </c>
      <c r="AV161" s="509">
        <v>300</v>
      </c>
      <c r="AW161" s="508">
        <v>75</v>
      </c>
      <c r="AX161" s="506">
        <v>20</v>
      </c>
      <c r="AY161" s="506">
        <v>300</v>
      </c>
      <c r="AZ161" s="508">
        <v>75</v>
      </c>
      <c r="BA161" s="508"/>
      <c r="BB161" s="508">
        <f t="shared" si="67"/>
        <v>40</v>
      </c>
      <c r="BC161" s="509">
        <v>0</v>
      </c>
      <c r="BD161" s="509">
        <v>0</v>
      </c>
      <c r="BE161" s="506">
        <v>0</v>
      </c>
      <c r="BF161" s="200"/>
      <c r="BG161" s="200"/>
      <c r="BH161" s="200"/>
      <c r="BI161" s="200"/>
      <c r="BJ161" s="200"/>
      <c r="BK161" s="200"/>
      <c r="BL161" s="200"/>
      <c r="BM161" s="505">
        <f t="shared" si="68"/>
        <v>0</v>
      </c>
      <c r="BN161" s="200">
        <f t="shared" si="69"/>
        <v>0</v>
      </c>
      <c r="BO161" s="200">
        <f t="shared" si="62"/>
        <v>0</v>
      </c>
      <c r="BP161" s="200">
        <f t="shared" si="70"/>
        <v>6825</v>
      </c>
      <c r="BQ161" s="200">
        <f t="shared" si="71"/>
        <v>1950</v>
      </c>
      <c r="BR161" s="200">
        <f t="shared" si="72"/>
        <v>2340</v>
      </c>
      <c r="BS161" s="200">
        <f t="shared" si="73"/>
        <v>4095</v>
      </c>
      <c r="BT161" s="200">
        <f t="shared" si="74"/>
        <v>390</v>
      </c>
      <c r="BU161" s="200">
        <f t="shared" si="75"/>
        <v>3900</v>
      </c>
      <c r="BV161" s="200">
        <v>15</v>
      </c>
      <c r="BW161" s="200">
        <v>5</v>
      </c>
      <c r="BX161" s="200">
        <f t="shared" si="76"/>
        <v>0</v>
      </c>
      <c r="CB161" s="381">
        <f>_xlfn.IFNA(VLOOKUP(A161,'Actuals Summer'!$A:$AG,23,FALSE),0)</f>
        <v>6825</v>
      </c>
      <c r="CC161" s="381">
        <f>_xlfn.IFNA(VLOOKUP(A161,'Actuals Summer'!$A:$AG,24,FALSE),0)</f>
        <v>1950</v>
      </c>
      <c r="CD161" s="381">
        <f>_xlfn.IFNA(VLOOKUP(A161,'Actuals Summer'!$A:$AG,25,FALSE),0)</f>
        <v>0</v>
      </c>
      <c r="CE161" s="381">
        <f>_xlfn.IFNA(VLOOKUP(A161,'Actuals Summer'!$A:$AG,26,FALSE),0)</f>
        <v>0</v>
      </c>
      <c r="CF161" s="381">
        <f>_xlfn.IFNA(VLOOKUP(A161,'Actuals Summer'!$A:$AG,27,FALSE),0)</f>
        <v>0</v>
      </c>
      <c r="CG161" s="381">
        <f>_xlfn.IFNA(VLOOKUP(A161,'Actuals Dep Summer'!B:O,6,FALSE)*$BN$3,0)</f>
        <v>1950</v>
      </c>
      <c r="CH161" s="381">
        <f>_xlfn.IFNA(VLOOKUP(A161,'Actuals Dep Summer'!B:O,7,FALSE)*$BN$3,0)</f>
        <v>2925</v>
      </c>
      <c r="CI161" s="381">
        <f>_xlfn.IFNA(VLOOKUP(A161,'Actuals Dep Summer'!B:O,8,FALSE)*$BN$3,0)</f>
        <v>390</v>
      </c>
      <c r="CJ161" s="381">
        <f>_xlfn.IFNA(VLOOKUP(A161,'Actuals Summer'!$A:$AG,31,FALSE),0)*$BN$3</f>
        <v>259.8569594718503</v>
      </c>
      <c r="CK161" s="381"/>
      <c r="CL161" s="381">
        <f>_xlfn.IFNA(VLOOKUP(A161,'Actuals Summer'!$A:$AG,32,FALSE),0)*$BN$3</f>
        <v>50700</v>
      </c>
      <c r="CM161" s="381">
        <f>_xlfn.IFNA(VLOOKUP(A161,'Actuals Summer'!$A:$AG,33,FALSE),0)</f>
        <v>0</v>
      </c>
      <c r="CP161" s="458">
        <f t="shared" si="77"/>
        <v>0</v>
      </c>
      <c r="CQ161" s="458">
        <f t="shared" si="78"/>
        <v>0</v>
      </c>
      <c r="CR161" s="458">
        <f t="shared" si="63"/>
        <v>0</v>
      </c>
      <c r="CS161" s="458">
        <f t="shared" si="79"/>
        <v>38629.5</v>
      </c>
      <c r="CT161" s="458">
        <f t="shared" si="80"/>
        <v>11037</v>
      </c>
      <c r="CU161" s="458">
        <f t="shared" si="81"/>
        <v>1427.3999999999999</v>
      </c>
      <c r="CV161" s="458">
        <f t="shared" si="82"/>
        <v>1187.55</v>
      </c>
      <c r="CW161" s="458">
        <f t="shared" si="83"/>
        <v>31.2</v>
      </c>
      <c r="CX161" s="458">
        <f t="shared" si="84"/>
        <v>3900</v>
      </c>
      <c r="CY161" s="458">
        <f t="shared" si="85"/>
        <v>1118.6842105263158</v>
      </c>
      <c r="CZ161" s="458">
        <f t="shared" si="86"/>
        <v>932.23684210526324</v>
      </c>
      <c r="DA161" s="458">
        <f t="shared" si="87"/>
        <v>0</v>
      </c>
      <c r="DB161" s="458">
        <f t="shared" si="88"/>
        <v>58263.571052631574</v>
      </c>
      <c r="DC161" s="452">
        <f>_xlfn.XLOOKUP($A161,'Actuals Summer'!$A:$A,'Actuals Summer'!L:L,0,0)</f>
        <v>0</v>
      </c>
      <c r="DD161" s="452">
        <f>_xlfn.XLOOKUP($A161,'Actuals Summer'!$A:$A,'Actuals Summer'!K:K,0,0)+_xlfn.XLOOKUP($A161,'Actuals Summer'!$A:$A,'Actuals Summer'!Q:Q,0,0)</f>
        <v>0</v>
      </c>
      <c r="DE161" s="452">
        <f>_xlfn.XLOOKUP($A161,'Actuals Summer'!$A:$A,'Actuals Summer'!I:I,0,0)+_xlfn.XLOOKUP($A161,'Actuals Summer'!$A:$A,'Actuals Summer'!R:R,0,0)</f>
        <v>38629.5</v>
      </c>
      <c r="DF161" s="452">
        <f>_xlfn.XLOOKUP($A161,'Actuals Summer'!$A:$A,'Actuals Summer'!J:J,0,0)</f>
        <v>11037</v>
      </c>
      <c r="DG161" s="452">
        <f>_xlfn.XLOOKUP($A161,'Actuals Dep Summer'!$B:$B,'Actuals Dep Summer'!G:G,0,0)*'Actuals Dep Summer'!$F$2*'Actuals Dep Summer'!$C$2</f>
        <v>1189.5</v>
      </c>
      <c r="DH161" s="452">
        <f>_xlfn.XLOOKUP($A161,'Actuals Dep Summer'!$B:$B,'Actuals Dep Summer'!H:H,0,0)*'Actuals Dep Summer'!$F$2*'Actuals Dep Summer'!$C$3</f>
        <v>848.24999999999989</v>
      </c>
      <c r="DI161" s="452">
        <f>_xlfn.XLOOKUP($A161,'Actuals Dep Summer'!$B:$B,'Actuals Dep Summer'!I:I,0,0)*'Actuals Dep Summer'!$F$2*'Actuals Dep Summer'!$C$4</f>
        <v>31.2</v>
      </c>
      <c r="DJ161" s="452">
        <f>_xlfn.XLOOKUP($A161,'Actuals Summer'!$A:$A,'Actuals Summer'!P:P,0,0)</f>
        <v>3900</v>
      </c>
      <c r="DK161" s="452">
        <f>_xlfn.XLOOKUP($A161,'Actuals Summer'!$A:$A,'Actuals Summer'!O:O,0,0)</f>
        <v>1491.578947368421</v>
      </c>
      <c r="DL161" s="452"/>
      <c r="DM161" s="452">
        <f>_xlfn.XLOOKUP($A161,'Actuals Summer'!$A:$A,'Actuals Summer'!M:M,0,0)</f>
        <v>0</v>
      </c>
      <c r="DN161" s="453">
        <f t="shared" si="64"/>
        <v>57127.028947368417</v>
      </c>
      <c r="DO161" s="453">
        <f>_xlfn.XLOOKUP(A161,'Actuals Summer'!A:A,'Actuals Summer'!S:S,0,0)-'Summer data team '!DN161</f>
        <v>0</v>
      </c>
      <c r="DP161" s="463">
        <f t="shared" si="65"/>
        <v>1136.5421052631573</v>
      </c>
    </row>
    <row r="162" spans="1:120" ht="13" x14ac:dyDescent="0.3">
      <c r="A162" s="364">
        <v>3322</v>
      </c>
      <c r="B162" s="364">
        <v>3303322</v>
      </c>
      <c r="C162" s="364" t="s">
        <v>111</v>
      </c>
      <c r="D162" s="506">
        <v>0</v>
      </c>
      <c r="E162" s="506">
        <v>0</v>
      </c>
      <c r="F162" s="506">
        <v>0</v>
      </c>
      <c r="G162" s="506">
        <v>18</v>
      </c>
      <c r="H162" s="506">
        <v>9</v>
      </c>
      <c r="I162" s="507">
        <v>0</v>
      </c>
      <c r="J162" s="507">
        <v>27</v>
      </c>
      <c r="K162" s="506">
        <v>7</v>
      </c>
      <c r="L162" s="506">
        <v>4</v>
      </c>
      <c r="M162" s="507">
        <v>11</v>
      </c>
      <c r="N162" s="506">
        <v>0</v>
      </c>
      <c r="O162" s="506">
        <v>0</v>
      </c>
      <c r="P162" s="506">
        <v>270</v>
      </c>
      <c r="Q162" s="506">
        <v>135</v>
      </c>
      <c r="R162" s="507">
        <v>405</v>
      </c>
      <c r="S162" s="506">
        <v>0</v>
      </c>
      <c r="T162" s="506">
        <v>0</v>
      </c>
      <c r="U162" s="506">
        <v>105</v>
      </c>
      <c r="V162" s="506">
        <v>60</v>
      </c>
      <c r="W162" s="507">
        <v>165</v>
      </c>
      <c r="X162" s="506">
        <v>5</v>
      </c>
      <c r="Y162" s="506">
        <v>75</v>
      </c>
      <c r="Z162" s="508">
        <v>30</v>
      </c>
      <c r="AA162" s="506">
        <v>2</v>
      </c>
      <c r="AB162" s="506">
        <v>30</v>
      </c>
      <c r="AC162" s="508">
        <v>0</v>
      </c>
      <c r="AD162" s="506">
        <v>1</v>
      </c>
      <c r="AE162" s="506">
        <v>15</v>
      </c>
      <c r="AF162" s="508">
        <v>0</v>
      </c>
      <c r="AG162" s="509">
        <v>0</v>
      </c>
      <c r="AH162" s="509">
        <v>0</v>
      </c>
      <c r="AI162" s="508">
        <v>0</v>
      </c>
      <c r="AJ162" s="509">
        <v>7</v>
      </c>
      <c r="AK162" s="509">
        <v>105</v>
      </c>
      <c r="AL162" s="508">
        <v>15</v>
      </c>
      <c r="AM162" s="506">
        <v>7</v>
      </c>
      <c r="AN162" s="506">
        <v>105</v>
      </c>
      <c r="AO162" s="508">
        <v>15</v>
      </c>
      <c r="AP162" s="508"/>
      <c r="AQ162" s="508">
        <f t="shared" si="66"/>
        <v>7</v>
      </c>
      <c r="AR162" s="509">
        <v>0</v>
      </c>
      <c r="AS162" s="509">
        <v>0</v>
      </c>
      <c r="AT162" s="508">
        <v>0</v>
      </c>
      <c r="AU162" s="509">
        <v>0</v>
      </c>
      <c r="AV162" s="509">
        <v>0</v>
      </c>
      <c r="AW162" s="508">
        <v>0</v>
      </c>
      <c r="AX162" s="506">
        <v>0</v>
      </c>
      <c r="AY162" s="506">
        <v>0</v>
      </c>
      <c r="AZ162" s="508">
        <v>0</v>
      </c>
      <c r="BA162" s="508"/>
      <c r="BB162" s="508">
        <f t="shared" si="67"/>
        <v>0</v>
      </c>
      <c r="BC162" s="509">
        <v>0</v>
      </c>
      <c r="BD162" s="509">
        <v>0</v>
      </c>
      <c r="BE162" s="506">
        <v>0</v>
      </c>
      <c r="BF162" s="200"/>
      <c r="BG162" s="200"/>
      <c r="BH162" s="200"/>
      <c r="BI162" s="200"/>
      <c r="BJ162" s="200"/>
      <c r="BK162" s="200"/>
      <c r="BL162" s="200"/>
      <c r="BM162" s="505">
        <f t="shared" si="68"/>
        <v>0</v>
      </c>
      <c r="BN162" s="200">
        <f t="shared" si="69"/>
        <v>0</v>
      </c>
      <c r="BO162" s="200">
        <f t="shared" si="62"/>
        <v>0</v>
      </c>
      <c r="BP162" s="200">
        <f t="shared" si="70"/>
        <v>5265</v>
      </c>
      <c r="BQ162" s="200">
        <f t="shared" si="71"/>
        <v>2145</v>
      </c>
      <c r="BR162" s="200">
        <f t="shared" si="72"/>
        <v>1365</v>
      </c>
      <c r="BS162" s="200">
        <f t="shared" si="73"/>
        <v>390</v>
      </c>
      <c r="BT162" s="200">
        <f t="shared" si="74"/>
        <v>195</v>
      </c>
      <c r="BU162" s="200">
        <f t="shared" si="75"/>
        <v>1365</v>
      </c>
      <c r="BV162" s="200">
        <v>0</v>
      </c>
      <c r="BW162" s="200">
        <v>0</v>
      </c>
      <c r="BX162" s="200">
        <f t="shared" si="76"/>
        <v>0</v>
      </c>
      <c r="CB162" s="381">
        <f>_xlfn.IFNA(VLOOKUP(A162,'Actuals Summer'!$A:$AG,23,FALSE),0)</f>
        <v>5265</v>
      </c>
      <c r="CC162" s="381">
        <f>_xlfn.IFNA(VLOOKUP(A162,'Actuals Summer'!$A:$AG,24,FALSE),0)</f>
        <v>2145</v>
      </c>
      <c r="CD162" s="381">
        <f>_xlfn.IFNA(VLOOKUP(A162,'Actuals Summer'!$A:$AG,25,FALSE),0)</f>
        <v>0</v>
      </c>
      <c r="CE162" s="381">
        <f>_xlfn.IFNA(VLOOKUP(A162,'Actuals Summer'!$A:$AG,26,FALSE),0)</f>
        <v>0</v>
      </c>
      <c r="CF162" s="381">
        <f>_xlfn.IFNA(VLOOKUP(A162,'Actuals Summer'!$A:$AG,27,FALSE),0)</f>
        <v>0</v>
      </c>
      <c r="CG162" s="381">
        <f>_xlfn.IFNA(VLOOKUP(A162,'Actuals Dep Summer'!B:O,6,FALSE)*$BN$3,0)</f>
        <v>975</v>
      </c>
      <c r="CH162" s="381">
        <f>_xlfn.IFNA(VLOOKUP(A162,'Actuals Dep Summer'!B:O,7,FALSE)*$BN$3,0)</f>
        <v>390</v>
      </c>
      <c r="CI162" s="381">
        <f>_xlfn.IFNA(VLOOKUP(A162,'Actuals Dep Summer'!B:O,8,FALSE)*$BN$3,0)</f>
        <v>195</v>
      </c>
      <c r="CJ162" s="381">
        <f>_xlfn.IFNA(VLOOKUP(A162,'Actuals Summer'!$A:$AG,31,FALSE),0)*$BN$3</f>
        <v>0</v>
      </c>
      <c r="CK162" s="381"/>
      <c r="CL162" s="381">
        <f>_xlfn.IFNA(VLOOKUP(A162,'Actuals Summer'!$A:$AG,32,FALSE),0)*$BN$3</f>
        <v>17745</v>
      </c>
      <c r="CM162" s="381">
        <f>_xlfn.IFNA(VLOOKUP(A162,'Actuals Summer'!$A:$AG,33,FALSE),0)</f>
        <v>0</v>
      </c>
      <c r="CP162" s="458">
        <f t="shared" si="77"/>
        <v>0</v>
      </c>
      <c r="CQ162" s="458">
        <f t="shared" si="78"/>
        <v>0</v>
      </c>
      <c r="CR162" s="458">
        <f t="shared" si="63"/>
        <v>0</v>
      </c>
      <c r="CS162" s="458">
        <f t="shared" si="79"/>
        <v>29799.9</v>
      </c>
      <c r="CT162" s="458">
        <f t="shared" si="80"/>
        <v>12140.7</v>
      </c>
      <c r="CU162" s="458">
        <f t="shared" si="81"/>
        <v>832.65</v>
      </c>
      <c r="CV162" s="458">
        <f t="shared" si="82"/>
        <v>113.1</v>
      </c>
      <c r="CW162" s="458">
        <f t="shared" si="83"/>
        <v>15.6</v>
      </c>
      <c r="CX162" s="458">
        <f t="shared" si="84"/>
        <v>1365</v>
      </c>
      <c r="CY162" s="458">
        <f t="shared" si="85"/>
        <v>0</v>
      </c>
      <c r="CZ162" s="458">
        <f t="shared" si="86"/>
        <v>0</v>
      </c>
      <c r="DA162" s="458">
        <f t="shared" si="87"/>
        <v>0</v>
      </c>
      <c r="DB162" s="458">
        <f t="shared" si="88"/>
        <v>44266.950000000004</v>
      </c>
      <c r="DC162" s="452">
        <f>_xlfn.XLOOKUP($A162,'Actuals Summer'!$A:$A,'Actuals Summer'!L:L,0,0)</f>
        <v>0</v>
      </c>
      <c r="DD162" s="452">
        <f>_xlfn.XLOOKUP($A162,'Actuals Summer'!$A:$A,'Actuals Summer'!K:K,0,0)+_xlfn.XLOOKUP($A162,'Actuals Summer'!$A:$A,'Actuals Summer'!Q:Q,0,0)</f>
        <v>0</v>
      </c>
      <c r="DE162" s="452">
        <f>_xlfn.XLOOKUP($A162,'Actuals Summer'!$A:$A,'Actuals Summer'!I:I,0,0)+_xlfn.XLOOKUP($A162,'Actuals Summer'!$A:$A,'Actuals Summer'!R:R,0,0)</f>
        <v>29799.9</v>
      </c>
      <c r="DF162" s="452">
        <f>_xlfn.XLOOKUP($A162,'Actuals Summer'!$A:$A,'Actuals Summer'!J:J,0,0)</f>
        <v>12140.7</v>
      </c>
      <c r="DG162" s="452">
        <f>_xlfn.XLOOKUP($A162,'Actuals Dep Summer'!$B:$B,'Actuals Dep Summer'!G:G,0,0)*'Actuals Dep Summer'!$F$2*'Actuals Dep Summer'!$C$2</f>
        <v>594.75</v>
      </c>
      <c r="DH162" s="452">
        <f>_xlfn.XLOOKUP($A162,'Actuals Dep Summer'!$B:$B,'Actuals Dep Summer'!H:H,0,0)*'Actuals Dep Summer'!$F$2*'Actuals Dep Summer'!$C$3</f>
        <v>113.1</v>
      </c>
      <c r="DI162" s="452">
        <f>_xlfn.XLOOKUP($A162,'Actuals Dep Summer'!$B:$B,'Actuals Dep Summer'!I:I,0,0)*'Actuals Dep Summer'!$F$2*'Actuals Dep Summer'!$C$4</f>
        <v>15.6</v>
      </c>
      <c r="DJ162" s="452">
        <f>_xlfn.XLOOKUP($A162,'Actuals Summer'!$A:$A,'Actuals Summer'!P:P,0,0)</f>
        <v>1365</v>
      </c>
      <c r="DK162" s="452">
        <f>_xlfn.XLOOKUP($A162,'Actuals Summer'!$A:$A,'Actuals Summer'!O:O,0,0)</f>
        <v>0</v>
      </c>
      <c r="DL162" s="452"/>
      <c r="DM162" s="452">
        <f>_xlfn.XLOOKUP($A162,'Actuals Summer'!$A:$A,'Actuals Summer'!M:M,0,0)</f>
        <v>0</v>
      </c>
      <c r="DN162" s="453">
        <f t="shared" si="64"/>
        <v>44029.05</v>
      </c>
      <c r="DO162" s="453">
        <f>_xlfn.XLOOKUP(A162,'Actuals Summer'!A:A,'Actuals Summer'!S:S,0,0)-'Summer data team '!DN162</f>
        <v>0</v>
      </c>
      <c r="DP162" s="463">
        <f t="shared" si="65"/>
        <v>237.90000000000146</v>
      </c>
    </row>
    <row r="163" spans="1:120" ht="13" x14ac:dyDescent="0.3">
      <c r="A163" s="364">
        <v>3323</v>
      </c>
      <c r="B163" s="364">
        <v>3303323</v>
      </c>
      <c r="C163" s="364" t="s">
        <v>354</v>
      </c>
      <c r="D163" s="506">
        <v>0</v>
      </c>
      <c r="E163" s="506">
        <v>0</v>
      </c>
      <c r="F163" s="506">
        <v>0</v>
      </c>
      <c r="G163" s="506">
        <v>5</v>
      </c>
      <c r="H163" s="506">
        <v>11</v>
      </c>
      <c r="I163" s="507">
        <v>0</v>
      </c>
      <c r="J163" s="507">
        <v>16</v>
      </c>
      <c r="K163" s="506">
        <v>0</v>
      </c>
      <c r="L163" s="506">
        <v>0</v>
      </c>
      <c r="M163" s="507">
        <v>0</v>
      </c>
      <c r="N163" s="506">
        <v>0</v>
      </c>
      <c r="O163" s="506">
        <v>0</v>
      </c>
      <c r="P163" s="506">
        <v>75</v>
      </c>
      <c r="Q163" s="506">
        <v>165</v>
      </c>
      <c r="R163" s="507">
        <v>240</v>
      </c>
      <c r="S163" s="506">
        <v>0</v>
      </c>
      <c r="T163" s="506">
        <v>0</v>
      </c>
      <c r="U163" s="506">
        <v>0</v>
      </c>
      <c r="V163" s="506">
        <v>0</v>
      </c>
      <c r="W163" s="507">
        <v>0</v>
      </c>
      <c r="X163" s="506">
        <v>6</v>
      </c>
      <c r="Y163" s="506">
        <v>90</v>
      </c>
      <c r="Z163" s="508">
        <v>0</v>
      </c>
      <c r="AA163" s="506">
        <v>0</v>
      </c>
      <c r="AB163" s="506">
        <v>0</v>
      </c>
      <c r="AC163" s="508">
        <v>0</v>
      </c>
      <c r="AD163" s="506">
        <v>3</v>
      </c>
      <c r="AE163" s="506">
        <v>45</v>
      </c>
      <c r="AF163" s="508">
        <v>0</v>
      </c>
      <c r="AG163" s="509">
        <v>0</v>
      </c>
      <c r="AH163" s="509">
        <v>0</v>
      </c>
      <c r="AI163" s="508">
        <v>0</v>
      </c>
      <c r="AJ163" s="509">
        <v>7</v>
      </c>
      <c r="AK163" s="509">
        <v>105</v>
      </c>
      <c r="AL163" s="508">
        <v>0</v>
      </c>
      <c r="AM163" s="506">
        <v>7</v>
      </c>
      <c r="AN163" s="506">
        <v>105</v>
      </c>
      <c r="AO163" s="508">
        <v>0</v>
      </c>
      <c r="AP163" s="508"/>
      <c r="AQ163" s="508">
        <f t="shared" si="66"/>
        <v>7</v>
      </c>
      <c r="AR163" s="509">
        <v>0</v>
      </c>
      <c r="AS163" s="509">
        <v>0</v>
      </c>
      <c r="AT163" s="508">
        <v>0</v>
      </c>
      <c r="AU163" s="509">
        <v>0</v>
      </c>
      <c r="AV163" s="509">
        <v>0</v>
      </c>
      <c r="AW163" s="508">
        <v>0</v>
      </c>
      <c r="AX163" s="506">
        <v>0</v>
      </c>
      <c r="AY163" s="506">
        <v>0</v>
      </c>
      <c r="AZ163" s="508">
        <v>0</v>
      </c>
      <c r="BA163" s="508"/>
      <c r="BB163" s="508">
        <f t="shared" si="67"/>
        <v>0</v>
      </c>
      <c r="BC163" s="509">
        <v>0</v>
      </c>
      <c r="BD163" s="509">
        <v>0</v>
      </c>
      <c r="BE163" s="506">
        <v>0</v>
      </c>
      <c r="BF163" s="200"/>
      <c r="BG163" s="200"/>
      <c r="BH163" s="200"/>
      <c r="BI163" s="200"/>
      <c r="BJ163" s="200"/>
      <c r="BK163" s="200"/>
      <c r="BL163" s="200"/>
      <c r="BM163" s="505">
        <f t="shared" si="68"/>
        <v>0</v>
      </c>
      <c r="BN163" s="200">
        <f t="shared" si="69"/>
        <v>0</v>
      </c>
      <c r="BO163" s="200">
        <f t="shared" si="62"/>
        <v>0</v>
      </c>
      <c r="BP163" s="200">
        <f t="shared" si="70"/>
        <v>3120</v>
      </c>
      <c r="BQ163" s="200">
        <f t="shared" si="71"/>
        <v>0</v>
      </c>
      <c r="BR163" s="200">
        <f t="shared" si="72"/>
        <v>1170</v>
      </c>
      <c r="BS163" s="200">
        <f t="shared" si="73"/>
        <v>0</v>
      </c>
      <c r="BT163" s="200">
        <f t="shared" si="74"/>
        <v>585</v>
      </c>
      <c r="BU163" s="200">
        <f t="shared" si="75"/>
        <v>1365</v>
      </c>
      <c r="BV163" s="200">
        <v>0</v>
      </c>
      <c r="BW163" s="200">
        <v>0</v>
      </c>
      <c r="BX163" s="200">
        <f t="shared" si="76"/>
        <v>0</v>
      </c>
      <c r="CB163" s="381">
        <f>_xlfn.IFNA(VLOOKUP(A163,'Actuals Summer'!$A:$AG,23,FALSE),0)</f>
        <v>3120</v>
      </c>
      <c r="CC163" s="381">
        <f>_xlfn.IFNA(VLOOKUP(A163,'Actuals Summer'!$A:$AG,24,FALSE),0)</f>
        <v>0</v>
      </c>
      <c r="CD163" s="381">
        <f>_xlfn.IFNA(VLOOKUP(A163,'Actuals Summer'!$A:$AG,25,FALSE),0)</f>
        <v>0</v>
      </c>
      <c r="CE163" s="381">
        <f>_xlfn.IFNA(VLOOKUP(A163,'Actuals Summer'!$A:$AG,26,FALSE),0)</f>
        <v>0</v>
      </c>
      <c r="CF163" s="381">
        <f>_xlfn.IFNA(VLOOKUP(A163,'Actuals Summer'!$A:$AG,27,FALSE),0)</f>
        <v>0</v>
      </c>
      <c r="CG163" s="381">
        <f>_xlfn.IFNA(VLOOKUP(A163,'Actuals Dep Summer'!B:O,6,FALSE)*$BN$3,0)</f>
        <v>1170</v>
      </c>
      <c r="CH163" s="381">
        <f>_xlfn.IFNA(VLOOKUP(A163,'Actuals Dep Summer'!B:O,7,FALSE)*$BN$3,0)</f>
        <v>0</v>
      </c>
      <c r="CI163" s="381">
        <f>_xlfn.IFNA(VLOOKUP(A163,'Actuals Dep Summer'!B:O,8,FALSE)*$BN$3,0)</f>
        <v>585</v>
      </c>
      <c r="CJ163" s="381">
        <f>_xlfn.IFNA(VLOOKUP(A163,'Actuals Summer'!$A:$AG,31,FALSE),0)*$BN$3</f>
        <v>0</v>
      </c>
      <c r="CK163" s="381"/>
      <c r="CL163" s="381">
        <f>_xlfn.IFNA(VLOOKUP(A163,'Actuals Summer'!$A:$AG,32,FALSE),0)*$BN$3</f>
        <v>17745</v>
      </c>
      <c r="CM163" s="381">
        <f>_xlfn.IFNA(VLOOKUP(A163,'Actuals Summer'!$A:$AG,33,FALSE),0)</f>
        <v>0</v>
      </c>
      <c r="CP163" s="458">
        <f t="shared" si="77"/>
        <v>0</v>
      </c>
      <c r="CQ163" s="458">
        <f t="shared" si="78"/>
        <v>0</v>
      </c>
      <c r="CR163" s="458">
        <f t="shared" si="63"/>
        <v>0</v>
      </c>
      <c r="CS163" s="458">
        <f t="shared" si="79"/>
        <v>17659.2</v>
      </c>
      <c r="CT163" s="458">
        <f t="shared" si="80"/>
        <v>0</v>
      </c>
      <c r="CU163" s="458">
        <f t="shared" si="81"/>
        <v>713.69999999999993</v>
      </c>
      <c r="CV163" s="458">
        <f t="shared" si="82"/>
        <v>0</v>
      </c>
      <c r="CW163" s="458">
        <f t="shared" si="83"/>
        <v>46.800000000000004</v>
      </c>
      <c r="CX163" s="458">
        <f t="shared" si="84"/>
        <v>1365</v>
      </c>
      <c r="CY163" s="458">
        <f t="shared" si="85"/>
        <v>0</v>
      </c>
      <c r="CZ163" s="458">
        <f t="shared" si="86"/>
        <v>0</v>
      </c>
      <c r="DA163" s="458">
        <f t="shared" si="87"/>
        <v>0</v>
      </c>
      <c r="DB163" s="458">
        <f t="shared" si="88"/>
        <v>19784.7</v>
      </c>
      <c r="DC163" s="452">
        <f>_xlfn.XLOOKUP($A163,'Actuals Summer'!$A:$A,'Actuals Summer'!L:L,0,0)</f>
        <v>0</v>
      </c>
      <c r="DD163" s="452">
        <f>_xlfn.XLOOKUP($A163,'Actuals Summer'!$A:$A,'Actuals Summer'!K:K,0,0)+_xlfn.XLOOKUP($A163,'Actuals Summer'!$A:$A,'Actuals Summer'!Q:Q,0,0)</f>
        <v>0</v>
      </c>
      <c r="DE163" s="452">
        <f>_xlfn.XLOOKUP($A163,'Actuals Summer'!$A:$A,'Actuals Summer'!I:I,0,0)+_xlfn.XLOOKUP($A163,'Actuals Summer'!$A:$A,'Actuals Summer'!R:R,0,0)</f>
        <v>17659.2</v>
      </c>
      <c r="DF163" s="452">
        <f>_xlfn.XLOOKUP($A163,'Actuals Summer'!$A:$A,'Actuals Summer'!J:J,0,0)</f>
        <v>0</v>
      </c>
      <c r="DG163" s="452">
        <f>_xlfn.XLOOKUP($A163,'Actuals Dep Summer'!$B:$B,'Actuals Dep Summer'!G:G,0,0)*'Actuals Dep Summer'!$F$2*'Actuals Dep Summer'!$C$2</f>
        <v>713.69999999999993</v>
      </c>
      <c r="DH163" s="452">
        <f>_xlfn.XLOOKUP($A163,'Actuals Dep Summer'!$B:$B,'Actuals Dep Summer'!H:H,0,0)*'Actuals Dep Summer'!$F$2*'Actuals Dep Summer'!$C$3</f>
        <v>0</v>
      </c>
      <c r="DI163" s="452">
        <f>_xlfn.XLOOKUP($A163,'Actuals Dep Summer'!$B:$B,'Actuals Dep Summer'!I:I,0,0)*'Actuals Dep Summer'!$F$2*'Actuals Dep Summer'!$C$4</f>
        <v>46.800000000000004</v>
      </c>
      <c r="DJ163" s="452">
        <f>_xlfn.XLOOKUP($A163,'Actuals Summer'!$A:$A,'Actuals Summer'!P:P,0,0)</f>
        <v>1365</v>
      </c>
      <c r="DK163" s="452">
        <f>_xlfn.XLOOKUP($A163,'Actuals Summer'!$A:$A,'Actuals Summer'!O:O,0,0)</f>
        <v>0</v>
      </c>
      <c r="DL163" s="452"/>
      <c r="DM163" s="452">
        <f>_xlfn.XLOOKUP($A163,'Actuals Summer'!$A:$A,'Actuals Summer'!M:M,0,0)</f>
        <v>0</v>
      </c>
      <c r="DN163" s="453">
        <f t="shared" si="64"/>
        <v>19784.7</v>
      </c>
      <c r="DO163" s="453">
        <f>_xlfn.XLOOKUP(A163,'Actuals Summer'!A:A,'Actuals Summer'!S:S,0,0)-'Summer data team '!DN163</f>
        <v>0</v>
      </c>
      <c r="DP163" s="463">
        <f t="shared" si="65"/>
        <v>0</v>
      </c>
    </row>
    <row r="164" spans="1:120" ht="13" x14ac:dyDescent="0.3">
      <c r="A164" s="364">
        <v>3325</v>
      </c>
      <c r="B164" s="364">
        <v>3303325</v>
      </c>
      <c r="C164" s="364" t="s">
        <v>857</v>
      </c>
      <c r="D164" s="506">
        <v>0</v>
      </c>
      <c r="E164" s="506">
        <v>0</v>
      </c>
      <c r="F164" s="506">
        <v>0</v>
      </c>
      <c r="G164" s="506">
        <v>6</v>
      </c>
      <c r="H164" s="506">
        <v>17</v>
      </c>
      <c r="I164" s="507">
        <v>0</v>
      </c>
      <c r="J164" s="507">
        <v>23</v>
      </c>
      <c r="K164" s="506">
        <v>1</v>
      </c>
      <c r="L164" s="506">
        <v>0</v>
      </c>
      <c r="M164" s="507">
        <v>1</v>
      </c>
      <c r="N164" s="506">
        <v>0</v>
      </c>
      <c r="O164" s="506">
        <v>0</v>
      </c>
      <c r="P164" s="506">
        <v>90</v>
      </c>
      <c r="Q164" s="506">
        <v>255</v>
      </c>
      <c r="R164" s="507">
        <v>345</v>
      </c>
      <c r="S164" s="506">
        <v>0</v>
      </c>
      <c r="T164" s="506">
        <v>0</v>
      </c>
      <c r="U164" s="506">
        <v>15</v>
      </c>
      <c r="V164" s="506">
        <v>0</v>
      </c>
      <c r="W164" s="507">
        <v>15</v>
      </c>
      <c r="X164" s="506">
        <v>0</v>
      </c>
      <c r="Y164" s="506">
        <v>0</v>
      </c>
      <c r="Z164" s="508">
        <v>0</v>
      </c>
      <c r="AA164" s="506">
        <v>2</v>
      </c>
      <c r="AB164" s="506">
        <v>30</v>
      </c>
      <c r="AC164" s="508">
        <v>0</v>
      </c>
      <c r="AD164" s="506">
        <v>13</v>
      </c>
      <c r="AE164" s="506">
        <v>195</v>
      </c>
      <c r="AF164" s="508">
        <v>15</v>
      </c>
      <c r="AG164" s="509">
        <v>0</v>
      </c>
      <c r="AH164" s="509">
        <v>0</v>
      </c>
      <c r="AI164" s="508">
        <v>0</v>
      </c>
      <c r="AJ164" s="509">
        <v>5</v>
      </c>
      <c r="AK164" s="509">
        <v>75</v>
      </c>
      <c r="AL164" s="508">
        <v>0</v>
      </c>
      <c r="AM164" s="506">
        <v>5</v>
      </c>
      <c r="AN164" s="506">
        <v>75</v>
      </c>
      <c r="AO164" s="508">
        <v>0</v>
      </c>
      <c r="AP164" s="508"/>
      <c r="AQ164" s="508">
        <f t="shared" si="66"/>
        <v>5</v>
      </c>
      <c r="AR164" s="509">
        <v>0</v>
      </c>
      <c r="AS164" s="509">
        <v>0</v>
      </c>
      <c r="AT164" s="508">
        <v>0</v>
      </c>
      <c r="AU164" s="509">
        <v>5</v>
      </c>
      <c r="AV164" s="509">
        <v>75</v>
      </c>
      <c r="AW164" s="508">
        <v>0</v>
      </c>
      <c r="AX164" s="506">
        <v>5</v>
      </c>
      <c r="AY164" s="506">
        <v>75</v>
      </c>
      <c r="AZ164" s="508">
        <v>0</v>
      </c>
      <c r="BA164" s="508"/>
      <c r="BB164" s="508">
        <f t="shared" si="67"/>
        <v>10</v>
      </c>
      <c r="BC164" s="509">
        <v>0</v>
      </c>
      <c r="BD164" s="509">
        <v>0</v>
      </c>
      <c r="BE164" s="506">
        <v>0</v>
      </c>
      <c r="BF164" s="200"/>
      <c r="BG164" s="200"/>
      <c r="BH164" s="200"/>
      <c r="BI164" s="200"/>
      <c r="BJ164" s="200"/>
      <c r="BK164" s="200"/>
      <c r="BL164" s="200"/>
      <c r="BM164" s="505">
        <f t="shared" si="68"/>
        <v>0</v>
      </c>
      <c r="BN164" s="200">
        <f t="shared" si="69"/>
        <v>0</v>
      </c>
      <c r="BO164" s="200">
        <f t="shared" si="62"/>
        <v>0</v>
      </c>
      <c r="BP164" s="200">
        <f t="shared" si="70"/>
        <v>4485</v>
      </c>
      <c r="BQ164" s="200">
        <f t="shared" si="71"/>
        <v>195</v>
      </c>
      <c r="BR164" s="200">
        <f t="shared" si="72"/>
        <v>0</v>
      </c>
      <c r="BS164" s="200">
        <f t="shared" si="73"/>
        <v>390</v>
      </c>
      <c r="BT164" s="200">
        <f t="shared" si="74"/>
        <v>2730</v>
      </c>
      <c r="BU164" s="200">
        <f t="shared" si="75"/>
        <v>975</v>
      </c>
      <c r="BV164" s="200">
        <v>5</v>
      </c>
      <c r="BW164" s="200">
        <v>0</v>
      </c>
      <c r="BX164" s="200">
        <f t="shared" si="76"/>
        <v>0</v>
      </c>
      <c r="CB164" s="381">
        <f>_xlfn.IFNA(VLOOKUP(A164,'Actuals Summer'!$A:$AG,23,FALSE),0)</f>
        <v>4485</v>
      </c>
      <c r="CC164" s="381">
        <f>_xlfn.IFNA(VLOOKUP(A164,'Actuals Summer'!$A:$AG,24,FALSE),0)</f>
        <v>195</v>
      </c>
      <c r="CD164" s="381">
        <f>_xlfn.IFNA(VLOOKUP(A164,'Actuals Summer'!$A:$AG,25,FALSE),0)</f>
        <v>0</v>
      </c>
      <c r="CE164" s="381">
        <f>_xlfn.IFNA(VLOOKUP(A164,'Actuals Summer'!$A:$AG,26,FALSE),0)</f>
        <v>0</v>
      </c>
      <c r="CF164" s="381">
        <f>_xlfn.IFNA(VLOOKUP(A164,'Actuals Summer'!$A:$AG,27,FALSE),0)</f>
        <v>0</v>
      </c>
      <c r="CG164" s="381">
        <f>_xlfn.IFNA(VLOOKUP(A164,'Actuals Dep Summer'!B:O,6,FALSE)*$BN$3,0)</f>
        <v>0</v>
      </c>
      <c r="CH164" s="381">
        <f>_xlfn.IFNA(VLOOKUP(A164,'Actuals Dep Summer'!B:O,7,FALSE)*$BN$3,0)</f>
        <v>390</v>
      </c>
      <c r="CI164" s="381">
        <f>_xlfn.IFNA(VLOOKUP(A164,'Actuals Dep Summer'!B:O,8,FALSE)*$BN$3,0)</f>
        <v>2535</v>
      </c>
      <c r="CJ164" s="381">
        <f>_xlfn.IFNA(VLOOKUP(A164,'Actuals Summer'!$A:$AG,31,FALSE),0)*$BN$3</f>
        <v>64.964239867962576</v>
      </c>
      <c r="CK164" s="381"/>
      <c r="CL164" s="381">
        <f>_xlfn.IFNA(VLOOKUP(A164,'Actuals Summer'!$A:$AG,32,FALSE),0)*$BN$3</f>
        <v>12675</v>
      </c>
      <c r="CM164" s="381">
        <f>_xlfn.IFNA(VLOOKUP(A164,'Actuals Summer'!$A:$AG,33,FALSE),0)</f>
        <v>0</v>
      </c>
      <c r="CP164" s="458">
        <f t="shared" si="77"/>
        <v>0</v>
      </c>
      <c r="CQ164" s="458">
        <f t="shared" si="78"/>
        <v>0</v>
      </c>
      <c r="CR164" s="458">
        <f t="shared" si="63"/>
        <v>0</v>
      </c>
      <c r="CS164" s="458">
        <f t="shared" si="79"/>
        <v>25385.100000000002</v>
      </c>
      <c r="CT164" s="458">
        <f t="shared" si="80"/>
        <v>1103.7</v>
      </c>
      <c r="CU164" s="458">
        <f t="shared" si="81"/>
        <v>0</v>
      </c>
      <c r="CV164" s="458">
        <f t="shared" si="82"/>
        <v>113.1</v>
      </c>
      <c r="CW164" s="458">
        <f t="shared" si="83"/>
        <v>218.4</v>
      </c>
      <c r="CX164" s="458">
        <f t="shared" si="84"/>
        <v>975</v>
      </c>
      <c r="CY164" s="458">
        <f t="shared" si="85"/>
        <v>372.89473684210526</v>
      </c>
      <c r="CZ164" s="458">
        <f t="shared" si="86"/>
        <v>0</v>
      </c>
      <c r="DA164" s="458">
        <f t="shared" si="87"/>
        <v>0</v>
      </c>
      <c r="DB164" s="458">
        <f t="shared" si="88"/>
        <v>28168.19473684211</v>
      </c>
      <c r="DC164" s="452">
        <f>_xlfn.XLOOKUP($A164,'Actuals Summer'!$A:$A,'Actuals Summer'!L:L,0,0)</f>
        <v>0</v>
      </c>
      <c r="DD164" s="452">
        <f>_xlfn.XLOOKUP($A164,'Actuals Summer'!$A:$A,'Actuals Summer'!K:K,0,0)+_xlfn.XLOOKUP($A164,'Actuals Summer'!$A:$A,'Actuals Summer'!Q:Q,0,0)</f>
        <v>0</v>
      </c>
      <c r="DE164" s="452">
        <f>_xlfn.XLOOKUP($A164,'Actuals Summer'!$A:$A,'Actuals Summer'!I:I,0,0)+_xlfn.XLOOKUP($A164,'Actuals Summer'!$A:$A,'Actuals Summer'!R:R,0,0)</f>
        <v>25385.100000000002</v>
      </c>
      <c r="DF164" s="452">
        <f>_xlfn.XLOOKUP($A164,'Actuals Summer'!$A:$A,'Actuals Summer'!J:J,0,0)</f>
        <v>1103.7</v>
      </c>
      <c r="DG164" s="452">
        <f>_xlfn.XLOOKUP($A164,'Actuals Dep Summer'!$B:$B,'Actuals Dep Summer'!G:G,0,0)*'Actuals Dep Summer'!$F$2*'Actuals Dep Summer'!$C$2</f>
        <v>0</v>
      </c>
      <c r="DH164" s="452">
        <f>_xlfn.XLOOKUP($A164,'Actuals Dep Summer'!$B:$B,'Actuals Dep Summer'!H:H,0,0)*'Actuals Dep Summer'!$F$2*'Actuals Dep Summer'!$C$3</f>
        <v>113.1</v>
      </c>
      <c r="DI164" s="452">
        <f>_xlfn.XLOOKUP($A164,'Actuals Dep Summer'!$B:$B,'Actuals Dep Summer'!I:I,0,0)*'Actuals Dep Summer'!$F$2*'Actuals Dep Summer'!$C$4</f>
        <v>202.8</v>
      </c>
      <c r="DJ164" s="452">
        <f>_xlfn.XLOOKUP($A164,'Actuals Summer'!$A:$A,'Actuals Summer'!P:P,0,0)</f>
        <v>975</v>
      </c>
      <c r="DK164" s="452">
        <f>_xlfn.XLOOKUP($A164,'Actuals Summer'!$A:$A,'Actuals Summer'!O:O,0,0)</f>
        <v>372.89473684210526</v>
      </c>
      <c r="DL164" s="452"/>
      <c r="DM164" s="452">
        <f>_xlfn.XLOOKUP($A164,'Actuals Summer'!$A:$A,'Actuals Summer'!M:M,0,0)</f>
        <v>0</v>
      </c>
      <c r="DN164" s="453">
        <f t="shared" si="64"/>
        <v>28152.594736842108</v>
      </c>
      <c r="DO164" s="453">
        <f>_xlfn.XLOOKUP(A164,'Actuals Summer'!A:A,'Actuals Summer'!S:S,0,0)-'Summer data team '!DN164</f>
        <v>0</v>
      </c>
      <c r="DP164" s="463">
        <f t="shared" si="65"/>
        <v>15.600000000002183</v>
      </c>
    </row>
    <row r="165" spans="1:120" ht="13" x14ac:dyDescent="0.3">
      <c r="A165" s="364">
        <v>3328</v>
      </c>
      <c r="B165" s="364">
        <v>3303328</v>
      </c>
      <c r="C165" s="364" t="s">
        <v>356</v>
      </c>
      <c r="D165" s="506">
        <v>0</v>
      </c>
      <c r="E165" s="506">
        <v>0</v>
      </c>
      <c r="F165" s="506">
        <v>0</v>
      </c>
      <c r="G165" s="506">
        <v>6</v>
      </c>
      <c r="H165" s="506">
        <v>6</v>
      </c>
      <c r="I165" s="507">
        <v>0</v>
      </c>
      <c r="J165" s="507">
        <v>12</v>
      </c>
      <c r="K165" s="506">
        <v>0</v>
      </c>
      <c r="L165" s="506">
        <v>0</v>
      </c>
      <c r="M165" s="507">
        <v>0</v>
      </c>
      <c r="N165" s="506">
        <v>0</v>
      </c>
      <c r="O165" s="506">
        <v>0</v>
      </c>
      <c r="P165" s="506">
        <v>90</v>
      </c>
      <c r="Q165" s="506">
        <v>90</v>
      </c>
      <c r="R165" s="507">
        <v>180</v>
      </c>
      <c r="S165" s="506">
        <v>0</v>
      </c>
      <c r="T165" s="506">
        <v>0</v>
      </c>
      <c r="U165" s="506">
        <v>0</v>
      </c>
      <c r="V165" s="506">
        <v>0</v>
      </c>
      <c r="W165" s="507">
        <v>0</v>
      </c>
      <c r="X165" s="506">
        <v>1</v>
      </c>
      <c r="Y165" s="506">
        <v>15</v>
      </c>
      <c r="Z165" s="508">
        <v>0</v>
      </c>
      <c r="AA165" s="506">
        <v>2</v>
      </c>
      <c r="AB165" s="506">
        <v>30</v>
      </c>
      <c r="AC165" s="508">
        <v>0</v>
      </c>
      <c r="AD165" s="506">
        <v>4</v>
      </c>
      <c r="AE165" s="506">
        <v>60</v>
      </c>
      <c r="AF165" s="508">
        <v>0</v>
      </c>
      <c r="AG165" s="509">
        <v>0</v>
      </c>
      <c r="AH165" s="509">
        <v>0</v>
      </c>
      <c r="AI165" s="508">
        <v>0</v>
      </c>
      <c r="AJ165" s="509">
        <v>0</v>
      </c>
      <c r="AK165" s="509">
        <v>0</v>
      </c>
      <c r="AL165" s="508">
        <v>0</v>
      </c>
      <c r="AM165" s="506">
        <v>0</v>
      </c>
      <c r="AN165" s="506">
        <v>0</v>
      </c>
      <c r="AO165" s="508">
        <v>0</v>
      </c>
      <c r="AP165" s="508"/>
      <c r="AQ165" s="508">
        <f t="shared" si="66"/>
        <v>0</v>
      </c>
      <c r="AR165" s="509">
        <v>0</v>
      </c>
      <c r="AS165" s="509">
        <v>0</v>
      </c>
      <c r="AT165" s="508">
        <v>0</v>
      </c>
      <c r="AU165" s="509">
        <v>0</v>
      </c>
      <c r="AV165" s="509">
        <v>0</v>
      </c>
      <c r="AW165" s="508">
        <v>0</v>
      </c>
      <c r="AX165" s="506">
        <v>0</v>
      </c>
      <c r="AY165" s="506">
        <v>0</v>
      </c>
      <c r="AZ165" s="508">
        <v>0</v>
      </c>
      <c r="BA165" s="508"/>
      <c r="BB165" s="508">
        <f t="shared" si="67"/>
        <v>0</v>
      </c>
      <c r="BC165" s="509">
        <v>0</v>
      </c>
      <c r="BD165" s="509">
        <v>0</v>
      </c>
      <c r="BE165" s="506">
        <v>0</v>
      </c>
      <c r="BF165" s="200"/>
      <c r="BG165" s="200"/>
      <c r="BH165" s="200"/>
      <c r="BI165" s="200"/>
      <c r="BJ165" s="200"/>
      <c r="BK165" s="200"/>
      <c r="BL165" s="200"/>
      <c r="BM165" s="505">
        <f t="shared" si="68"/>
        <v>0</v>
      </c>
      <c r="BN165" s="200">
        <f t="shared" si="69"/>
        <v>0</v>
      </c>
      <c r="BO165" s="200">
        <f t="shared" ref="BO165:BO200" si="89">S165*$BN$3</f>
        <v>0</v>
      </c>
      <c r="BP165" s="200">
        <f t="shared" si="70"/>
        <v>2340</v>
      </c>
      <c r="BQ165" s="200">
        <f t="shared" si="71"/>
        <v>0</v>
      </c>
      <c r="BR165" s="200">
        <f t="shared" si="72"/>
        <v>195</v>
      </c>
      <c r="BS165" s="200">
        <f t="shared" si="73"/>
        <v>390</v>
      </c>
      <c r="BT165" s="200">
        <f t="shared" si="74"/>
        <v>780</v>
      </c>
      <c r="BU165" s="200">
        <f t="shared" si="75"/>
        <v>0</v>
      </c>
      <c r="BV165" s="200">
        <v>0</v>
      </c>
      <c r="BW165" s="200">
        <v>0</v>
      </c>
      <c r="BX165" s="200">
        <f t="shared" si="76"/>
        <v>0</v>
      </c>
      <c r="CB165" s="381">
        <f>_xlfn.IFNA(VLOOKUP(A165,'Actuals Summer'!$A:$AG,23,FALSE),0)</f>
        <v>2340</v>
      </c>
      <c r="CC165" s="381">
        <f>_xlfn.IFNA(VLOOKUP(A165,'Actuals Summer'!$A:$AG,24,FALSE),0)</f>
        <v>0</v>
      </c>
      <c r="CD165" s="381">
        <f>_xlfn.IFNA(VLOOKUP(A165,'Actuals Summer'!$A:$AG,25,FALSE),0)</f>
        <v>0</v>
      </c>
      <c r="CE165" s="381">
        <f>_xlfn.IFNA(VLOOKUP(A165,'Actuals Summer'!$A:$AG,26,FALSE),0)</f>
        <v>0</v>
      </c>
      <c r="CF165" s="381">
        <f>_xlfn.IFNA(VLOOKUP(A165,'Actuals Summer'!$A:$AG,27,FALSE),0)</f>
        <v>0</v>
      </c>
      <c r="CG165" s="381">
        <f>_xlfn.IFNA(VLOOKUP(A165,'Actuals Dep Summer'!B:O,6,FALSE)*$BN$3,0)</f>
        <v>195</v>
      </c>
      <c r="CH165" s="381">
        <f>_xlfn.IFNA(VLOOKUP(A165,'Actuals Dep Summer'!B:O,7,FALSE)*$BN$3,0)</f>
        <v>390</v>
      </c>
      <c r="CI165" s="381">
        <f>_xlfn.IFNA(VLOOKUP(A165,'Actuals Dep Summer'!B:O,8,FALSE)*$BN$3,0)</f>
        <v>780</v>
      </c>
      <c r="CJ165" s="381">
        <f>_xlfn.IFNA(VLOOKUP(A165,'Actuals Summer'!$A:$AG,31,FALSE),0)*$BN$3</f>
        <v>0</v>
      </c>
      <c r="CK165" s="381"/>
      <c r="CL165" s="381">
        <f>_xlfn.IFNA(VLOOKUP(A165,'Actuals Summer'!$A:$AG,32,FALSE),0)*$BN$3</f>
        <v>0</v>
      </c>
      <c r="CM165" s="381">
        <f>_xlfn.IFNA(VLOOKUP(A165,'Actuals Summer'!$A:$AG,33,FALSE),0)</f>
        <v>0</v>
      </c>
      <c r="CP165" s="458">
        <f t="shared" si="77"/>
        <v>0</v>
      </c>
      <c r="CQ165" s="458">
        <f t="shared" si="78"/>
        <v>0</v>
      </c>
      <c r="CR165" s="458">
        <f t="shared" ref="CR165:CR200" si="90">BO165*$BO$2</f>
        <v>0</v>
      </c>
      <c r="CS165" s="458">
        <f t="shared" si="79"/>
        <v>13244.4</v>
      </c>
      <c r="CT165" s="458">
        <f t="shared" si="80"/>
        <v>0</v>
      </c>
      <c r="CU165" s="458">
        <f t="shared" si="81"/>
        <v>118.95</v>
      </c>
      <c r="CV165" s="458">
        <f t="shared" si="82"/>
        <v>113.1</v>
      </c>
      <c r="CW165" s="458">
        <f t="shared" si="83"/>
        <v>62.4</v>
      </c>
      <c r="CX165" s="458">
        <f t="shared" si="84"/>
        <v>0</v>
      </c>
      <c r="CY165" s="458">
        <f t="shared" si="85"/>
        <v>0</v>
      </c>
      <c r="CZ165" s="458">
        <f t="shared" si="86"/>
        <v>0</v>
      </c>
      <c r="DA165" s="458">
        <f t="shared" si="87"/>
        <v>0</v>
      </c>
      <c r="DB165" s="458">
        <f t="shared" si="88"/>
        <v>13538.85</v>
      </c>
      <c r="DC165" s="452">
        <f>_xlfn.XLOOKUP($A165,'Actuals Summer'!$A:$A,'Actuals Summer'!L:L,0,0)</f>
        <v>0</v>
      </c>
      <c r="DD165" s="452">
        <f>_xlfn.XLOOKUP($A165,'Actuals Summer'!$A:$A,'Actuals Summer'!K:K,0,0)+_xlfn.XLOOKUP($A165,'Actuals Summer'!$A:$A,'Actuals Summer'!Q:Q,0,0)</f>
        <v>0</v>
      </c>
      <c r="DE165" s="452">
        <f>_xlfn.XLOOKUP($A165,'Actuals Summer'!$A:$A,'Actuals Summer'!I:I,0,0)+_xlfn.XLOOKUP($A165,'Actuals Summer'!$A:$A,'Actuals Summer'!R:R,0,0)</f>
        <v>13244.4</v>
      </c>
      <c r="DF165" s="452">
        <f>_xlfn.XLOOKUP($A165,'Actuals Summer'!$A:$A,'Actuals Summer'!J:J,0,0)</f>
        <v>0</v>
      </c>
      <c r="DG165" s="452">
        <f>_xlfn.XLOOKUP($A165,'Actuals Dep Summer'!$B:$B,'Actuals Dep Summer'!G:G,0,0)*'Actuals Dep Summer'!$F$2*'Actuals Dep Summer'!$C$2</f>
        <v>118.95</v>
      </c>
      <c r="DH165" s="452">
        <f>_xlfn.XLOOKUP($A165,'Actuals Dep Summer'!$B:$B,'Actuals Dep Summer'!H:H,0,0)*'Actuals Dep Summer'!$F$2*'Actuals Dep Summer'!$C$3</f>
        <v>113.1</v>
      </c>
      <c r="DI165" s="452">
        <f>_xlfn.XLOOKUP($A165,'Actuals Dep Summer'!$B:$B,'Actuals Dep Summer'!I:I,0,0)*'Actuals Dep Summer'!$F$2*'Actuals Dep Summer'!$C$4</f>
        <v>62.4</v>
      </c>
      <c r="DJ165" s="452">
        <f>_xlfn.XLOOKUP($A165,'Actuals Summer'!$A:$A,'Actuals Summer'!P:P,0,0)</f>
        <v>0</v>
      </c>
      <c r="DK165" s="452">
        <f>_xlfn.XLOOKUP($A165,'Actuals Summer'!$A:$A,'Actuals Summer'!O:O,0,0)</f>
        <v>0</v>
      </c>
      <c r="DL165" s="452"/>
      <c r="DM165" s="452">
        <f>_xlfn.XLOOKUP($A165,'Actuals Summer'!$A:$A,'Actuals Summer'!M:M,0,0)</f>
        <v>0</v>
      </c>
      <c r="DN165" s="453">
        <f t="shared" ref="DN165:DN196" si="91">SUM(DC165:DM165)</f>
        <v>13538.85</v>
      </c>
      <c r="DO165" s="453">
        <f>_xlfn.XLOOKUP(A165,'Actuals Summer'!A:A,'Actuals Summer'!S:S,0,0)-'Summer data team '!DN165</f>
        <v>0</v>
      </c>
      <c r="DP165" s="463">
        <f t="shared" ref="DP165:DP200" si="92">DB165-DN165</f>
        <v>0</v>
      </c>
    </row>
    <row r="166" spans="1:120" ht="13" x14ac:dyDescent="0.3">
      <c r="A166" s="364">
        <v>3329</v>
      </c>
      <c r="B166" s="364">
        <v>3303329</v>
      </c>
      <c r="C166" s="364" t="s">
        <v>209</v>
      </c>
      <c r="D166" s="506">
        <v>0</v>
      </c>
      <c r="E166" s="506">
        <v>0</v>
      </c>
      <c r="F166" s="506">
        <v>0</v>
      </c>
      <c r="G166" s="506">
        <v>17</v>
      </c>
      <c r="H166" s="506">
        <v>10</v>
      </c>
      <c r="I166" s="507">
        <v>0</v>
      </c>
      <c r="J166" s="507">
        <v>27</v>
      </c>
      <c r="K166" s="506">
        <v>1</v>
      </c>
      <c r="L166" s="506">
        <v>2</v>
      </c>
      <c r="M166" s="507">
        <v>3</v>
      </c>
      <c r="N166" s="506">
        <v>0</v>
      </c>
      <c r="O166" s="506">
        <v>0</v>
      </c>
      <c r="P166" s="506">
        <v>255</v>
      </c>
      <c r="Q166" s="506">
        <v>150</v>
      </c>
      <c r="R166" s="507">
        <v>405</v>
      </c>
      <c r="S166" s="506">
        <v>0</v>
      </c>
      <c r="T166" s="506">
        <v>0</v>
      </c>
      <c r="U166" s="506">
        <v>15</v>
      </c>
      <c r="V166" s="506">
        <v>30</v>
      </c>
      <c r="W166" s="507">
        <v>45</v>
      </c>
      <c r="X166" s="506">
        <v>1</v>
      </c>
      <c r="Y166" s="506">
        <v>15</v>
      </c>
      <c r="Z166" s="508">
        <v>0</v>
      </c>
      <c r="AA166" s="506">
        <v>3</v>
      </c>
      <c r="AB166" s="506">
        <v>45</v>
      </c>
      <c r="AC166" s="508">
        <v>0</v>
      </c>
      <c r="AD166" s="506">
        <v>19</v>
      </c>
      <c r="AE166" s="506">
        <v>285</v>
      </c>
      <c r="AF166" s="508">
        <v>45</v>
      </c>
      <c r="AG166" s="509">
        <v>0</v>
      </c>
      <c r="AH166" s="509">
        <v>0</v>
      </c>
      <c r="AI166" s="508">
        <v>0</v>
      </c>
      <c r="AJ166" s="509">
        <v>8</v>
      </c>
      <c r="AK166" s="509">
        <v>120</v>
      </c>
      <c r="AL166" s="508">
        <v>30</v>
      </c>
      <c r="AM166" s="506">
        <v>8</v>
      </c>
      <c r="AN166" s="506">
        <v>120</v>
      </c>
      <c r="AO166" s="508">
        <v>30</v>
      </c>
      <c r="AP166" s="508"/>
      <c r="AQ166" s="508">
        <f t="shared" si="66"/>
        <v>8</v>
      </c>
      <c r="AR166" s="509">
        <v>0</v>
      </c>
      <c r="AS166" s="509">
        <v>0</v>
      </c>
      <c r="AT166" s="508">
        <v>0</v>
      </c>
      <c r="AU166" s="509">
        <v>8</v>
      </c>
      <c r="AV166" s="509">
        <v>120</v>
      </c>
      <c r="AW166" s="508">
        <v>30</v>
      </c>
      <c r="AX166" s="506">
        <v>8</v>
      </c>
      <c r="AY166" s="506">
        <v>120</v>
      </c>
      <c r="AZ166" s="508">
        <v>30</v>
      </c>
      <c r="BA166" s="508"/>
      <c r="BB166" s="508">
        <f t="shared" si="67"/>
        <v>16</v>
      </c>
      <c r="BC166" s="509">
        <v>0</v>
      </c>
      <c r="BD166" s="509">
        <v>0</v>
      </c>
      <c r="BE166" s="506">
        <v>0</v>
      </c>
      <c r="BF166" s="200"/>
      <c r="BG166" s="200"/>
      <c r="BH166" s="200"/>
      <c r="BI166" s="200"/>
      <c r="BJ166" s="200"/>
      <c r="BK166" s="200"/>
      <c r="BL166" s="200"/>
      <c r="BM166" s="505">
        <f t="shared" si="68"/>
        <v>0</v>
      </c>
      <c r="BN166" s="200">
        <f t="shared" si="69"/>
        <v>0</v>
      </c>
      <c r="BO166" s="200">
        <f t="shared" si="89"/>
        <v>0</v>
      </c>
      <c r="BP166" s="200">
        <f t="shared" si="70"/>
        <v>5265</v>
      </c>
      <c r="BQ166" s="200">
        <f t="shared" si="71"/>
        <v>585</v>
      </c>
      <c r="BR166" s="200">
        <f t="shared" si="72"/>
        <v>195</v>
      </c>
      <c r="BS166" s="200">
        <f t="shared" si="73"/>
        <v>585</v>
      </c>
      <c r="BT166" s="200">
        <f t="shared" si="74"/>
        <v>4290</v>
      </c>
      <c r="BU166" s="200">
        <f t="shared" si="75"/>
        <v>1560</v>
      </c>
      <c r="BV166" s="200">
        <v>6</v>
      </c>
      <c r="BW166" s="200">
        <v>2</v>
      </c>
      <c r="BX166" s="200">
        <f t="shared" si="76"/>
        <v>0</v>
      </c>
      <c r="CB166" s="381">
        <f>_xlfn.IFNA(VLOOKUP(A166,'Actuals Summer'!$A:$AG,23,FALSE),0)</f>
        <v>5265</v>
      </c>
      <c r="CC166" s="381">
        <f>_xlfn.IFNA(VLOOKUP(A166,'Actuals Summer'!$A:$AG,24,FALSE),0)</f>
        <v>585</v>
      </c>
      <c r="CD166" s="381">
        <f>_xlfn.IFNA(VLOOKUP(A166,'Actuals Summer'!$A:$AG,25,FALSE),0)</f>
        <v>0</v>
      </c>
      <c r="CE166" s="381">
        <f>_xlfn.IFNA(VLOOKUP(A166,'Actuals Summer'!$A:$AG,26,FALSE),0)</f>
        <v>0</v>
      </c>
      <c r="CF166" s="381">
        <f>_xlfn.IFNA(VLOOKUP(A166,'Actuals Summer'!$A:$AG,27,FALSE),0)</f>
        <v>0</v>
      </c>
      <c r="CG166" s="381">
        <f>_xlfn.IFNA(VLOOKUP(A166,'Actuals Dep Summer'!B:O,6,FALSE)*$BN$3,0)</f>
        <v>195</v>
      </c>
      <c r="CH166" s="381">
        <f>_xlfn.IFNA(VLOOKUP(A166,'Actuals Dep Summer'!B:O,7,FALSE)*$BN$3,0)</f>
        <v>585</v>
      </c>
      <c r="CI166" s="381">
        <f>_xlfn.IFNA(VLOOKUP(A166,'Actuals Dep Summer'!B:O,8,FALSE)*$BN$3,0)</f>
        <v>3705</v>
      </c>
      <c r="CJ166" s="381">
        <f>_xlfn.IFNA(VLOOKUP(A166,'Actuals Summer'!$A:$AG,31,FALSE),0)*$BN$3</f>
        <v>103.94278378874014</v>
      </c>
      <c r="CK166" s="381"/>
      <c r="CL166" s="381">
        <f>_xlfn.IFNA(VLOOKUP(A166,'Actuals Summer'!$A:$AG,32,FALSE),0)*$BN$3</f>
        <v>20280</v>
      </c>
      <c r="CM166" s="381">
        <f>_xlfn.IFNA(VLOOKUP(A166,'Actuals Summer'!$A:$AG,33,FALSE),0)</f>
        <v>0</v>
      </c>
      <c r="CP166" s="458">
        <f t="shared" si="77"/>
        <v>0</v>
      </c>
      <c r="CQ166" s="458">
        <f t="shared" si="78"/>
        <v>0</v>
      </c>
      <c r="CR166" s="458">
        <f t="shared" si="90"/>
        <v>0</v>
      </c>
      <c r="CS166" s="458">
        <f t="shared" si="79"/>
        <v>29799.9</v>
      </c>
      <c r="CT166" s="458">
        <f t="shared" si="80"/>
        <v>3311.1</v>
      </c>
      <c r="CU166" s="458">
        <f t="shared" si="81"/>
        <v>118.95</v>
      </c>
      <c r="CV166" s="458">
        <f t="shared" si="82"/>
        <v>169.64999999999998</v>
      </c>
      <c r="CW166" s="458">
        <f t="shared" si="83"/>
        <v>343.2</v>
      </c>
      <c r="CX166" s="458">
        <f t="shared" si="84"/>
        <v>1560</v>
      </c>
      <c r="CY166" s="458">
        <f t="shared" si="85"/>
        <v>447.4736842105263</v>
      </c>
      <c r="CZ166" s="458">
        <f t="shared" si="86"/>
        <v>372.89473684210526</v>
      </c>
      <c r="DA166" s="458">
        <f t="shared" si="87"/>
        <v>0</v>
      </c>
      <c r="DB166" s="458">
        <f t="shared" si="88"/>
        <v>36123.168421052629</v>
      </c>
      <c r="DC166" s="452">
        <f>_xlfn.XLOOKUP($A166,'Actuals Summer'!$A:$A,'Actuals Summer'!L:L,0,0)</f>
        <v>0</v>
      </c>
      <c r="DD166" s="452">
        <f>_xlfn.XLOOKUP($A166,'Actuals Summer'!$A:$A,'Actuals Summer'!K:K,0,0)+_xlfn.XLOOKUP($A166,'Actuals Summer'!$A:$A,'Actuals Summer'!Q:Q,0,0)</f>
        <v>0</v>
      </c>
      <c r="DE166" s="452">
        <f>_xlfn.XLOOKUP($A166,'Actuals Summer'!$A:$A,'Actuals Summer'!I:I,0,0)+_xlfn.XLOOKUP($A166,'Actuals Summer'!$A:$A,'Actuals Summer'!R:R,0,0)</f>
        <v>29799.9</v>
      </c>
      <c r="DF166" s="452">
        <f>_xlfn.XLOOKUP($A166,'Actuals Summer'!$A:$A,'Actuals Summer'!J:J,0,0)</f>
        <v>3311.1</v>
      </c>
      <c r="DG166" s="452">
        <f>_xlfn.XLOOKUP($A166,'Actuals Dep Summer'!$B:$B,'Actuals Dep Summer'!G:G,0,0)*'Actuals Dep Summer'!$F$2*'Actuals Dep Summer'!$C$2</f>
        <v>118.95</v>
      </c>
      <c r="DH166" s="452">
        <f>_xlfn.XLOOKUP($A166,'Actuals Dep Summer'!$B:$B,'Actuals Dep Summer'!H:H,0,0)*'Actuals Dep Summer'!$F$2*'Actuals Dep Summer'!$C$3</f>
        <v>169.64999999999998</v>
      </c>
      <c r="DI166" s="452">
        <f>_xlfn.XLOOKUP($A166,'Actuals Dep Summer'!$B:$B,'Actuals Dep Summer'!I:I,0,0)*'Actuals Dep Summer'!$F$2*'Actuals Dep Summer'!$C$4</f>
        <v>296.40000000000003</v>
      </c>
      <c r="DJ166" s="452">
        <f>_xlfn.XLOOKUP($A166,'Actuals Summer'!$A:$A,'Actuals Summer'!P:P,0,0)</f>
        <v>1560</v>
      </c>
      <c r="DK166" s="452">
        <f>_xlfn.XLOOKUP($A166,'Actuals Summer'!$A:$A,'Actuals Summer'!O:O,0,0)</f>
        <v>596.63157894736844</v>
      </c>
      <c r="DL166" s="452"/>
      <c r="DM166" s="452">
        <f>_xlfn.XLOOKUP($A166,'Actuals Summer'!$A:$A,'Actuals Summer'!M:M,0,0)</f>
        <v>0</v>
      </c>
      <c r="DN166" s="453">
        <f t="shared" si="91"/>
        <v>35852.631578947367</v>
      </c>
      <c r="DO166" s="453">
        <f>_xlfn.XLOOKUP(A166,'Actuals Summer'!A:A,'Actuals Summer'!S:S,0,0)-'Summer data team '!DN166</f>
        <v>0</v>
      </c>
      <c r="DP166" s="463">
        <f t="shared" si="92"/>
        <v>270.53684210526262</v>
      </c>
    </row>
    <row r="167" spans="1:120" ht="13" x14ac:dyDescent="0.3">
      <c r="A167" s="364">
        <v>3330</v>
      </c>
      <c r="B167" s="364">
        <v>3303330</v>
      </c>
      <c r="C167" s="364" t="s">
        <v>357</v>
      </c>
      <c r="D167" s="506">
        <v>0</v>
      </c>
      <c r="E167" s="506">
        <v>0</v>
      </c>
      <c r="F167" s="506">
        <v>0</v>
      </c>
      <c r="G167" s="506">
        <v>15</v>
      </c>
      <c r="H167" s="506">
        <v>21</v>
      </c>
      <c r="I167" s="507">
        <v>0</v>
      </c>
      <c r="J167" s="507">
        <v>36</v>
      </c>
      <c r="K167" s="506">
        <v>5</v>
      </c>
      <c r="L167" s="506">
        <v>6</v>
      </c>
      <c r="M167" s="507">
        <v>11</v>
      </c>
      <c r="N167" s="506">
        <v>0</v>
      </c>
      <c r="O167" s="506">
        <v>0</v>
      </c>
      <c r="P167" s="506">
        <v>225</v>
      </c>
      <c r="Q167" s="506">
        <v>315</v>
      </c>
      <c r="R167" s="507">
        <v>540</v>
      </c>
      <c r="S167" s="506">
        <v>0</v>
      </c>
      <c r="T167" s="506">
        <v>0</v>
      </c>
      <c r="U167" s="506">
        <v>75</v>
      </c>
      <c r="V167" s="506">
        <v>90</v>
      </c>
      <c r="W167" s="507">
        <v>165</v>
      </c>
      <c r="X167" s="506">
        <v>10</v>
      </c>
      <c r="Y167" s="506">
        <v>150</v>
      </c>
      <c r="Z167" s="508">
        <v>45</v>
      </c>
      <c r="AA167" s="506">
        <v>7</v>
      </c>
      <c r="AB167" s="506">
        <v>105</v>
      </c>
      <c r="AC167" s="508">
        <v>30</v>
      </c>
      <c r="AD167" s="506">
        <v>3</v>
      </c>
      <c r="AE167" s="506">
        <v>45</v>
      </c>
      <c r="AF167" s="508">
        <v>15</v>
      </c>
      <c r="AG167" s="509">
        <v>0</v>
      </c>
      <c r="AH167" s="509">
        <v>0</v>
      </c>
      <c r="AI167" s="508">
        <v>0</v>
      </c>
      <c r="AJ167" s="509">
        <v>0</v>
      </c>
      <c r="AK167" s="509">
        <v>0</v>
      </c>
      <c r="AL167" s="508">
        <v>0</v>
      </c>
      <c r="AM167" s="506">
        <v>0</v>
      </c>
      <c r="AN167" s="506">
        <v>0</v>
      </c>
      <c r="AO167" s="508">
        <v>0</v>
      </c>
      <c r="AP167" s="508"/>
      <c r="AQ167" s="508">
        <f t="shared" si="66"/>
        <v>0</v>
      </c>
      <c r="AR167" s="509">
        <v>0</v>
      </c>
      <c r="AS167" s="509">
        <v>0</v>
      </c>
      <c r="AT167" s="508">
        <v>0</v>
      </c>
      <c r="AU167" s="509">
        <v>0</v>
      </c>
      <c r="AV167" s="509">
        <v>0</v>
      </c>
      <c r="AW167" s="508">
        <v>0</v>
      </c>
      <c r="AX167" s="506">
        <v>0</v>
      </c>
      <c r="AY167" s="506">
        <v>0</v>
      </c>
      <c r="AZ167" s="508">
        <v>0</v>
      </c>
      <c r="BA167" s="508"/>
      <c r="BB167" s="508">
        <f t="shared" si="67"/>
        <v>0</v>
      </c>
      <c r="BC167" s="509">
        <v>0</v>
      </c>
      <c r="BD167" s="509">
        <v>0</v>
      </c>
      <c r="BE167" s="506">
        <v>0</v>
      </c>
      <c r="BF167" s="200"/>
      <c r="BG167" s="200"/>
      <c r="BH167" s="200"/>
      <c r="BI167" s="200"/>
      <c r="BJ167" s="200"/>
      <c r="BK167" s="200"/>
      <c r="BL167" s="200"/>
      <c r="BM167" s="505">
        <f t="shared" si="68"/>
        <v>0</v>
      </c>
      <c r="BN167" s="200">
        <f t="shared" si="69"/>
        <v>0</v>
      </c>
      <c r="BO167" s="200">
        <f t="shared" si="89"/>
        <v>0</v>
      </c>
      <c r="BP167" s="200">
        <f t="shared" si="70"/>
        <v>7020</v>
      </c>
      <c r="BQ167" s="200">
        <f t="shared" si="71"/>
        <v>2145</v>
      </c>
      <c r="BR167" s="200">
        <f t="shared" si="72"/>
        <v>2535</v>
      </c>
      <c r="BS167" s="200">
        <f t="shared" si="73"/>
        <v>1755</v>
      </c>
      <c r="BT167" s="200">
        <f t="shared" si="74"/>
        <v>780</v>
      </c>
      <c r="BU167" s="200">
        <f t="shared" si="75"/>
        <v>0</v>
      </c>
      <c r="BV167" s="200">
        <v>0</v>
      </c>
      <c r="BW167" s="200">
        <v>0</v>
      </c>
      <c r="BX167" s="200">
        <f t="shared" si="76"/>
        <v>0</v>
      </c>
      <c r="CB167" s="381">
        <f>_xlfn.IFNA(VLOOKUP(A167,'Actuals Summer'!$A:$AG,23,FALSE),0)</f>
        <v>7020.0000000000009</v>
      </c>
      <c r="CC167" s="381">
        <f>_xlfn.IFNA(VLOOKUP(A167,'Actuals Summer'!$A:$AG,24,FALSE),0)</f>
        <v>2145</v>
      </c>
      <c r="CD167" s="381">
        <f>_xlfn.IFNA(VLOOKUP(A167,'Actuals Summer'!$A:$AG,25,FALSE),0)</f>
        <v>0</v>
      </c>
      <c r="CE167" s="381">
        <f>_xlfn.IFNA(VLOOKUP(A167,'Actuals Summer'!$A:$AG,26,FALSE),0)</f>
        <v>0</v>
      </c>
      <c r="CF167" s="381">
        <f>_xlfn.IFNA(VLOOKUP(A167,'Actuals Summer'!$A:$AG,27,FALSE),0)</f>
        <v>0</v>
      </c>
      <c r="CG167" s="381">
        <f>_xlfn.IFNA(VLOOKUP(A167,'Actuals Dep Summer'!B:O,6,FALSE)*$BN$3,0)</f>
        <v>1950</v>
      </c>
      <c r="CH167" s="381">
        <f>_xlfn.IFNA(VLOOKUP(A167,'Actuals Dep Summer'!B:O,7,FALSE)*$BN$3,0)</f>
        <v>1365</v>
      </c>
      <c r="CI167" s="381">
        <f>_xlfn.IFNA(VLOOKUP(A167,'Actuals Dep Summer'!B:O,8,FALSE)*$BN$3,0)</f>
        <v>585</v>
      </c>
      <c r="CJ167" s="381">
        <f>_xlfn.IFNA(VLOOKUP(A167,'Actuals Summer'!$A:$AG,31,FALSE),0)*$BN$3</f>
        <v>0</v>
      </c>
      <c r="CK167" s="381"/>
      <c r="CL167" s="381">
        <f>_xlfn.IFNA(VLOOKUP(A167,'Actuals Summer'!$A:$AG,32,FALSE),0)*$BN$3</f>
        <v>0</v>
      </c>
      <c r="CM167" s="381">
        <f>_xlfn.IFNA(VLOOKUP(A167,'Actuals Summer'!$A:$AG,33,FALSE),0)</f>
        <v>0</v>
      </c>
      <c r="CP167" s="458">
        <f t="shared" si="77"/>
        <v>0</v>
      </c>
      <c r="CQ167" s="458">
        <f t="shared" si="78"/>
        <v>0</v>
      </c>
      <c r="CR167" s="458">
        <f t="shared" si="90"/>
        <v>0</v>
      </c>
      <c r="CS167" s="458">
        <f t="shared" si="79"/>
        <v>39733.200000000004</v>
      </c>
      <c r="CT167" s="458">
        <f t="shared" si="80"/>
        <v>12140.7</v>
      </c>
      <c r="CU167" s="458">
        <f t="shared" si="81"/>
        <v>1546.35</v>
      </c>
      <c r="CV167" s="458">
        <f t="shared" si="82"/>
        <v>508.95</v>
      </c>
      <c r="CW167" s="458">
        <f t="shared" si="83"/>
        <v>62.4</v>
      </c>
      <c r="CX167" s="458">
        <f t="shared" si="84"/>
        <v>0</v>
      </c>
      <c r="CY167" s="458">
        <f t="shared" si="85"/>
        <v>0</v>
      </c>
      <c r="CZ167" s="458">
        <f t="shared" si="86"/>
        <v>0</v>
      </c>
      <c r="DA167" s="458">
        <f t="shared" si="87"/>
        <v>0</v>
      </c>
      <c r="DB167" s="458">
        <f t="shared" si="88"/>
        <v>53991.600000000006</v>
      </c>
      <c r="DC167" s="452">
        <f>_xlfn.XLOOKUP($A167,'Actuals Summer'!$A:$A,'Actuals Summer'!L:L,0,0)</f>
        <v>0</v>
      </c>
      <c r="DD167" s="452">
        <f>_xlfn.XLOOKUP($A167,'Actuals Summer'!$A:$A,'Actuals Summer'!K:K,0,0)+_xlfn.XLOOKUP($A167,'Actuals Summer'!$A:$A,'Actuals Summer'!Q:Q,0,0)</f>
        <v>0</v>
      </c>
      <c r="DE167" s="452">
        <f>_xlfn.XLOOKUP($A167,'Actuals Summer'!$A:$A,'Actuals Summer'!I:I,0,0)+_xlfn.XLOOKUP($A167,'Actuals Summer'!$A:$A,'Actuals Summer'!R:R,0,0)</f>
        <v>39733.200000000004</v>
      </c>
      <c r="DF167" s="452">
        <f>_xlfn.XLOOKUP($A167,'Actuals Summer'!$A:$A,'Actuals Summer'!J:J,0,0)</f>
        <v>12140.7</v>
      </c>
      <c r="DG167" s="452">
        <f>_xlfn.XLOOKUP($A167,'Actuals Dep Summer'!$B:$B,'Actuals Dep Summer'!G:G,0,0)*'Actuals Dep Summer'!$F$2*'Actuals Dep Summer'!$C$2</f>
        <v>1189.5</v>
      </c>
      <c r="DH167" s="452">
        <f>_xlfn.XLOOKUP($A167,'Actuals Dep Summer'!$B:$B,'Actuals Dep Summer'!H:H,0,0)*'Actuals Dep Summer'!$F$2*'Actuals Dep Summer'!$C$3</f>
        <v>395.84999999999997</v>
      </c>
      <c r="DI167" s="452">
        <f>_xlfn.XLOOKUP($A167,'Actuals Dep Summer'!$B:$B,'Actuals Dep Summer'!I:I,0,0)*'Actuals Dep Summer'!$F$2*'Actuals Dep Summer'!$C$4</f>
        <v>46.800000000000004</v>
      </c>
      <c r="DJ167" s="452">
        <f>_xlfn.XLOOKUP($A167,'Actuals Summer'!$A:$A,'Actuals Summer'!P:P,0,0)</f>
        <v>0</v>
      </c>
      <c r="DK167" s="452">
        <f>_xlfn.XLOOKUP($A167,'Actuals Summer'!$A:$A,'Actuals Summer'!O:O,0,0)</f>
        <v>0</v>
      </c>
      <c r="DL167" s="452"/>
      <c r="DM167" s="452">
        <f>_xlfn.XLOOKUP($A167,'Actuals Summer'!$A:$A,'Actuals Summer'!M:M,0,0)</f>
        <v>0</v>
      </c>
      <c r="DN167" s="453">
        <f t="shared" si="91"/>
        <v>53506.05000000001</v>
      </c>
      <c r="DO167" s="453">
        <f>_xlfn.XLOOKUP(A167,'Actuals Summer'!A:A,'Actuals Summer'!S:S,0,0)-'Summer data team '!DN167</f>
        <v>0</v>
      </c>
      <c r="DP167" s="463">
        <f t="shared" si="92"/>
        <v>485.54999999999563</v>
      </c>
    </row>
    <row r="168" spans="1:120" ht="13" x14ac:dyDescent="0.3">
      <c r="A168" s="364">
        <v>3331</v>
      </c>
      <c r="B168" s="364">
        <v>3303331</v>
      </c>
      <c r="C168" s="364" t="s">
        <v>358</v>
      </c>
      <c r="D168" s="506">
        <v>0</v>
      </c>
      <c r="E168" s="506">
        <v>0</v>
      </c>
      <c r="F168" s="506">
        <v>0</v>
      </c>
      <c r="G168" s="506">
        <v>25</v>
      </c>
      <c r="H168" s="506">
        <v>17</v>
      </c>
      <c r="I168" s="507">
        <v>0</v>
      </c>
      <c r="J168" s="507">
        <v>42</v>
      </c>
      <c r="K168" s="506">
        <v>4</v>
      </c>
      <c r="L168" s="506">
        <v>3</v>
      </c>
      <c r="M168" s="507">
        <v>7</v>
      </c>
      <c r="N168" s="506">
        <v>0</v>
      </c>
      <c r="O168" s="506">
        <v>0</v>
      </c>
      <c r="P168" s="506">
        <v>375</v>
      </c>
      <c r="Q168" s="506">
        <v>255</v>
      </c>
      <c r="R168" s="507">
        <v>630</v>
      </c>
      <c r="S168" s="506">
        <v>0</v>
      </c>
      <c r="T168" s="506">
        <v>0</v>
      </c>
      <c r="U168" s="506">
        <v>60</v>
      </c>
      <c r="V168" s="506">
        <v>45</v>
      </c>
      <c r="W168" s="507">
        <v>105</v>
      </c>
      <c r="X168" s="506">
        <v>15</v>
      </c>
      <c r="Y168" s="506">
        <v>225</v>
      </c>
      <c r="Z168" s="508">
        <v>30</v>
      </c>
      <c r="AA168" s="506">
        <v>1</v>
      </c>
      <c r="AB168" s="506">
        <v>15</v>
      </c>
      <c r="AC168" s="508">
        <v>0</v>
      </c>
      <c r="AD168" s="506">
        <v>1</v>
      </c>
      <c r="AE168" s="506">
        <v>15</v>
      </c>
      <c r="AF168" s="508">
        <v>15</v>
      </c>
      <c r="AG168" s="509">
        <v>0</v>
      </c>
      <c r="AH168" s="509">
        <v>0</v>
      </c>
      <c r="AI168" s="508">
        <v>0</v>
      </c>
      <c r="AJ168" s="509">
        <v>12</v>
      </c>
      <c r="AK168" s="509">
        <v>180</v>
      </c>
      <c r="AL168" s="508">
        <v>15</v>
      </c>
      <c r="AM168" s="506">
        <v>12</v>
      </c>
      <c r="AN168" s="506">
        <v>180</v>
      </c>
      <c r="AO168" s="508">
        <v>15</v>
      </c>
      <c r="AP168" s="508"/>
      <c r="AQ168" s="508">
        <f t="shared" si="66"/>
        <v>12</v>
      </c>
      <c r="AR168" s="509">
        <v>0</v>
      </c>
      <c r="AS168" s="509">
        <v>0</v>
      </c>
      <c r="AT168" s="508">
        <v>0</v>
      </c>
      <c r="AU168" s="509">
        <v>12</v>
      </c>
      <c r="AV168" s="509">
        <v>180</v>
      </c>
      <c r="AW168" s="508">
        <v>15</v>
      </c>
      <c r="AX168" s="506">
        <v>12</v>
      </c>
      <c r="AY168" s="506">
        <v>180</v>
      </c>
      <c r="AZ168" s="508">
        <v>15</v>
      </c>
      <c r="BA168" s="508"/>
      <c r="BB168" s="508">
        <f t="shared" si="67"/>
        <v>24</v>
      </c>
      <c r="BC168" s="509">
        <v>0</v>
      </c>
      <c r="BD168" s="509">
        <v>0</v>
      </c>
      <c r="BE168" s="506">
        <v>0</v>
      </c>
      <c r="BF168" s="200"/>
      <c r="BG168" s="200"/>
      <c r="BH168" s="200"/>
      <c r="BI168" s="200"/>
      <c r="BJ168" s="200"/>
      <c r="BK168" s="200"/>
      <c r="BL168" s="200"/>
      <c r="BM168" s="505">
        <f t="shared" si="68"/>
        <v>0</v>
      </c>
      <c r="BN168" s="200">
        <f t="shared" si="69"/>
        <v>0</v>
      </c>
      <c r="BO168" s="200">
        <f t="shared" si="89"/>
        <v>0</v>
      </c>
      <c r="BP168" s="200">
        <f t="shared" si="70"/>
        <v>8190</v>
      </c>
      <c r="BQ168" s="200">
        <f t="shared" si="71"/>
        <v>1365</v>
      </c>
      <c r="BR168" s="200">
        <f t="shared" si="72"/>
        <v>3315</v>
      </c>
      <c r="BS168" s="200">
        <f t="shared" si="73"/>
        <v>195</v>
      </c>
      <c r="BT168" s="200">
        <f t="shared" si="74"/>
        <v>390</v>
      </c>
      <c r="BU168" s="200">
        <f t="shared" si="75"/>
        <v>2340</v>
      </c>
      <c r="BV168" s="200">
        <v>11</v>
      </c>
      <c r="BW168" s="200">
        <v>1</v>
      </c>
      <c r="BX168" s="200">
        <f t="shared" si="76"/>
        <v>0</v>
      </c>
      <c r="CB168" s="381">
        <f>_xlfn.IFNA(VLOOKUP(A168,'Actuals Summer'!$A:$AG,23,FALSE),0)</f>
        <v>8190</v>
      </c>
      <c r="CC168" s="381">
        <f>_xlfn.IFNA(VLOOKUP(A168,'Actuals Summer'!$A:$AG,24,FALSE),0)</f>
        <v>1365</v>
      </c>
      <c r="CD168" s="381">
        <f>_xlfn.IFNA(VLOOKUP(A168,'Actuals Summer'!$A:$AG,25,FALSE),0)</f>
        <v>0</v>
      </c>
      <c r="CE168" s="381">
        <f>_xlfn.IFNA(VLOOKUP(A168,'Actuals Summer'!$A:$AG,26,FALSE),0)</f>
        <v>0</v>
      </c>
      <c r="CF168" s="381">
        <f>_xlfn.IFNA(VLOOKUP(A168,'Actuals Summer'!$A:$AG,27,FALSE),0)</f>
        <v>0</v>
      </c>
      <c r="CG168" s="381">
        <f>_xlfn.IFNA(VLOOKUP(A168,'Actuals Dep Summer'!B:O,6,FALSE)*$BN$3,0)</f>
        <v>2925</v>
      </c>
      <c r="CH168" s="381">
        <f>_xlfn.IFNA(VLOOKUP(A168,'Actuals Dep Summer'!B:O,7,FALSE)*$BN$3,0)</f>
        <v>195</v>
      </c>
      <c r="CI168" s="381">
        <f>_xlfn.IFNA(VLOOKUP(A168,'Actuals Dep Summer'!B:O,8,FALSE)*$BN$3,0)</f>
        <v>195</v>
      </c>
      <c r="CJ168" s="381">
        <f>_xlfn.IFNA(VLOOKUP(A168,'Actuals Summer'!$A:$AG,31,FALSE),0)*$BN$3</f>
        <v>155.91417568311024</v>
      </c>
      <c r="CK168" s="381"/>
      <c r="CL168" s="381">
        <f>_xlfn.IFNA(VLOOKUP(A168,'Actuals Summer'!$A:$AG,32,FALSE),0)*$BN$3</f>
        <v>30420</v>
      </c>
      <c r="CM168" s="381">
        <f>_xlfn.IFNA(VLOOKUP(A168,'Actuals Summer'!$A:$AG,33,FALSE),0)</f>
        <v>0</v>
      </c>
      <c r="CP168" s="458">
        <f t="shared" si="77"/>
        <v>0</v>
      </c>
      <c r="CQ168" s="458">
        <f t="shared" si="78"/>
        <v>0</v>
      </c>
      <c r="CR168" s="458">
        <f t="shared" si="90"/>
        <v>0</v>
      </c>
      <c r="CS168" s="458">
        <f t="shared" si="79"/>
        <v>46355.4</v>
      </c>
      <c r="CT168" s="458">
        <f t="shared" si="80"/>
        <v>7725.9000000000005</v>
      </c>
      <c r="CU168" s="458">
        <f t="shared" si="81"/>
        <v>2022.1499999999999</v>
      </c>
      <c r="CV168" s="458">
        <f t="shared" si="82"/>
        <v>56.55</v>
      </c>
      <c r="CW168" s="458">
        <f t="shared" si="83"/>
        <v>31.2</v>
      </c>
      <c r="CX168" s="458">
        <f t="shared" si="84"/>
        <v>2340</v>
      </c>
      <c r="CY168" s="458">
        <f t="shared" si="85"/>
        <v>820.36842105263156</v>
      </c>
      <c r="CZ168" s="458">
        <f t="shared" si="86"/>
        <v>186.44736842105263</v>
      </c>
      <c r="DA168" s="458">
        <f t="shared" si="87"/>
        <v>0</v>
      </c>
      <c r="DB168" s="458">
        <f t="shared" si="88"/>
        <v>59538.015789473691</v>
      </c>
      <c r="DC168" s="452">
        <f>_xlfn.XLOOKUP($A168,'Actuals Summer'!$A:$A,'Actuals Summer'!L:L,0,0)</f>
        <v>0</v>
      </c>
      <c r="DD168" s="452">
        <f>_xlfn.XLOOKUP($A168,'Actuals Summer'!$A:$A,'Actuals Summer'!K:K,0,0)+_xlfn.XLOOKUP($A168,'Actuals Summer'!$A:$A,'Actuals Summer'!Q:Q,0,0)</f>
        <v>0</v>
      </c>
      <c r="DE168" s="452">
        <f>_xlfn.XLOOKUP($A168,'Actuals Summer'!$A:$A,'Actuals Summer'!I:I,0,0)+_xlfn.XLOOKUP($A168,'Actuals Summer'!$A:$A,'Actuals Summer'!R:R,0,0)</f>
        <v>46355.4</v>
      </c>
      <c r="DF168" s="452">
        <f>_xlfn.XLOOKUP($A168,'Actuals Summer'!$A:$A,'Actuals Summer'!J:J,0,0)</f>
        <v>7725.9000000000005</v>
      </c>
      <c r="DG168" s="452">
        <f>_xlfn.XLOOKUP($A168,'Actuals Dep Summer'!$B:$B,'Actuals Dep Summer'!G:G,0,0)*'Actuals Dep Summer'!$F$2*'Actuals Dep Summer'!$C$2</f>
        <v>1784.25</v>
      </c>
      <c r="DH168" s="452">
        <f>_xlfn.XLOOKUP($A168,'Actuals Dep Summer'!$B:$B,'Actuals Dep Summer'!H:H,0,0)*'Actuals Dep Summer'!$F$2*'Actuals Dep Summer'!$C$3</f>
        <v>56.55</v>
      </c>
      <c r="DI168" s="452">
        <f>_xlfn.XLOOKUP($A168,'Actuals Dep Summer'!$B:$B,'Actuals Dep Summer'!I:I,0,0)*'Actuals Dep Summer'!$F$2*'Actuals Dep Summer'!$C$4</f>
        <v>15.6</v>
      </c>
      <c r="DJ168" s="452">
        <f>_xlfn.XLOOKUP($A168,'Actuals Summer'!$A:$A,'Actuals Summer'!P:P,0,0)</f>
        <v>2340</v>
      </c>
      <c r="DK168" s="452">
        <f>_xlfn.XLOOKUP($A168,'Actuals Summer'!$A:$A,'Actuals Summer'!O:O,0,0)</f>
        <v>894.94736842105272</v>
      </c>
      <c r="DL168" s="452"/>
      <c r="DM168" s="452">
        <f>_xlfn.XLOOKUP($A168,'Actuals Summer'!$A:$A,'Actuals Summer'!M:M,0,0)</f>
        <v>0</v>
      </c>
      <c r="DN168" s="453">
        <f t="shared" si="91"/>
        <v>59172.647368421058</v>
      </c>
      <c r="DO168" s="453">
        <f>_xlfn.XLOOKUP(A168,'Actuals Summer'!A:A,'Actuals Summer'!S:S,0,0)-'Summer data team '!DN168</f>
        <v>0</v>
      </c>
      <c r="DP168" s="463">
        <f t="shared" si="92"/>
        <v>365.36842105263349</v>
      </c>
    </row>
    <row r="169" spans="1:120" ht="13" x14ac:dyDescent="0.3">
      <c r="A169" s="364">
        <v>3346</v>
      </c>
      <c r="B169" s="364">
        <v>3303346</v>
      </c>
      <c r="C169" s="364" t="s">
        <v>213</v>
      </c>
      <c r="D169" s="506">
        <v>0</v>
      </c>
      <c r="E169" s="506">
        <v>0</v>
      </c>
      <c r="F169" s="506">
        <v>0</v>
      </c>
      <c r="G169" s="506">
        <v>8</v>
      </c>
      <c r="H169" s="506">
        <v>17</v>
      </c>
      <c r="I169" s="507">
        <v>0</v>
      </c>
      <c r="J169" s="507">
        <v>25</v>
      </c>
      <c r="K169" s="506">
        <v>0</v>
      </c>
      <c r="L169" s="506">
        <v>4</v>
      </c>
      <c r="M169" s="507">
        <v>4</v>
      </c>
      <c r="N169" s="506">
        <v>0</v>
      </c>
      <c r="O169" s="506">
        <v>0</v>
      </c>
      <c r="P169" s="506">
        <v>120</v>
      </c>
      <c r="Q169" s="506">
        <v>255</v>
      </c>
      <c r="R169" s="507">
        <v>375</v>
      </c>
      <c r="S169" s="506">
        <v>0</v>
      </c>
      <c r="T169" s="506">
        <v>0</v>
      </c>
      <c r="U169" s="506">
        <v>0</v>
      </c>
      <c r="V169" s="506">
        <v>60</v>
      </c>
      <c r="W169" s="507">
        <v>60</v>
      </c>
      <c r="X169" s="506">
        <v>5</v>
      </c>
      <c r="Y169" s="506">
        <v>75</v>
      </c>
      <c r="Z169" s="508">
        <v>0</v>
      </c>
      <c r="AA169" s="506">
        <v>17</v>
      </c>
      <c r="AB169" s="506">
        <v>255</v>
      </c>
      <c r="AC169" s="508">
        <v>60</v>
      </c>
      <c r="AD169" s="506">
        <v>1</v>
      </c>
      <c r="AE169" s="506">
        <v>15</v>
      </c>
      <c r="AF169" s="508">
        <v>0</v>
      </c>
      <c r="AG169" s="509">
        <v>0</v>
      </c>
      <c r="AH169" s="509">
        <v>0</v>
      </c>
      <c r="AI169" s="508">
        <v>0</v>
      </c>
      <c r="AJ169" s="509">
        <v>3</v>
      </c>
      <c r="AK169" s="509">
        <v>45</v>
      </c>
      <c r="AL169" s="508">
        <v>0</v>
      </c>
      <c r="AM169" s="506">
        <v>3</v>
      </c>
      <c r="AN169" s="506">
        <v>45</v>
      </c>
      <c r="AO169" s="508">
        <v>0</v>
      </c>
      <c r="AP169" s="508"/>
      <c r="AQ169" s="508">
        <f t="shared" si="66"/>
        <v>3</v>
      </c>
      <c r="AR169" s="509">
        <v>0</v>
      </c>
      <c r="AS169" s="509">
        <v>0</v>
      </c>
      <c r="AT169" s="508">
        <v>0</v>
      </c>
      <c r="AU169" s="509">
        <v>0</v>
      </c>
      <c r="AV169" s="509">
        <v>0</v>
      </c>
      <c r="AW169" s="508">
        <v>0</v>
      </c>
      <c r="AX169" s="506">
        <v>0</v>
      </c>
      <c r="AY169" s="506">
        <v>0</v>
      </c>
      <c r="AZ169" s="508">
        <v>0</v>
      </c>
      <c r="BA169" s="508"/>
      <c r="BB169" s="508">
        <f t="shared" si="67"/>
        <v>0</v>
      </c>
      <c r="BC169" s="509">
        <v>0</v>
      </c>
      <c r="BD169" s="509">
        <v>0</v>
      </c>
      <c r="BE169" s="506">
        <v>0</v>
      </c>
      <c r="BF169" s="200"/>
      <c r="BG169" s="200"/>
      <c r="BH169" s="200"/>
      <c r="BI169" s="200"/>
      <c r="BJ169" s="200"/>
      <c r="BK169" s="200"/>
      <c r="BL169" s="200"/>
      <c r="BM169" s="505">
        <f t="shared" si="68"/>
        <v>0</v>
      </c>
      <c r="BN169" s="200">
        <f t="shared" si="69"/>
        <v>0</v>
      </c>
      <c r="BO169" s="200">
        <f t="shared" si="89"/>
        <v>0</v>
      </c>
      <c r="BP169" s="200">
        <f t="shared" si="70"/>
        <v>4875</v>
      </c>
      <c r="BQ169" s="200">
        <f t="shared" si="71"/>
        <v>780</v>
      </c>
      <c r="BR169" s="200">
        <f t="shared" si="72"/>
        <v>975</v>
      </c>
      <c r="BS169" s="200">
        <f t="shared" si="73"/>
        <v>4095</v>
      </c>
      <c r="BT169" s="200">
        <f t="shared" si="74"/>
        <v>195</v>
      </c>
      <c r="BU169" s="200">
        <f t="shared" si="75"/>
        <v>585</v>
      </c>
      <c r="BV169" s="200">
        <v>0</v>
      </c>
      <c r="BW169" s="200">
        <v>0</v>
      </c>
      <c r="BX169" s="200">
        <f t="shared" si="76"/>
        <v>0</v>
      </c>
      <c r="CB169" s="381">
        <f>_xlfn.IFNA(VLOOKUP(A169,'Actuals Summer'!$A:$AG,23,FALSE),0)</f>
        <v>4875</v>
      </c>
      <c r="CC169" s="381">
        <f>_xlfn.IFNA(VLOOKUP(A169,'Actuals Summer'!$A:$AG,24,FALSE),0)</f>
        <v>780</v>
      </c>
      <c r="CD169" s="381">
        <f>_xlfn.IFNA(VLOOKUP(A169,'Actuals Summer'!$A:$AG,25,FALSE),0)</f>
        <v>0</v>
      </c>
      <c r="CE169" s="381">
        <f>_xlfn.IFNA(VLOOKUP(A169,'Actuals Summer'!$A:$AG,26,FALSE),0)</f>
        <v>0</v>
      </c>
      <c r="CF169" s="381">
        <f>_xlfn.IFNA(VLOOKUP(A169,'Actuals Summer'!$A:$AG,27,FALSE),0)</f>
        <v>0</v>
      </c>
      <c r="CG169" s="381">
        <f>_xlfn.IFNA(VLOOKUP(A169,'Actuals Dep Summer'!B:O,6,FALSE)*$BN$3,0)</f>
        <v>975</v>
      </c>
      <c r="CH169" s="381">
        <f>_xlfn.IFNA(VLOOKUP(A169,'Actuals Dep Summer'!B:O,7,FALSE)*$BN$3,0)</f>
        <v>3315</v>
      </c>
      <c r="CI169" s="381">
        <f>_xlfn.IFNA(VLOOKUP(A169,'Actuals Dep Summer'!B:O,8,FALSE)*$BN$3,0)</f>
        <v>195</v>
      </c>
      <c r="CJ169" s="381">
        <f>_xlfn.IFNA(VLOOKUP(A169,'Actuals Summer'!$A:$AG,31,FALSE),0)*$BN$3</f>
        <v>0</v>
      </c>
      <c r="CK169" s="381"/>
      <c r="CL169" s="381">
        <f>_xlfn.IFNA(VLOOKUP(A169,'Actuals Summer'!$A:$AG,32,FALSE),0)*$BN$3</f>
        <v>7605</v>
      </c>
      <c r="CM169" s="381">
        <f>_xlfn.IFNA(VLOOKUP(A169,'Actuals Summer'!$A:$AG,33,FALSE),0)</f>
        <v>0</v>
      </c>
      <c r="CP169" s="458">
        <f t="shared" si="77"/>
        <v>0</v>
      </c>
      <c r="CQ169" s="458">
        <f t="shared" si="78"/>
        <v>0</v>
      </c>
      <c r="CR169" s="458">
        <f t="shared" si="90"/>
        <v>0</v>
      </c>
      <c r="CS169" s="458">
        <f t="shared" si="79"/>
        <v>27592.5</v>
      </c>
      <c r="CT169" s="458">
        <f t="shared" si="80"/>
        <v>4414.8</v>
      </c>
      <c r="CU169" s="458">
        <f t="shared" si="81"/>
        <v>594.75</v>
      </c>
      <c r="CV169" s="458">
        <f t="shared" si="82"/>
        <v>1187.55</v>
      </c>
      <c r="CW169" s="458">
        <f t="shared" si="83"/>
        <v>15.6</v>
      </c>
      <c r="CX169" s="458">
        <f t="shared" si="84"/>
        <v>585</v>
      </c>
      <c r="CY169" s="458">
        <f t="shared" si="85"/>
        <v>0</v>
      </c>
      <c r="CZ169" s="458">
        <f t="shared" si="86"/>
        <v>0</v>
      </c>
      <c r="DA169" s="458">
        <f t="shared" si="87"/>
        <v>0</v>
      </c>
      <c r="DB169" s="458">
        <f t="shared" si="88"/>
        <v>34390.199999999997</v>
      </c>
      <c r="DC169" s="452">
        <f>_xlfn.XLOOKUP($A169,'Actuals Summer'!$A:$A,'Actuals Summer'!L:L,0,0)</f>
        <v>0</v>
      </c>
      <c r="DD169" s="452">
        <f>_xlfn.XLOOKUP($A169,'Actuals Summer'!$A:$A,'Actuals Summer'!K:K,0,0)+_xlfn.XLOOKUP($A169,'Actuals Summer'!$A:$A,'Actuals Summer'!Q:Q,0,0)</f>
        <v>0</v>
      </c>
      <c r="DE169" s="452">
        <f>_xlfn.XLOOKUP($A169,'Actuals Summer'!$A:$A,'Actuals Summer'!I:I,0,0)+_xlfn.XLOOKUP($A169,'Actuals Summer'!$A:$A,'Actuals Summer'!R:R,0,0)</f>
        <v>27592.5</v>
      </c>
      <c r="DF169" s="452">
        <f>_xlfn.XLOOKUP($A169,'Actuals Summer'!$A:$A,'Actuals Summer'!J:J,0,0)</f>
        <v>4414.8</v>
      </c>
      <c r="DG169" s="452">
        <f>_xlfn.XLOOKUP($A169,'Actuals Dep Summer'!$B:$B,'Actuals Dep Summer'!G:G,0,0)*'Actuals Dep Summer'!$F$2*'Actuals Dep Summer'!$C$2</f>
        <v>594.75</v>
      </c>
      <c r="DH169" s="452">
        <f>_xlfn.XLOOKUP($A169,'Actuals Dep Summer'!$B:$B,'Actuals Dep Summer'!H:H,0,0)*'Actuals Dep Summer'!$F$2*'Actuals Dep Summer'!$C$3</f>
        <v>961.34999999999991</v>
      </c>
      <c r="DI169" s="452">
        <f>_xlfn.XLOOKUP($A169,'Actuals Dep Summer'!$B:$B,'Actuals Dep Summer'!I:I,0,0)*'Actuals Dep Summer'!$F$2*'Actuals Dep Summer'!$C$4</f>
        <v>15.6</v>
      </c>
      <c r="DJ169" s="452">
        <f>_xlfn.XLOOKUP($A169,'Actuals Summer'!$A:$A,'Actuals Summer'!P:P,0,0)</f>
        <v>585</v>
      </c>
      <c r="DK169" s="452">
        <f>_xlfn.XLOOKUP($A169,'Actuals Summer'!$A:$A,'Actuals Summer'!O:O,0,0)</f>
        <v>0</v>
      </c>
      <c r="DL169" s="452"/>
      <c r="DM169" s="452">
        <f>_xlfn.XLOOKUP($A169,'Actuals Summer'!$A:$A,'Actuals Summer'!M:M,0,0)</f>
        <v>0</v>
      </c>
      <c r="DN169" s="453">
        <f t="shared" si="91"/>
        <v>34164</v>
      </c>
      <c r="DO169" s="453">
        <f>_xlfn.XLOOKUP(A169,'Actuals Summer'!A:A,'Actuals Summer'!S:S,0,0)-'Summer data team '!DN169</f>
        <v>0</v>
      </c>
      <c r="DP169" s="463">
        <f t="shared" si="92"/>
        <v>226.19999999999709</v>
      </c>
    </row>
    <row r="170" spans="1:120" ht="13" x14ac:dyDescent="0.3">
      <c r="A170" s="364">
        <v>3351</v>
      </c>
      <c r="B170" s="364">
        <v>3303351</v>
      </c>
      <c r="C170" s="364" t="s">
        <v>359</v>
      </c>
      <c r="D170" s="506">
        <v>0</v>
      </c>
      <c r="E170" s="506">
        <v>0</v>
      </c>
      <c r="F170" s="506">
        <v>0</v>
      </c>
      <c r="G170" s="506">
        <v>14</v>
      </c>
      <c r="H170" s="506">
        <v>10</v>
      </c>
      <c r="I170" s="507">
        <v>0</v>
      </c>
      <c r="J170" s="507">
        <v>24</v>
      </c>
      <c r="K170" s="506">
        <v>2</v>
      </c>
      <c r="L170" s="506">
        <v>0</v>
      </c>
      <c r="M170" s="507">
        <v>2</v>
      </c>
      <c r="N170" s="506">
        <v>0</v>
      </c>
      <c r="O170" s="506">
        <v>0</v>
      </c>
      <c r="P170" s="506">
        <v>210</v>
      </c>
      <c r="Q170" s="506">
        <v>150</v>
      </c>
      <c r="R170" s="507">
        <v>360</v>
      </c>
      <c r="S170" s="506">
        <v>0</v>
      </c>
      <c r="T170" s="506">
        <v>0</v>
      </c>
      <c r="U170" s="506">
        <v>20</v>
      </c>
      <c r="V170" s="506">
        <v>0</v>
      </c>
      <c r="W170" s="507">
        <v>20</v>
      </c>
      <c r="X170" s="506">
        <v>3</v>
      </c>
      <c r="Y170" s="506">
        <v>45</v>
      </c>
      <c r="Z170" s="508">
        <v>10</v>
      </c>
      <c r="AA170" s="506">
        <v>11</v>
      </c>
      <c r="AB170" s="506">
        <v>165</v>
      </c>
      <c r="AC170" s="508">
        <v>10</v>
      </c>
      <c r="AD170" s="506">
        <v>5</v>
      </c>
      <c r="AE170" s="506">
        <v>75</v>
      </c>
      <c r="AF170" s="508">
        <v>0</v>
      </c>
      <c r="AG170" s="509">
        <v>0</v>
      </c>
      <c r="AH170" s="509">
        <v>0</v>
      </c>
      <c r="AI170" s="508">
        <v>0</v>
      </c>
      <c r="AJ170" s="509">
        <v>13</v>
      </c>
      <c r="AK170" s="509">
        <v>195</v>
      </c>
      <c r="AL170" s="508">
        <v>0</v>
      </c>
      <c r="AM170" s="506">
        <v>13</v>
      </c>
      <c r="AN170" s="506">
        <v>195</v>
      </c>
      <c r="AO170" s="508">
        <v>0</v>
      </c>
      <c r="AP170" s="508"/>
      <c r="AQ170" s="508">
        <f t="shared" si="66"/>
        <v>13</v>
      </c>
      <c r="AR170" s="509">
        <v>0</v>
      </c>
      <c r="AS170" s="509">
        <v>0</v>
      </c>
      <c r="AT170" s="508">
        <v>0</v>
      </c>
      <c r="AU170" s="509">
        <v>12</v>
      </c>
      <c r="AV170" s="509">
        <v>180</v>
      </c>
      <c r="AW170" s="508">
        <v>0</v>
      </c>
      <c r="AX170" s="506">
        <v>12</v>
      </c>
      <c r="AY170" s="506">
        <v>180</v>
      </c>
      <c r="AZ170" s="508">
        <v>0</v>
      </c>
      <c r="BA170" s="508"/>
      <c r="BB170" s="508">
        <f t="shared" si="67"/>
        <v>24</v>
      </c>
      <c r="BC170" s="509">
        <v>0</v>
      </c>
      <c r="BD170" s="509">
        <v>0</v>
      </c>
      <c r="BE170" s="506">
        <v>0</v>
      </c>
      <c r="BF170" s="200"/>
      <c r="BG170" s="200"/>
      <c r="BH170" s="200"/>
      <c r="BI170" s="200"/>
      <c r="BJ170" s="200"/>
      <c r="BK170" s="200"/>
      <c r="BL170" s="200"/>
      <c r="BM170" s="505">
        <f t="shared" si="68"/>
        <v>0</v>
      </c>
      <c r="BN170" s="200">
        <f t="shared" si="69"/>
        <v>0</v>
      </c>
      <c r="BO170" s="200">
        <f t="shared" si="89"/>
        <v>0</v>
      </c>
      <c r="BP170" s="200">
        <f t="shared" si="70"/>
        <v>4680</v>
      </c>
      <c r="BQ170" s="200">
        <f t="shared" si="71"/>
        <v>260</v>
      </c>
      <c r="BR170" s="200">
        <f t="shared" si="72"/>
        <v>715</v>
      </c>
      <c r="BS170" s="200">
        <f t="shared" si="73"/>
        <v>2275</v>
      </c>
      <c r="BT170" s="200">
        <f t="shared" si="74"/>
        <v>975</v>
      </c>
      <c r="BU170" s="200">
        <f t="shared" si="75"/>
        <v>2535</v>
      </c>
      <c r="BV170" s="200">
        <v>12</v>
      </c>
      <c r="BW170" s="200">
        <v>0</v>
      </c>
      <c r="BX170" s="200">
        <f t="shared" si="76"/>
        <v>0</v>
      </c>
      <c r="CB170" s="381">
        <f>_xlfn.IFNA(VLOOKUP(A170,'Actuals Summer'!$A:$AG,23,FALSE),0)</f>
        <v>4680</v>
      </c>
      <c r="CC170" s="381">
        <f>_xlfn.IFNA(VLOOKUP(A170,'Actuals Summer'!$A:$AG,24,FALSE),0)</f>
        <v>260</v>
      </c>
      <c r="CD170" s="381">
        <f>_xlfn.IFNA(VLOOKUP(A170,'Actuals Summer'!$A:$AG,25,FALSE),0)</f>
        <v>0</v>
      </c>
      <c r="CE170" s="381">
        <f>_xlfn.IFNA(VLOOKUP(A170,'Actuals Summer'!$A:$AG,26,FALSE),0)</f>
        <v>0</v>
      </c>
      <c r="CF170" s="381">
        <f>_xlfn.IFNA(VLOOKUP(A170,'Actuals Summer'!$A:$AG,27,FALSE),0)</f>
        <v>0</v>
      </c>
      <c r="CG170" s="381">
        <f>_xlfn.IFNA(VLOOKUP(A170,'Actuals Dep Summer'!B:O,6,FALSE)*$BN$3,0)</f>
        <v>585</v>
      </c>
      <c r="CH170" s="381">
        <f>_xlfn.IFNA(VLOOKUP(A170,'Actuals Dep Summer'!B:O,7,FALSE)*$BN$3,0)</f>
        <v>2145</v>
      </c>
      <c r="CI170" s="381">
        <f>_xlfn.IFNA(VLOOKUP(A170,'Actuals Dep Summer'!B:O,8,FALSE)*$BN$3,0)</f>
        <v>975</v>
      </c>
      <c r="CJ170" s="381">
        <f>_xlfn.IFNA(VLOOKUP(A170,'Actuals Summer'!$A:$AG,31,FALSE),0)*$BN$3</f>
        <v>155.91417568311024</v>
      </c>
      <c r="CK170" s="381"/>
      <c r="CL170" s="381">
        <f>_xlfn.IFNA(VLOOKUP(A170,'Actuals Summer'!$A:$AG,32,FALSE),0)*$BN$3</f>
        <v>32955</v>
      </c>
      <c r="CM170" s="381">
        <f>_xlfn.IFNA(VLOOKUP(A170,'Actuals Summer'!$A:$AG,33,FALSE),0)</f>
        <v>0</v>
      </c>
      <c r="CP170" s="458">
        <f t="shared" si="77"/>
        <v>0</v>
      </c>
      <c r="CQ170" s="458">
        <f t="shared" si="78"/>
        <v>0</v>
      </c>
      <c r="CR170" s="458">
        <f t="shared" si="90"/>
        <v>0</v>
      </c>
      <c r="CS170" s="458">
        <f t="shared" si="79"/>
        <v>26488.799999999999</v>
      </c>
      <c r="CT170" s="458">
        <f t="shared" si="80"/>
        <v>1471.6000000000001</v>
      </c>
      <c r="CU170" s="458">
        <f t="shared" si="81"/>
        <v>436.15</v>
      </c>
      <c r="CV170" s="458">
        <f t="shared" si="82"/>
        <v>659.75</v>
      </c>
      <c r="CW170" s="458">
        <f t="shared" si="83"/>
        <v>78</v>
      </c>
      <c r="CX170" s="458">
        <f t="shared" si="84"/>
        <v>2535</v>
      </c>
      <c r="CY170" s="458">
        <f t="shared" si="85"/>
        <v>894.9473684210526</v>
      </c>
      <c r="CZ170" s="458">
        <f t="shared" si="86"/>
        <v>0</v>
      </c>
      <c r="DA170" s="458">
        <f t="shared" si="87"/>
        <v>0</v>
      </c>
      <c r="DB170" s="458">
        <f t="shared" si="88"/>
        <v>32564.247368421053</v>
      </c>
      <c r="DC170" s="452">
        <f>_xlfn.XLOOKUP($A170,'Actuals Summer'!$A:$A,'Actuals Summer'!L:L,0,0)</f>
        <v>0</v>
      </c>
      <c r="DD170" s="452">
        <f>_xlfn.XLOOKUP($A170,'Actuals Summer'!$A:$A,'Actuals Summer'!K:K,0,0)+_xlfn.XLOOKUP($A170,'Actuals Summer'!$A:$A,'Actuals Summer'!Q:Q,0,0)</f>
        <v>0</v>
      </c>
      <c r="DE170" s="452">
        <f>_xlfn.XLOOKUP($A170,'Actuals Summer'!$A:$A,'Actuals Summer'!I:I,0,0)+_xlfn.XLOOKUP($A170,'Actuals Summer'!$A:$A,'Actuals Summer'!R:R,0,0)</f>
        <v>26488.799999999999</v>
      </c>
      <c r="DF170" s="452">
        <f>_xlfn.XLOOKUP($A170,'Actuals Summer'!$A:$A,'Actuals Summer'!J:J,0,0)</f>
        <v>1471.6000000000001</v>
      </c>
      <c r="DG170" s="452">
        <f>_xlfn.XLOOKUP($A170,'Actuals Dep Summer'!$B:$B,'Actuals Dep Summer'!G:G,0,0)*'Actuals Dep Summer'!$F$2*'Actuals Dep Summer'!$C$2</f>
        <v>356.84999999999997</v>
      </c>
      <c r="DH170" s="452">
        <f>_xlfn.XLOOKUP($A170,'Actuals Dep Summer'!$B:$B,'Actuals Dep Summer'!H:H,0,0)*'Actuals Dep Summer'!$F$2*'Actuals Dep Summer'!$C$3</f>
        <v>622.04999999999995</v>
      </c>
      <c r="DI170" s="452">
        <f>_xlfn.XLOOKUP($A170,'Actuals Dep Summer'!$B:$B,'Actuals Dep Summer'!I:I,0,0)*'Actuals Dep Summer'!$F$2*'Actuals Dep Summer'!$C$4</f>
        <v>78</v>
      </c>
      <c r="DJ170" s="452">
        <f>_xlfn.XLOOKUP($A170,'Actuals Summer'!$A:$A,'Actuals Summer'!P:P,0,0)</f>
        <v>2535</v>
      </c>
      <c r="DK170" s="452">
        <f>_xlfn.XLOOKUP($A170,'Actuals Summer'!$A:$A,'Actuals Summer'!O:O,0,0)</f>
        <v>894.94736842105272</v>
      </c>
      <c r="DL170" s="452"/>
      <c r="DM170" s="452">
        <f>_xlfn.XLOOKUP($A170,'Actuals Summer'!$A:$A,'Actuals Summer'!M:M,0,0)</f>
        <v>0</v>
      </c>
      <c r="DN170" s="453">
        <f t="shared" si="91"/>
        <v>32447.247368421049</v>
      </c>
      <c r="DO170" s="453">
        <f>_xlfn.XLOOKUP(A170,'Actuals Summer'!A:A,'Actuals Summer'!S:S,0,0)-'Summer data team '!DN170</f>
        <v>0</v>
      </c>
      <c r="DP170" s="463">
        <f t="shared" si="92"/>
        <v>117.00000000000364</v>
      </c>
    </row>
    <row r="171" spans="1:120" ht="13" x14ac:dyDescent="0.3">
      <c r="A171" s="364">
        <v>3352</v>
      </c>
      <c r="B171" s="364">
        <v>3303352</v>
      </c>
      <c r="C171" s="364" t="s">
        <v>360</v>
      </c>
      <c r="D171" s="506">
        <v>0</v>
      </c>
      <c r="E171" s="506">
        <v>0</v>
      </c>
      <c r="F171" s="506">
        <v>0</v>
      </c>
      <c r="G171" s="506">
        <v>3</v>
      </c>
      <c r="H171" s="506">
        <v>4</v>
      </c>
      <c r="I171" s="507">
        <v>0</v>
      </c>
      <c r="J171" s="507">
        <v>7</v>
      </c>
      <c r="K171" s="506">
        <v>0</v>
      </c>
      <c r="L171" s="506">
        <v>0</v>
      </c>
      <c r="M171" s="507">
        <v>0</v>
      </c>
      <c r="N171" s="506">
        <v>0</v>
      </c>
      <c r="O171" s="506">
        <v>0</v>
      </c>
      <c r="P171" s="506">
        <v>45</v>
      </c>
      <c r="Q171" s="506">
        <v>60</v>
      </c>
      <c r="R171" s="507">
        <v>105</v>
      </c>
      <c r="S171" s="506">
        <v>0</v>
      </c>
      <c r="T171" s="506">
        <v>0</v>
      </c>
      <c r="U171" s="506">
        <v>0</v>
      </c>
      <c r="V171" s="506">
        <v>0</v>
      </c>
      <c r="W171" s="507">
        <v>0</v>
      </c>
      <c r="X171" s="506">
        <v>0</v>
      </c>
      <c r="Y171" s="506">
        <v>0</v>
      </c>
      <c r="Z171" s="508">
        <v>0</v>
      </c>
      <c r="AA171" s="506">
        <v>0</v>
      </c>
      <c r="AB171" s="506">
        <v>0</v>
      </c>
      <c r="AC171" s="508">
        <v>0</v>
      </c>
      <c r="AD171" s="506">
        <v>0</v>
      </c>
      <c r="AE171" s="506">
        <v>0</v>
      </c>
      <c r="AF171" s="508">
        <v>0</v>
      </c>
      <c r="AG171" s="509">
        <v>0</v>
      </c>
      <c r="AH171" s="509">
        <v>0</v>
      </c>
      <c r="AI171" s="508">
        <v>0</v>
      </c>
      <c r="AJ171" s="509">
        <v>0</v>
      </c>
      <c r="AK171" s="509">
        <v>0</v>
      </c>
      <c r="AL171" s="508">
        <v>0</v>
      </c>
      <c r="AM171" s="506">
        <v>0</v>
      </c>
      <c r="AN171" s="506">
        <v>0</v>
      </c>
      <c r="AO171" s="508">
        <v>0</v>
      </c>
      <c r="AP171" s="508"/>
      <c r="AQ171" s="508">
        <f t="shared" si="66"/>
        <v>0</v>
      </c>
      <c r="AR171" s="509">
        <v>0</v>
      </c>
      <c r="AS171" s="509">
        <v>0</v>
      </c>
      <c r="AT171" s="508">
        <v>0</v>
      </c>
      <c r="AU171" s="509">
        <v>0</v>
      </c>
      <c r="AV171" s="509">
        <v>0</v>
      </c>
      <c r="AW171" s="508">
        <v>0</v>
      </c>
      <c r="AX171" s="506">
        <v>0</v>
      </c>
      <c r="AY171" s="506">
        <v>0</v>
      </c>
      <c r="AZ171" s="508">
        <v>0</v>
      </c>
      <c r="BA171" s="508"/>
      <c r="BB171" s="508">
        <f t="shared" si="67"/>
        <v>0</v>
      </c>
      <c r="BC171" s="509">
        <v>0</v>
      </c>
      <c r="BD171" s="509">
        <v>0</v>
      </c>
      <c r="BE171" s="506">
        <v>0</v>
      </c>
      <c r="BF171" s="200"/>
      <c r="BG171" s="200"/>
      <c r="BH171" s="200"/>
      <c r="BI171" s="200"/>
      <c r="BJ171" s="200"/>
      <c r="BK171" s="200"/>
      <c r="BL171" s="200"/>
      <c r="BM171" s="505">
        <f t="shared" si="68"/>
        <v>0</v>
      </c>
      <c r="BN171" s="200">
        <f t="shared" si="69"/>
        <v>0</v>
      </c>
      <c r="BO171" s="200">
        <f t="shared" si="89"/>
        <v>0</v>
      </c>
      <c r="BP171" s="200">
        <f t="shared" si="70"/>
        <v>1365</v>
      </c>
      <c r="BQ171" s="200">
        <f t="shared" si="71"/>
        <v>0</v>
      </c>
      <c r="BR171" s="200">
        <f t="shared" si="72"/>
        <v>0</v>
      </c>
      <c r="BS171" s="200">
        <f t="shared" si="73"/>
        <v>0</v>
      </c>
      <c r="BT171" s="200">
        <f t="shared" si="74"/>
        <v>0</v>
      </c>
      <c r="BU171" s="200">
        <f t="shared" si="75"/>
        <v>0</v>
      </c>
      <c r="BV171" s="200">
        <v>0</v>
      </c>
      <c r="BW171" s="200">
        <v>0</v>
      </c>
      <c r="BX171" s="200">
        <f t="shared" si="76"/>
        <v>0</v>
      </c>
      <c r="CB171" s="381">
        <f>_xlfn.IFNA(VLOOKUP(A171,'Actuals Summer'!$A:$AG,23,FALSE),0)</f>
        <v>1365</v>
      </c>
      <c r="CC171" s="381">
        <f>_xlfn.IFNA(VLOOKUP(A171,'Actuals Summer'!$A:$AG,24,FALSE),0)</f>
        <v>0</v>
      </c>
      <c r="CD171" s="381">
        <f>_xlfn.IFNA(VLOOKUP(A171,'Actuals Summer'!$A:$AG,25,FALSE),0)</f>
        <v>0</v>
      </c>
      <c r="CE171" s="381">
        <f>_xlfn.IFNA(VLOOKUP(A171,'Actuals Summer'!$A:$AG,26,FALSE),0)</f>
        <v>0</v>
      </c>
      <c r="CF171" s="381">
        <f>_xlfn.IFNA(VLOOKUP(A171,'Actuals Summer'!$A:$AG,27,FALSE),0)</f>
        <v>0</v>
      </c>
      <c r="CG171" s="381">
        <f>_xlfn.IFNA(VLOOKUP(A171,'Actuals Dep Summer'!B:O,6,FALSE)*$BN$3,0)</f>
        <v>0</v>
      </c>
      <c r="CH171" s="381">
        <f>_xlfn.IFNA(VLOOKUP(A171,'Actuals Dep Summer'!B:O,7,FALSE)*$BN$3,0)</f>
        <v>0</v>
      </c>
      <c r="CI171" s="381">
        <f>_xlfn.IFNA(VLOOKUP(A171,'Actuals Dep Summer'!B:O,8,FALSE)*$BN$3,0)</f>
        <v>0</v>
      </c>
      <c r="CJ171" s="381">
        <f>_xlfn.IFNA(VLOOKUP(A171,'Actuals Summer'!$A:$AG,31,FALSE),0)*$BN$3</f>
        <v>0</v>
      </c>
      <c r="CK171" s="381"/>
      <c r="CL171" s="381">
        <f>_xlfn.IFNA(VLOOKUP(A171,'Actuals Summer'!$A:$AG,32,FALSE),0)*$BN$3</f>
        <v>0</v>
      </c>
      <c r="CM171" s="381">
        <f>_xlfn.IFNA(VLOOKUP(A171,'Actuals Summer'!$A:$AG,33,FALSE),0)</f>
        <v>0</v>
      </c>
      <c r="CP171" s="458">
        <f t="shared" si="77"/>
        <v>0</v>
      </c>
      <c r="CQ171" s="458">
        <f t="shared" si="78"/>
        <v>0</v>
      </c>
      <c r="CR171" s="458">
        <f t="shared" si="90"/>
        <v>0</v>
      </c>
      <c r="CS171" s="458">
        <f t="shared" si="79"/>
        <v>7725.9000000000005</v>
      </c>
      <c r="CT171" s="458">
        <f t="shared" si="80"/>
        <v>0</v>
      </c>
      <c r="CU171" s="458">
        <f t="shared" si="81"/>
        <v>0</v>
      </c>
      <c r="CV171" s="458">
        <f t="shared" si="82"/>
        <v>0</v>
      </c>
      <c r="CW171" s="458">
        <f t="shared" si="83"/>
        <v>0</v>
      </c>
      <c r="CX171" s="458">
        <f t="shared" si="84"/>
        <v>0</v>
      </c>
      <c r="CY171" s="458">
        <f t="shared" si="85"/>
        <v>0</v>
      </c>
      <c r="CZ171" s="458">
        <f t="shared" si="86"/>
        <v>0</v>
      </c>
      <c r="DA171" s="458">
        <f t="shared" si="87"/>
        <v>0</v>
      </c>
      <c r="DB171" s="458">
        <f t="shared" si="88"/>
        <v>7725.9000000000005</v>
      </c>
      <c r="DC171" s="452">
        <f>_xlfn.XLOOKUP($A171,'Actuals Summer'!$A:$A,'Actuals Summer'!L:L,0,0)</f>
        <v>0</v>
      </c>
      <c r="DD171" s="452">
        <f>_xlfn.XLOOKUP($A171,'Actuals Summer'!$A:$A,'Actuals Summer'!K:K,0,0)+_xlfn.XLOOKUP($A171,'Actuals Summer'!$A:$A,'Actuals Summer'!Q:Q,0,0)</f>
        <v>0</v>
      </c>
      <c r="DE171" s="452">
        <f>_xlfn.XLOOKUP($A171,'Actuals Summer'!$A:$A,'Actuals Summer'!I:I,0,0)+_xlfn.XLOOKUP($A171,'Actuals Summer'!$A:$A,'Actuals Summer'!R:R,0,0)</f>
        <v>7725.9000000000005</v>
      </c>
      <c r="DF171" s="452">
        <f>_xlfn.XLOOKUP($A171,'Actuals Summer'!$A:$A,'Actuals Summer'!J:J,0,0)</f>
        <v>0</v>
      </c>
      <c r="DG171" s="452">
        <f>_xlfn.XLOOKUP($A171,'Actuals Dep Summer'!$B:$B,'Actuals Dep Summer'!G:G,0,0)*'Actuals Dep Summer'!$F$2*'Actuals Dep Summer'!$C$2</f>
        <v>0</v>
      </c>
      <c r="DH171" s="452">
        <f>_xlfn.XLOOKUP($A171,'Actuals Dep Summer'!$B:$B,'Actuals Dep Summer'!H:H,0,0)*'Actuals Dep Summer'!$F$2*'Actuals Dep Summer'!$C$3</f>
        <v>0</v>
      </c>
      <c r="DI171" s="452">
        <f>_xlfn.XLOOKUP($A171,'Actuals Dep Summer'!$B:$B,'Actuals Dep Summer'!I:I,0,0)*'Actuals Dep Summer'!$F$2*'Actuals Dep Summer'!$C$4</f>
        <v>0</v>
      </c>
      <c r="DJ171" s="452">
        <f>_xlfn.XLOOKUP($A171,'Actuals Summer'!$A:$A,'Actuals Summer'!P:P,0,0)</f>
        <v>0</v>
      </c>
      <c r="DK171" s="452">
        <f>_xlfn.XLOOKUP($A171,'Actuals Summer'!$A:$A,'Actuals Summer'!O:O,0,0)</f>
        <v>0</v>
      </c>
      <c r="DL171" s="452"/>
      <c r="DM171" s="452">
        <f>_xlfn.XLOOKUP($A171,'Actuals Summer'!$A:$A,'Actuals Summer'!M:M,0,0)</f>
        <v>0</v>
      </c>
      <c r="DN171" s="453">
        <f t="shared" si="91"/>
        <v>7725.9000000000005</v>
      </c>
      <c r="DO171" s="453">
        <f>_xlfn.XLOOKUP(A171,'Actuals Summer'!A:A,'Actuals Summer'!S:S,0,0)-'Summer data team '!DN171</f>
        <v>0</v>
      </c>
      <c r="DP171" s="463">
        <f t="shared" si="92"/>
        <v>0</v>
      </c>
    </row>
    <row r="172" spans="1:120" ht="13" x14ac:dyDescent="0.3">
      <c r="A172" s="364">
        <v>3359</v>
      </c>
      <c r="B172" s="364">
        <v>3303359</v>
      </c>
      <c r="C172" s="364" t="s">
        <v>403</v>
      </c>
      <c r="D172" s="506">
        <v>0</v>
      </c>
      <c r="E172" s="506">
        <v>0</v>
      </c>
      <c r="F172" s="506">
        <v>0</v>
      </c>
      <c r="G172" s="506">
        <v>9</v>
      </c>
      <c r="H172" s="506">
        <v>9</v>
      </c>
      <c r="I172" s="507">
        <v>0</v>
      </c>
      <c r="J172" s="507">
        <v>18</v>
      </c>
      <c r="K172" s="506">
        <v>0</v>
      </c>
      <c r="L172" s="506">
        <v>0</v>
      </c>
      <c r="M172" s="507">
        <v>0</v>
      </c>
      <c r="N172" s="506">
        <v>0</v>
      </c>
      <c r="O172" s="506">
        <v>0</v>
      </c>
      <c r="P172" s="506">
        <v>135</v>
      </c>
      <c r="Q172" s="506">
        <v>135</v>
      </c>
      <c r="R172" s="507">
        <v>270</v>
      </c>
      <c r="S172" s="506">
        <v>0</v>
      </c>
      <c r="T172" s="506">
        <v>0</v>
      </c>
      <c r="U172" s="506">
        <v>0</v>
      </c>
      <c r="V172" s="506">
        <v>0</v>
      </c>
      <c r="W172" s="507">
        <v>0</v>
      </c>
      <c r="X172" s="506">
        <v>9</v>
      </c>
      <c r="Y172" s="506">
        <v>135</v>
      </c>
      <c r="Z172" s="508">
        <v>0</v>
      </c>
      <c r="AA172" s="506">
        <v>6</v>
      </c>
      <c r="AB172" s="506">
        <v>90</v>
      </c>
      <c r="AC172" s="508">
        <v>0</v>
      </c>
      <c r="AD172" s="506">
        <v>1</v>
      </c>
      <c r="AE172" s="506">
        <v>15</v>
      </c>
      <c r="AF172" s="508">
        <v>0</v>
      </c>
      <c r="AG172" s="509">
        <v>0</v>
      </c>
      <c r="AH172" s="509">
        <v>0</v>
      </c>
      <c r="AI172" s="508">
        <v>0</v>
      </c>
      <c r="AJ172" s="509">
        <v>0</v>
      </c>
      <c r="AK172" s="509">
        <v>0</v>
      </c>
      <c r="AL172" s="508">
        <v>0</v>
      </c>
      <c r="AM172" s="506">
        <v>0</v>
      </c>
      <c r="AN172" s="506">
        <v>0</v>
      </c>
      <c r="AO172" s="508">
        <v>0</v>
      </c>
      <c r="AP172" s="508"/>
      <c r="AQ172" s="508">
        <f t="shared" si="66"/>
        <v>0</v>
      </c>
      <c r="AR172" s="509">
        <v>0</v>
      </c>
      <c r="AS172" s="509">
        <v>0</v>
      </c>
      <c r="AT172" s="508">
        <v>0</v>
      </c>
      <c r="AU172" s="509">
        <v>0</v>
      </c>
      <c r="AV172" s="509">
        <v>0</v>
      </c>
      <c r="AW172" s="508">
        <v>0</v>
      </c>
      <c r="AX172" s="506">
        <v>0</v>
      </c>
      <c r="AY172" s="506">
        <v>0</v>
      </c>
      <c r="AZ172" s="508">
        <v>0</v>
      </c>
      <c r="BA172" s="508"/>
      <c r="BB172" s="508">
        <f t="shared" si="67"/>
        <v>0</v>
      </c>
      <c r="BC172" s="509">
        <v>0</v>
      </c>
      <c r="BD172" s="509">
        <v>0</v>
      </c>
      <c r="BE172" s="506">
        <v>0</v>
      </c>
      <c r="BF172" s="200"/>
      <c r="BG172" s="200"/>
      <c r="BH172" s="200"/>
      <c r="BI172" s="200"/>
      <c r="BJ172" s="200"/>
      <c r="BK172" s="200"/>
      <c r="BL172" s="200"/>
      <c r="BM172" s="505">
        <f t="shared" si="68"/>
        <v>0</v>
      </c>
      <c r="BN172" s="200">
        <f t="shared" si="69"/>
        <v>0</v>
      </c>
      <c r="BO172" s="200">
        <f t="shared" si="89"/>
        <v>0</v>
      </c>
      <c r="BP172" s="200">
        <f t="shared" si="70"/>
        <v>3510</v>
      </c>
      <c r="BQ172" s="200">
        <f t="shared" si="71"/>
        <v>0</v>
      </c>
      <c r="BR172" s="200">
        <f t="shared" si="72"/>
        <v>1755</v>
      </c>
      <c r="BS172" s="200">
        <f t="shared" si="73"/>
        <v>1170</v>
      </c>
      <c r="BT172" s="200">
        <f t="shared" si="74"/>
        <v>195</v>
      </c>
      <c r="BU172" s="200">
        <f t="shared" si="75"/>
        <v>0</v>
      </c>
      <c r="BV172" s="200">
        <v>0</v>
      </c>
      <c r="BW172" s="200">
        <v>0</v>
      </c>
      <c r="BX172" s="200">
        <f t="shared" si="76"/>
        <v>0</v>
      </c>
      <c r="CB172" s="381">
        <f>_xlfn.IFNA(VLOOKUP(A172,'Actuals Summer'!$A:$AG,23,FALSE),0)</f>
        <v>3510.0000000000005</v>
      </c>
      <c r="CC172" s="381">
        <f>_xlfn.IFNA(VLOOKUP(A172,'Actuals Summer'!$A:$AG,24,FALSE),0)</f>
        <v>0</v>
      </c>
      <c r="CD172" s="381">
        <f>_xlfn.IFNA(VLOOKUP(A172,'Actuals Summer'!$A:$AG,25,FALSE),0)</f>
        <v>0</v>
      </c>
      <c r="CE172" s="381">
        <f>_xlfn.IFNA(VLOOKUP(A172,'Actuals Summer'!$A:$AG,26,FALSE),0)</f>
        <v>0</v>
      </c>
      <c r="CF172" s="381">
        <f>_xlfn.IFNA(VLOOKUP(A172,'Actuals Summer'!$A:$AG,27,FALSE),0)</f>
        <v>0</v>
      </c>
      <c r="CG172" s="381">
        <f>_xlfn.IFNA(VLOOKUP(A172,'Actuals Dep Summer'!B:O,6,FALSE)*$BN$3,0)</f>
        <v>1755</v>
      </c>
      <c r="CH172" s="381">
        <f>_xlfn.IFNA(VLOOKUP(A172,'Actuals Dep Summer'!B:O,7,FALSE)*$BN$3,0)</f>
        <v>1170</v>
      </c>
      <c r="CI172" s="381">
        <f>_xlfn.IFNA(VLOOKUP(A172,'Actuals Dep Summer'!B:O,8,FALSE)*$BN$3,0)</f>
        <v>195</v>
      </c>
      <c r="CJ172" s="381">
        <f>_xlfn.IFNA(VLOOKUP(A172,'Actuals Summer'!$A:$AG,31,FALSE),0)*$BN$3</f>
        <v>0</v>
      </c>
      <c r="CK172" s="381"/>
      <c r="CL172" s="381">
        <f>_xlfn.IFNA(VLOOKUP(A172,'Actuals Summer'!$A:$AG,32,FALSE),0)*$BN$3</f>
        <v>0</v>
      </c>
      <c r="CM172" s="381">
        <f>_xlfn.IFNA(VLOOKUP(A172,'Actuals Summer'!$A:$AG,33,FALSE),0)</f>
        <v>0</v>
      </c>
      <c r="CP172" s="458">
        <f t="shared" si="77"/>
        <v>0</v>
      </c>
      <c r="CQ172" s="458">
        <f t="shared" si="78"/>
        <v>0</v>
      </c>
      <c r="CR172" s="458">
        <f t="shared" si="90"/>
        <v>0</v>
      </c>
      <c r="CS172" s="458">
        <f t="shared" si="79"/>
        <v>19866.600000000002</v>
      </c>
      <c r="CT172" s="458">
        <f t="shared" si="80"/>
        <v>0</v>
      </c>
      <c r="CU172" s="458">
        <f t="shared" si="81"/>
        <v>1070.55</v>
      </c>
      <c r="CV172" s="458">
        <f t="shared" si="82"/>
        <v>339.29999999999995</v>
      </c>
      <c r="CW172" s="458">
        <f t="shared" si="83"/>
        <v>15.6</v>
      </c>
      <c r="CX172" s="458">
        <f t="shared" si="84"/>
        <v>0</v>
      </c>
      <c r="CY172" s="458">
        <f t="shared" si="85"/>
        <v>0</v>
      </c>
      <c r="CZ172" s="458">
        <f t="shared" si="86"/>
        <v>0</v>
      </c>
      <c r="DA172" s="458">
        <f t="shared" si="87"/>
        <v>0</v>
      </c>
      <c r="DB172" s="458">
        <f t="shared" si="88"/>
        <v>21292.05</v>
      </c>
      <c r="DC172" s="452">
        <f>_xlfn.XLOOKUP($A172,'Actuals Summer'!$A:$A,'Actuals Summer'!L:L,0,0)</f>
        <v>0</v>
      </c>
      <c r="DD172" s="452">
        <f>_xlfn.XLOOKUP($A172,'Actuals Summer'!$A:$A,'Actuals Summer'!K:K,0,0)+_xlfn.XLOOKUP($A172,'Actuals Summer'!$A:$A,'Actuals Summer'!Q:Q,0,0)</f>
        <v>0</v>
      </c>
      <c r="DE172" s="452">
        <f>_xlfn.XLOOKUP($A172,'Actuals Summer'!$A:$A,'Actuals Summer'!I:I,0,0)+_xlfn.XLOOKUP($A172,'Actuals Summer'!$A:$A,'Actuals Summer'!R:R,0,0)</f>
        <v>19866.600000000002</v>
      </c>
      <c r="DF172" s="452">
        <f>_xlfn.XLOOKUP($A172,'Actuals Summer'!$A:$A,'Actuals Summer'!J:J,0,0)</f>
        <v>0</v>
      </c>
      <c r="DG172" s="452">
        <f>_xlfn.XLOOKUP($A172,'Actuals Dep Summer'!$B:$B,'Actuals Dep Summer'!G:G,0,0)*'Actuals Dep Summer'!$F$2*'Actuals Dep Summer'!$C$2</f>
        <v>1070.55</v>
      </c>
      <c r="DH172" s="452">
        <f>_xlfn.XLOOKUP($A172,'Actuals Dep Summer'!$B:$B,'Actuals Dep Summer'!H:H,0,0)*'Actuals Dep Summer'!$F$2*'Actuals Dep Summer'!$C$3</f>
        <v>339.29999999999995</v>
      </c>
      <c r="DI172" s="452">
        <f>_xlfn.XLOOKUP($A172,'Actuals Dep Summer'!$B:$B,'Actuals Dep Summer'!I:I,0,0)*'Actuals Dep Summer'!$F$2*'Actuals Dep Summer'!$C$4</f>
        <v>15.6</v>
      </c>
      <c r="DJ172" s="452">
        <f>_xlfn.XLOOKUP($A172,'Actuals Summer'!$A:$A,'Actuals Summer'!P:P,0,0)</f>
        <v>0</v>
      </c>
      <c r="DK172" s="452">
        <f>_xlfn.XLOOKUP($A172,'Actuals Summer'!$A:$A,'Actuals Summer'!O:O,0,0)</f>
        <v>0</v>
      </c>
      <c r="DL172" s="452"/>
      <c r="DM172" s="452">
        <f>_xlfn.XLOOKUP($A172,'Actuals Summer'!$A:$A,'Actuals Summer'!M:M,0,0)</f>
        <v>0</v>
      </c>
      <c r="DN172" s="453">
        <f t="shared" si="91"/>
        <v>21292.05</v>
      </c>
      <c r="DO172" s="453">
        <f>_xlfn.XLOOKUP(A172,'Actuals Summer'!A:A,'Actuals Summer'!S:S,0,0)-'Summer data team '!DN172</f>
        <v>0</v>
      </c>
      <c r="DP172" s="463">
        <f t="shared" si="92"/>
        <v>0</v>
      </c>
    </row>
    <row r="173" spans="1:120" ht="13" x14ac:dyDescent="0.3">
      <c r="A173" s="364">
        <v>3361</v>
      </c>
      <c r="B173" s="364">
        <v>3303361</v>
      </c>
      <c r="C173" s="364" t="s">
        <v>858</v>
      </c>
      <c r="D173" s="506">
        <v>0</v>
      </c>
      <c r="E173" s="506">
        <v>0</v>
      </c>
      <c r="F173" s="506">
        <v>0</v>
      </c>
      <c r="G173" s="506">
        <v>12</v>
      </c>
      <c r="H173" s="506">
        <v>8</v>
      </c>
      <c r="I173" s="507">
        <v>0</v>
      </c>
      <c r="J173" s="507">
        <v>20</v>
      </c>
      <c r="K173" s="506">
        <v>2</v>
      </c>
      <c r="L173" s="506">
        <v>3</v>
      </c>
      <c r="M173" s="507">
        <v>5</v>
      </c>
      <c r="N173" s="506">
        <v>0</v>
      </c>
      <c r="O173" s="506">
        <v>0</v>
      </c>
      <c r="P173" s="506">
        <v>180</v>
      </c>
      <c r="Q173" s="506">
        <v>120</v>
      </c>
      <c r="R173" s="507">
        <v>300</v>
      </c>
      <c r="S173" s="506">
        <v>0</v>
      </c>
      <c r="T173" s="506">
        <v>0</v>
      </c>
      <c r="U173" s="506">
        <v>30</v>
      </c>
      <c r="V173" s="506">
        <v>45</v>
      </c>
      <c r="W173" s="507">
        <v>75</v>
      </c>
      <c r="X173" s="506">
        <v>5</v>
      </c>
      <c r="Y173" s="506">
        <v>75</v>
      </c>
      <c r="Z173" s="508">
        <v>0</v>
      </c>
      <c r="AA173" s="506">
        <v>5</v>
      </c>
      <c r="AB173" s="506">
        <v>75</v>
      </c>
      <c r="AC173" s="508">
        <v>30</v>
      </c>
      <c r="AD173" s="506">
        <v>2</v>
      </c>
      <c r="AE173" s="506">
        <v>30</v>
      </c>
      <c r="AF173" s="508">
        <v>0</v>
      </c>
      <c r="AG173" s="509">
        <v>0</v>
      </c>
      <c r="AH173" s="509">
        <v>0</v>
      </c>
      <c r="AI173" s="508">
        <v>0</v>
      </c>
      <c r="AJ173" s="509">
        <v>10</v>
      </c>
      <c r="AK173" s="509">
        <v>150</v>
      </c>
      <c r="AL173" s="508">
        <v>0</v>
      </c>
      <c r="AM173" s="506">
        <v>10</v>
      </c>
      <c r="AN173" s="506">
        <v>150</v>
      </c>
      <c r="AO173" s="508">
        <v>0</v>
      </c>
      <c r="AP173" s="508"/>
      <c r="AQ173" s="508">
        <f t="shared" si="66"/>
        <v>10</v>
      </c>
      <c r="AR173" s="509">
        <v>0</v>
      </c>
      <c r="AS173" s="509">
        <v>0</v>
      </c>
      <c r="AT173" s="508">
        <v>0</v>
      </c>
      <c r="AU173" s="509">
        <v>10</v>
      </c>
      <c r="AV173" s="509">
        <v>150</v>
      </c>
      <c r="AW173" s="508">
        <v>0</v>
      </c>
      <c r="AX173" s="506">
        <v>10</v>
      </c>
      <c r="AY173" s="506">
        <v>150</v>
      </c>
      <c r="AZ173" s="508">
        <v>0</v>
      </c>
      <c r="BA173" s="508"/>
      <c r="BB173" s="508">
        <f t="shared" si="67"/>
        <v>20</v>
      </c>
      <c r="BC173" s="509">
        <v>0</v>
      </c>
      <c r="BD173" s="509">
        <v>0</v>
      </c>
      <c r="BE173" s="506">
        <v>0</v>
      </c>
      <c r="BF173" s="200"/>
      <c r="BG173" s="200"/>
      <c r="BH173" s="200"/>
      <c r="BI173" s="200"/>
      <c r="BJ173" s="200"/>
      <c r="BK173" s="200"/>
      <c r="BL173" s="200"/>
      <c r="BM173" s="505">
        <f t="shared" si="68"/>
        <v>0</v>
      </c>
      <c r="BN173" s="200">
        <f t="shared" si="69"/>
        <v>0</v>
      </c>
      <c r="BO173" s="200">
        <f t="shared" si="89"/>
        <v>0</v>
      </c>
      <c r="BP173" s="200">
        <f t="shared" si="70"/>
        <v>3900</v>
      </c>
      <c r="BQ173" s="200">
        <f t="shared" si="71"/>
        <v>975</v>
      </c>
      <c r="BR173" s="200">
        <f t="shared" si="72"/>
        <v>975</v>
      </c>
      <c r="BS173" s="200">
        <f t="shared" si="73"/>
        <v>1365</v>
      </c>
      <c r="BT173" s="200">
        <f t="shared" si="74"/>
        <v>390</v>
      </c>
      <c r="BU173" s="200">
        <f t="shared" si="75"/>
        <v>1950</v>
      </c>
      <c r="BV173" s="200">
        <v>10</v>
      </c>
      <c r="BW173" s="200">
        <v>0</v>
      </c>
      <c r="BX173" s="200">
        <f t="shared" si="76"/>
        <v>0</v>
      </c>
      <c r="CB173" s="381">
        <f>_xlfn.IFNA(VLOOKUP(A173,'Actuals Summer'!$A:$AG,23,FALSE),0)</f>
        <v>3900</v>
      </c>
      <c r="CC173" s="381">
        <f>_xlfn.IFNA(VLOOKUP(A173,'Actuals Summer'!$A:$AG,24,FALSE),0)</f>
        <v>975</v>
      </c>
      <c r="CD173" s="381">
        <f>_xlfn.IFNA(VLOOKUP(A173,'Actuals Summer'!$A:$AG,25,FALSE),0)</f>
        <v>0</v>
      </c>
      <c r="CE173" s="381">
        <f>_xlfn.IFNA(VLOOKUP(A173,'Actuals Summer'!$A:$AG,26,FALSE),0)</f>
        <v>0</v>
      </c>
      <c r="CF173" s="381">
        <f>_xlfn.IFNA(VLOOKUP(A173,'Actuals Summer'!$A:$AG,27,FALSE),0)</f>
        <v>0</v>
      </c>
      <c r="CG173" s="381">
        <f>_xlfn.IFNA(VLOOKUP(A173,'Actuals Dep Summer'!B:O,6,FALSE)*$BN$3,0)</f>
        <v>975</v>
      </c>
      <c r="CH173" s="381">
        <f>_xlfn.IFNA(VLOOKUP(A173,'Actuals Dep Summer'!B:O,7,FALSE)*$BN$3,0)</f>
        <v>975</v>
      </c>
      <c r="CI173" s="381">
        <f>_xlfn.IFNA(VLOOKUP(A173,'Actuals Dep Summer'!B:O,8,FALSE)*$BN$3,0)</f>
        <v>390</v>
      </c>
      <c r="CJ173" s="381">
        <f>_xlfn.IFNA(VLOOKUP(A173,'Actuals Summer'!$A:$AG,31,FALSE),0)*$BN$3</f>
        <v>129.92847973592515</v>
      </c>
      <c r="CK173" s="381"/>
      <c r="CL173" s="381">
        <f>_xlfn.IFNA(VLOOKUP(A173,'Actuals Summer'!$A:$AG,32,FALSE),0)*$BN$3</f>
        <v>25350</v>
      </c>
      <c r="CM173" s="381">
        <f>_xlfn.IFNA(VLOOKUP(A173,'Actuals Summer'!$A:$AG,33,FALSE),0)</f>
        <v>0</v>
      </c>
      <c r="CP173" s="458">
        <f t="shared" si="77"/>
        <v>0</v>
      </c>
      <c r="CQ173" s="458">
        <f t="shared" si="78"/>
        <v>0</v>
      </c>
      <c r="CR173" s="458">
        <f t="shared" si="90"/>
        <v>0</v>
      </c>
      <c r="CS173" s="458">
        <f t="shared" si="79"/>
        <v>22074</v>
      </c>
      <c r="CT173" s="458">
        <f t="shared" si="80"/>
        <v>5518.5</v>
      </c>
      <c r="CU173" s="458">
        <f t="shared" si="81"/>
        <v>594.75</v>
      </c>
      <c r="CV173" s="458">
        <f t="shared" si="82"/>
        <v>395.84999999999997</v>
      </c>
      <c r="CW173" s="458">
        <f t="shared" si="83"/>
        <v>31.2</v>
      </c>
      <c r="CX173" s="458">
        <f t="shared" si="84"/>
        <v>1950</v>
      </c>
      <c r="CY173" s="458">
        <f t="shared" si="85"/>
        <v>745.78947368421052</v>
      </c>
      <c r="CZ173" s="458">
        <f t="shared" si="86"/>
        <v>0</v>
      </c>
      <c r="DA173" s="458">
        <f t="shared" si="87"/>
        <v>0</v>
      </c>
      <c r="DB173" s="458">
        <f t="shared" si="88"/>
        <v>31310.089473684209</v>
      </c>
      <c r="DC173" s="452">
        <f>_xlfn.XLOOKUP($A173,'Actuals Summer'!$A:$A,'Actuals Summer'!L:L,0,0)</f>
        <v>0</v>
      </c>
      <c r="DD173" s="452">
        <f>_xlfn.XLOOKUP($A173,'Actuals Summer'!$A:$A,'Actuals Summer'!K:K,0,0)+_xlfn.XLOOKUP($A173,'Actuals Summer'!$A:$A,'Actuals Summer'!Q:Q,0,0)</f>
        <v>0</v>
      </c>
      <c r="DE173" s="452">
        <f>_xlfn.XLOOKUP($A173,'Actuals Summer'!$A:$A,'Actuals Summer'!I:I,0,0)+_xlfn.XLOOKUP($A173,'Actuals Summer'!$A:$A,'Actuals Summer'!R:R,0,0)</f>
        <v>22074</v>
      </c>
      <c r="DF173" s="452">
        <f>_xlfn.XLOOKUP($A173,'Actuals Summer'!$A:$A,'Actuals Summer'!J:J,0,0)</f>
        <v>5518.5</v>
      </c>
      <c r="DG173" s="452">
        <f>_xlfn.XLOOKUP($A173,'Actuals Dep Summer'!$B:$B,'Actuals Dep Summer'!G:G,0,0)*'Actuals Dep Summer'!$F$2*'Actuals Dep Summer'!$C$2</f>
        <v>594.75</v>
      </c>
      <c r="DH173" s="452">
        <f>_xlfn.XLOOKUP($A173,'Actuals Dep Summer'!$B:$B,'Actuals Dep Summer'!H:H,0,0)*'Actuals Dep Summer'!$F$2*'Actuals Dep Summer'!$C$3</f>
        <v>282.75</v>
      </c>
      <c r="DI173" s="452">
        <f>_xlfn.XLOOKUP($A173,'Actuals Dep Summer'!$B:$B,'Actuals Dep Summer'!I:I,0,0)*'Actuals Dep Summer'!$F$2*'Actuals Dep Summer'!$C$4</f>
        <v>31.2</v>
      </c>
      <c r="DJ173" s="452">
        <f>_xlfn.XLOOKUP($A173,'Actuals Summer'!$A:$A,'Actuals Summer'!P:P,0,0)</f>
        <v>1950</v>
      </c>
      <c r="DK173" s="452">
        <f>_xlfn.XLOOKUP($A173,'Actuals Summer'!$A:$A,'Actuals Summer'!O:O,0,0)</f>
        <v>745.78947368421052</v>
      </c>
      <c r="DL173" s="452"/>
      <c r="DM173" s="452">
        <f>_xlfn.XLOOKUP($A173,'Actuals Summer'!$A:$A,'Actuals Summer'!M:M,0,0)</f>
        <v>0</v>
      </c>
      <c r="DN173" s="453">
        <f t="shared" si="91"/>
        <v>31196.989473684211</v>
      </c>
      <c r="DO173" s="453">
        <f>_xlfn.XLOOKUP(A173,'Actuals Summer'!A:A,'Actuals Summer'!S:S,0,0)-'Summer data team '!DN173</f>
        <v>0</v>
      </c>
      <c r="DP173" s="463">
        <f t="shared" si="92"/>
        <v>113.09999999999854</v>
      </c>
    </row>
    <row r="174" spans="1:120" ht="13" x14ac:dyDescent="0.3">
      <c r="A174" s="364">
        <v>3363</v>
      </c>
      <c r="B174" s="364">
        <v>3303363</v>
      </c>
      <c r="C174" s="364" t="s">
        <v>362</v>
      </c>
      <c r="D174" s="506">
        <v>0</v>
      </c>
      <c r="E174" s="506">
        <v>0</v>
      </c>
      <c r="F174" s="506">
        <v>0</v>
      </c>
      <c r="G174" s="506">
        <v>11</v>
      </c>
      <c r="H174" s="506">
        <v>13</v>
      </c>
      <c r="I174" s="507">
        <v>0</v>
      </c>
      <c r="J174" s="507">
        <v>24</v>
      </c>
      <c r="K174" s="506">
        <v>0</v>
      </c>
      <c r="L174" s="506">
        <v>0</v>
      </c>
      <c r="M174" s="507">
        <v>0</v>
      </c>
      <c r="N174" s="506">
        <v>0</v>
      </c>
      <c r="O174" s="506">
        <v>0</v>
      </c>
      <c r="P174" s="506">
        <v>165</v>
      </c>
      <c r="Q174" s="506">
        <v>195</v>
      </c>
      <c r="R174" s="507">
        <v>360</v>
      </c>
      <c r="S174" s="506">
        <v>0</v>
      </c>
      <c r="T174" s="506">
        <v>0</v>
      </c>
      <c r="U174" s="506">
        <v>0</v>
      </c>
      <c r="V174" s="506">
        <v>0</v>
      </c>
      <c r="W174" s="507">
        <v>0</v>
      </c>
      <c r="X174" s="506">
        <v>3</v>
      </c>
      <c r="Y174" s="506">
        <v>45</v>
      </c>
      <c r="Z174" s="508">
        <v>0</v>
      </c>
      <c r="AA174" s="506">
        <v>0</v>
      </c>
      <c r="AB174" s="506">
        <v>0</v>
      </c>
      <c r="AC174" s="508">
        <v>0</v>
      </c>
      <c r="AD174" s="506">
        <v>3</v>
      </c>
      <c r="AE174" s="506">
        <v>45</v>
      </c>
      <c r="AF174" s="508">
        <v>0</v>
      </c>
      <c r="AG174" s="509">
        <v>0</v>
      </c>
      <c r="AH174" s="509">
        <v>0</v>
      </c>
      <c r="AI174" s="508">
        <v>0</v>
      </c>
      <c r="AJ174" s="509">
        <v>6</v>
      </c>
      <c r="AK174" s="509">
        <v>90</v>
      </c>
      <c r="AL174" s="508">
        <v>0</v>
      </c>
      <c r="AM174" s="506">
        <v>6</v>
      </c>
      <c r="AN174" s="506">
        <v>90</v>
      </c>
      <c r="AO174" s="508">
        <v>0</v>
      </c>
      <c r="AP174" s="508"/>
      <c r="AQ174" s="508">
        <f t="shared" si="66"/>
        <v>6</v>
      </c>
      <c r="AR174" s="509">
        <v>0</v>
      </c>
      <c r="AS174" s="509">
        <v>0</v>
      </c>
      <c r="AT174" s="508">
        <v>0</v>
      </c>
      <c r="AU174" s="509">
        <v>6</v>
      </c>
      <c r="AV174" s="509">
        <v>90</v>
      </c>
      <c r="AW174" s="508">
        <v>0</v>
      </c>
      <c r="AX174" s="506">
        <v>6</v>
      </c>
      <c r="AY174" s="506">
        <v>90</v>
      </c>
      <c r="AZ174" s="508">
        <v>0</v>
      </c>
      <c r="BA174" s="508"/>
      <c r="BB174" s="508">
        <f t="shared" si="67"/>
        <v>12</v>
      </c>
      <c r="BC174" s="509">
        <v>0</v>
      </c>
      <c r="BD174" s="509">
        <v>0</v>
      </c>
      <c r="BE174" s="506">
        <v>0</v>
      </c>
      <c r="BF174" s="200"/>
      <c r="BG174" s="200"/>
      <c r="BH174" s="200"/>
      <c r="BI174" s="200"/>
      <c r="BJ174" s="200"/>
      <c r="BK174" s="200"/>
      <c r="BL174" s="200"/>
      <c r="BM174" s="505">
        <f t="shared" si="68"/>
        <v>0</v>
      </c>
      <c r="BN174" s="200">
        <f t="shared" si="69"/>
        <v>0</v>
      </c>
      <c r="BO174" s="200">
        <f t="shared" si="89"/>
        <v>0</v>
      </c>
      <c r="BP174" s="200">
        <f t="shared" si="70"/>
        <v>4680</v>
      </c>
      <c r="BQ174" s="200">
        <f t="shared" si="71"/>
        <v>0</v>
      </c>
      <c r="BR174" s="200">
        <f t="shared" si="72"/>
        <v>585</v>
      </c>
      <c r="BS174" s="200">
        <f t="shared" si="73"/>
        <v>0</v>
      </c>
      <c r="BT174" s="200">
        <f t="shared" si="74"/>
        <v>585</v>
      </c>
      <c r="BU174" s="200">
        <f t="shared" si="75"/>
        <v>1170</v>
      </c>
      <c r="BV174" s="200">
        <v>6</v>
      </c>
      <c r="BW174" s="200">
        <v>0</v>
      </c>
      <c r="BX174" s="200">
        <f t="shared" si="76"/>
        <v>0</v>
      </c>
      <c r="CB174" s="381">
        <f>_xlfn.IFNA(VLOOKUP(A174,'Actuals Summer'!$A:$AG,23,FALSE),0)</f>
        <v>4680</v>
      </c>
      <c r="CC174" s="381">
        <f>_xlfn.IFNA(VLOOKUP(A174,'Actuals Summer'!$A:$AG,24,FALSE),0)</f>
        <v>0</v>
      </c>
      <c r="CD174" s="381">
        <f>_xlfn.IFNA(VLOOKUP(A174,'Actuals Summer'!$A:$AG,25,FALSE),0)</f>
        <v>0</v>
      </c>
      <c r="CE174" s="381">
        <f>_xlfn.IFNA(VLOOKUP(A174,'Actuals Summer'!$A:$AG,26,FALSE),0)</f>
        <v>0</v>
      </c>
      <c r="CF174" s="381">
        <f>_xlfn.IFNA(VLOOKUP(A174,'Actuals Summer'!$A:$AG,27,FALSE),0)</f>
        <v>0</v>
      </c>
      <c r="CG174" s="381">
        <f>_xlfn.IFNA(VLOOKUP(A174,'Actuals Dep Summer'!B:O,6,FALSE)*$BN$3,0)</f>
        <v>585</v>
      </c>
      <c r="CH174" s="381">
        <f>_xlfn.IFNA(VLOOKUP(A174,'Actuals Dep Summer'!B:O,7,FALSE)*$BN$3,0)</f>
        <v>0</v>
      </c>
      <c r="CI174" s="381">
        <f>_xlfn.IFNA(VLOOKUP(A174,'Actuals Dep Summer'!B:O,8,FALSE)*$BN$3,0)</f>
        <v>585</v>
      </c>
      <c r="CJ174" s="381">
        <f>_xlfn.IFNA(VLOOKUP(A174,'Actuals Summer'!$A:$AG,31,FALSE),0)*$BN$3</f>
        <v>77.957087841555122</v>
      </c>
      <c r="CK174" s="381"/>
      <c r="CL174" s="381">
        <f>_xlfn.IFNA(VLOOKUP(A174,'Actuals Summer'!$A:$AG,32,FALSE),0)*$BN$3</f>
        <v>15210</v>
      </c>
      <c r="CM174" s="381">
        <f>_xlfn.IFNA(VLOOKUP(A174,'Actuals Summer'!$A:$AG,33,FALSE),0)</f>
        <v>0</v>
      </c>
      <c r="CP174" s="458">
        <f t="shared" si="77"/>
        <v>0</v>
      </c>
      <c r="CQ174" s="458">
        <f t="shared" si="78"/>
        <v>0</v>
      </c>
      <c r="CR174" s="458">
        <f t="shared" si="90"/>
        <v>0</v>
      </c>
      <c r="CS174" s="458">
        <f t="shared" si="79"/>
        <v>26488.799999999999</v>
      </c>
      <c r="CT174" s="458">
        <f t="shared" si="80"/>
        <v>0</v>
      </c>
      <c r="CU174" s="458">
        <f t="shared" si="81"/>
        <v>356.84999999999997</v>
      </c>
      <c r="CV174" s="458">
        <f t="shared" si="82"/>
        <v>0</v>
      </c>
      <c r="CW174" s="458">
        <f t="shared" si="83"/>
        <v>46.800000000000004</v>
      </c>
      <c r="CX174" s="458">
        <f t="shared" si="84"/>
        <v>1170</v>
      </c>
      <c r="CY174" s="458">
        <f t="shared" si="85"/>
        <v>447.4736842105263</v>
      </c>
      <c r="CZ174" s="458">
        <f t="shared" si="86"/>
        <v>0</v>
      </c>
      <c r="DA174" s="458">
        <f t="shared" si="87"/>
        <v>0</v>
      </c>
      <c r="DB174" s="458">
        <f t="shared" si="88"/>
        <v>28509.923684210524</v>
      </c>
      <c r="DC174" s="452">
        <f>_xlfn.XLOOKUP($A174,'Actuals Summer'!$A:$A,'Actuals Summer'!L:L,0,0)</f>
        <v>0</v>
      </c>
      <c r="DD174" s="452">
        <f>_xlfn.XLOOKUP($A174,'Actuals Summer'!$A:$A,'Actuals Summer'!K:K,0,0)+_xlfn.XLOOKUP($A174,'Actuals Summer'!$A:$A,'Actuals Summer'!Q:Q,0,0)</f>
        <v>0</v>
      </c>
      <c r="DE174" s="452">
        <f>_xlfn.XLOOKUP($A174,'Actuals Summer'!$A:$A,'Actuals Summer'!I:I,0,0)+_xlfn.XLOOKUP($A174,'Actuals Summer'!$A:$A,'Actuals Summer'!R:R,0,0)</f>
        <v>26488.799999999999</v>
      </c>
      <c r="DF174" s="452">
        <f>_xlfn.XLOOKUP($A174,'Actuals Summer'!$A:$A,'Actuals Summer'!J:J,0,0)</f>
        <v>0</v>
      </c>
      <c r="DG174" s="452">
        <f>_xlfn.XLOOKUP($A174,'Actuals Dep Summer'!$B:$B,'Actuals Dep Summer'!G:G,0,0)*'Actuals Dep Summer'!$F$2*'Actuals Dep Summer'!$C$2</f>
        <v>356.84999999999997</v>
      </c>
      <c r="DH174" s="452">
        <f>_xlfn.XLOOKUP($A174,'Actuals Dep Summer'!$B:$B,'Actuals Dep Summer'!H:H,0,0)*'Actuals Dep Summer'!$F$2*'Actuals Dep Summer'!$C$3</f>
        <v>0</v>
      </c>
      <c r="DI174" s="452">
        <f>_xlfn.XLOOKUP($A174,'Actuals Dep Summer'!$B:$B,'Actuals Dep Summer'!I:I,0,0)*'Actuals Dep Summer'!$F$2*'Actuals Dep Summer'!$C$4</f>
        <v>46.800000000000004</v>
      </c>
      <c r="DJ174" s="452">
        <f>_xlfn.XLOOKUP($A174,'Actuals Summer'!$A:$A,'Actuals Summer'!P:P,0,0)</f>
        <v>1170</v>
      </c>
      <c r="DK174" s="452">
        <f>_xlfn.XLOOKUP($A174,'Actuals Summer'!$A:$A,'Actuals Summer'!O:O,0,0)</f>
        <v>447.47368421052636</v>
      </c>
      <c r="DL174" s="452"/>
      <c r="DM174" s="452">
        <f>_xlfn.XLOOKUP($A174,'Actuals Summer'!$A:$A,'Actuals Summer'!M:M,0,0)</f>
        <v>0</v>
      </c>
      <c r="DN174" s="453">
        <f t="shared" si="91"/>
        <v>28509.923684210524</v>
      </c>
      <c r="DO174" s="453">
        <f>_xlfn.XLOOKUP(A174,'Actuals Summer'!A:A,'Actuals Summer'!S:S,0,0)-'Summer data team '!DN174</f>
        <v>0</v>
      </c>
      <c r="DP174" s="463">
        <f t="shared" si="92"/>
        <v>0</v>
      </c>
    </row>
    <row r="175" spans="1:120" ht="13" x14ac:dyDescent="0.3">
      <c r="A175" s="364">
        <v>3366</v>
      </c>
      <c r="B175" s="364">
        <v>3303366</v>
      </c>
      <c r="C175" s="364" t="s">
        <v>363</v>
      </c>
      <c r="D175" s="506">
        <v>0</v>
      </c>
      <c r="E175" s="506">
        <v>0</v>
      </c>
      <c r="F175" s="506">
        <v>0</v>
      </c>
      <c r="G175" s="506">
        <v>6</v>
      </c>
      <c r="H175" s="506">
        <v>4</v>
      </c>
      <c r="I175" s="507">
        <v>0</v>
      </c>
      <c r="J175" s="507">
        <v>10</v>
      </c>
      <c r="K175" s="506">
        <v>0</v>
      </c>
      <c r="L175" s="506">
        <v>0</v>
      </c>
      <c r="M175" s="507">
        <v>0</v>
      </c>
      <c r="N175" s="506">
        <v>0</v>
      </c>
      <c r="O175" s="506">
        <v>0</v>
      </c>
      <c r="P175" s="506">
        <v>90</v>
      </c>
      <c r="Q175" s="506">
        <v>60</v>
      </c>
      <c r="R175" s="507">
        <v>150</v>
      </c>
      <c r="S175" s="506">
        <v>0</v>
      </c>
      <c r="T175" s="506">
        <v>0</v>
      </c>
      <c r="U175" s="506">
        <v>0</v>
      </c>
      <c r="V175" s="506">
        <v>0</v>
      </c>
      <c r="W175" s="507">
        <v>0</v>
      </c>
      <c r="X175" s="506">
        <v>4</v>
      </c>
      <c r="Y175" s="506">
        <v>60</v>
      </c>
      <c r="Z175" s="508">
        <v>0</v>
      </c>
      <c r="AA175" s="506">
        <v>2</v>
      </c>
      <c r="AB175" s="506">
        <v>30</v>
      </c>
      <c r="AC175" s="508">
        <v>0</v>
      </c>
      <c r="AD175" s="506">
        <v>1</v>
      </c>
      <c r="AE175" s="506">
        <v>15</v>
      </c>
      <c r="AF175" s="508">
        <v>0</v>
      </c>
      <c r="AG175" s="509">
        <v>0</v>
      </c>
      <c r="AH175" s="509">
        <v>0</v>
      </c>
      <c r="AI175" s="508">
        <v>0</v>
      </c>
      <c r="AJ175" s="509">
        <v>6</v>
      </c>
      <c r="AK175" s="509">
        <v>90</v>
      </c>
      <c r="AL175" s="508">
        <v>0</v>
      </c>
      <c r="AM175" s="506">
        <v>6</v>
      </c>
      <c r="AN175" s="506">
        <v>90</v>
      </c>
      <c r="AO175" s="508">
        <v>0</v>
      </c>
      <c r="AP175" s="508"/>
      <c r="AQ175" s="508">
        <f t="shared" si="66"/>
        <v>6</v>
      </c>
      <c r="AR175" s="509">
        <v>0</v>
      </c>
      <c r="AS175" s="509">
        <v>0</v>
      </c>
      <c r="AT175" s="508">
        <v>0</v>
      </c>
      <c r="AU175" s="509">
        <v>6</v>
      </c>
      <c r="AV175" s="509">
        <v>90</v>
      </c>
      <c r="AW175" s="508">
        <v>0</v>
      </c>
      <c r="AX175" s="506">
        <v>6</v>
      </c>
      <c r="AY175" s="506">
        <v>90</v>
      </c>
      <c r="AZ175" s="508">
        <v>0</v>
      </c>
      <c r="BA175" s="508"/>
      <c r="BB175" s="508">
        <f t="shared" si="67"/>
        <v>12</v>
      </c>
      <c r="BC175" s="509">
        <v>0</v>
      </c>
      <c r="BD175" s="509">
        <v>0</v>
      </c>
      <c r="BE175" s="506">
        <v>0</v>
      </c>
      <c r="BF175" s="200"/>
      <c r="BG175" s="200"/>
      <c r="BH175" s="200"/>
      <c r="BI175" s="200"/>
      <c r="BJ175" s="200"/>
      <c r="BK175" s="200"/>
      <c r="BL175" s="200"/>
      <c r="BM175" s="505">
        <f t="shared" si="68"/>
        <v>0</v>
      </c>
      <c r="BN175" s="200">
        <f t="shared" si="69"/>
        <v>0</v>
      </c>
      <c r="BO175" s="200">
        <f t="shared" si="89"/>
        <v>0</v>
      </c>
      <c r="BP175" s="200">
        <f t="shared" si="70"/>
        <v>1950</v>
      </c>
      <c r="BQ175" s="200">
        <f t="shared" si="71"/>
        <v>0</v>
      </c>
      <c r="BR175" s="200">
        <f t="shared" si="72"/>
        <v>780</v>
      </c>
      <c r="BS175" s="200">
        <f t="shared" si="73"/>
        <v>390</v>
      </c>
      <c r="BT175" s="200">
        <f t="shared" si="74"/>
        <v>195</v>
      </c>
      <c r="BU175" s="200">
        <f t="shared" si="75"/>
        <v>1170</v>
      </c>
      <c r="BV175" s="200">
        <v>6</v>
      </c>
      <c r="BW175" s="200">
        <v>0</v>
      </c>
      <c r="BX175" s="200">
        <f t="shared" si="76"/>
        <v>0</v>
      </c>
      <c r="CB175" s="381">
        <f>_xlfn.IFNA(VLOOKUP(A175,'Actuals Summer'!$A:$AG,23,FALSE),0)</f>
        <v>1950</v>
      </c>
      <c r="CC175" s="381">
        <f>_xlfn.IFNA(VLOOKUP(A175,'Actuals Summer'!$A:$AG,24,FALSE),0)</f>
        <v>0</v>
      </c>
      <c r="CD175" s="381">
        <f>_xlfn.IFNA(VLOOKUP(A175,'Actuals Summer'!$A:$AG,25,FALSE),0)</f>
        <v>0</v>
      </c>
      <c r="CE175" s="381">
        <f>_xlfn.IFNA(VLOOKUP(A175,'Actuals Summer'!$A:$AG,26,FALSE),0)</f>
        <v>0</v>
      </c>
      <c r="CF175" s="381">
        <f>_xlfn.IFNA(VLOOKUP(A175,'Actuals Summer'!$A:$AG,27,FALSE),0)</f>
        <v>0</v>
      </c>
      <c r="CG175" s="381">
        <f>_xlfn.IFNA(VLOOKUP(A175,'Actuals Dep Summer'!B:O,6,FALSE)*$BN$3,0)</f>
        <v>780</v>
      </c>
      <c r="CH175" s="381">
        <f>_xlfn.IFNA(VLOOKUP(A175,'Actuals Dep Summer'!B:O,7,FALSE)*$BN$3,0)</f>
        <v>390</v>
      </c>
      <c r="CI175" s="381">
        <f>_xlfn.IFNA(VLOOKUP(A175,'Actuals Dep Summer'!B:O,8,FALSE)*$BN$3,0)</f>
        <v>195</v>
      </c>
      <c r="CJ175" s="381">
        <f>_xlfn.IFNA(VLOOKUP(A175,'Actuals Summer'!$A:$AG,31,FALSE),0)*$BN$3</f>
        <v>77.957087841555122</v>
      </c>
      <c r="CK175" s="381"/>
      <c r="CL175" s="381">
        <f>_xlfn.IFNA(VLOOKUP(A175,'Actuals Summer'!$A:$AG,32,FALSE),0)*$BN$3</f>
        <v>15210</v>
      </c>
      <c r="CM175" s="381">
        <f>_xlfn.IFNA(VLOOKUP(A175,'Actuals Summer'!$A:$AG,33,FALSE),0)</f>
        <v>0</v>
      </c>
      <c r="CP175" s="458">
        <f t="shared" si="77"/>
        <v>0</v>
      </c>
      <c r="CQ175" s="458">
        <f t="shared" si="78"/>
        <v>0</v>
      </c>
      <c r="CR175" s="458">
        <f t="shared" si="90"/>
        <v>0</v>
      </c>
      <c r="CS175" s="458">
        <f t="shared" si="79"/>
        <v>11037</v>
      </c>
      <c r="CT175" s="458">
        <f t="shared" si="80"/>
        <v>0</v>
      </c>
      <c r="CU175" s="458">
        <f t="shared" si="81"/>
        <v>475.8</v>
      </c>
      <c r="CV175" s="458">
        <f t="shared" si="82"/>
        <v>113.1</v>
      </c>
      <c r="CW175" s="458">
        <f t="shared" si="83"/>
        <v>15.6</v>
      </c>
      <c r="CX175" s="458">
        <f t="shared" si="84"/>
        <v>1170</v>
      </c>
      <c r="CY175" s="458">
        <f t="shared" si="85"/>
        <v>447.4736842105263</v>
      </c>
      <c r="CZ175" s="458">
        <f t="shared" si="86"/>
        <v>0</v>
      </c>
      <c r="DA175" s="458">
        <f t="shared" si="87"/>
        <v>0</v>
      </c>
      <c r="DB175" s="458">
        <f t="shared" si="88"/>
        <v>13258.973684210527</v>
      </c>
      <c r="DC175" s="452">
        <f>_xlfn.XLOOKUP($A175,'Actuals Summer'!$A:$A,'Actuals Summer'!L:L,0,0)</f>
        <v>0</v>
      </c>
      <c r="DD175" s="452">
        <f>_xlfn.XLOOKUP($A175,'Actuals Summer'!$A:$A,'Actuals Summer'!K:K,0,0)+_xlfn.XLOOKUP($A175,'Actuals Summer'!$A:$A,'Actuals Summer'!Q:Q,0,0)</f>
        <v>0</v>
      </c>
      <c r="DE175" s="452">
        <f>_xlfn.XLOOKUP($A175,'Actuals Summer'!$A:$A,'Actuals Summer'!I:I,0,0)+_xlfn.XLOOKUP($A175,'Actuals Summer'!$A:$A,'Actuals Summer'!R:R,0,0)</f>
        <v>11037</v>
      </c>
      <c r="DF175" s="452">
        <f>_xlfn.XLOOKUP($A175,'Actuals Summer'!$A:$A,'Actuals Summer'!J:J,0,0)</f>
        <v>0</v>
      </c>
      <c r="DG175" s="452">
        <f>_xlfn.XLOOKUP($A175,'Actuals Dep Summer'!$B:$B,'Actuals Dep Summer'!G:G,0,0)*'Actuals Dep Summer'!$F$2*'Actuals Dep Summer'!$C$2</f>
        <v>475.8</v>
      </c>
      <c r="DH175" s="452">
        <f>_xlfn.XLOOKUP($A175,'Actuals Dep Summer'!$B:$B,'Actuals Dep Summer'!H:H,0,0)*'Actuals Dep Summer'!$F$2*'Actuals Dep Summer'!$C$3</f>
        <v>113.1</v>
      </c>
      <c r="DI175" s="452">
        <f>_xlfn.XLOOKUP($A175,'Actuals Dep Summer'!$B:$B,'Actuals Dep Summer'!I:I,0,0)*'Actuals Dep Summer'!$F$2*'Actuals Dep Summer'!$C$4</f>
        <v>15.6</v>
      </c>
      <c r="DJ175" s="452">
        <f>_xlfn.XLOOKUP($A175,'Actuals Summer'!$A:$A,'Actuals Summer'!P:P,0,0)</f>
        <v>1170</v>
      </c>
      <c r="DK175" s="452">
        <f>_xlfn.XLOOKUP($A175,'Actuals Summer'!$A:$A,'Actuals Summer'!O:O,0,0)</f>
        <v>447.47368421052636</v>
      </c>
      <c r="DL175" s="452"/>
      <c r="DM175" s="452">
        <f>_xlfn.XLOOKUP($A175,'Actuals Summer'!$A:$A,'Actuals Summer'!M:M,0,0)</f>
        <v>0</v>
      </c>
      <c r="DN175" s="453">
        <f t="shared" si="91"/>
        <v>13258.973684210527</v>
      </c>
      <c r="DO175" s="453">
        <f>_xlfn.XLOOKUP(A175,'Actuals Summer'!A:A,'Actuals Summer'!S:S,0,0)-'Summer data team '!DN175</f>
        <v>0</v>
      </c>
      <c r="DP175" s="463">
        <f t="shared" si="92"/>
        <v>0</v>
      </c>
    </row>
    <row r="176" spans="1:120" ht="13" x14ac:dyDescent="0.3">
      <c r="A176" s="364">
        <v>3367</v>
      </c>
      <c r="B176" s="364">
        <v>3303367</v>
      </c>
      <c r="C176" s="364" t="s">
        <v>364</v>
      </c>
      <c r="D176" s="506">
        <v>0</v>
      </c>
      <c r="E176" s="506">
        <v>0</v>
      </c>
      <c r="F176" s="506">
        <v>0</v>
      </c>
      <c r="G176" s="506">
        <v>12</v>
      </c>
      <c r="H176" s="506">
        <v>14</v>
      </c>
      <c r="I176" s="507">
        <v>0</v>
      </c>
      <c r="J176" s="507">
        <v>26</v>
      </c>
      <c r="K176" s="506">
        <v>4</v>
      </c>
      <c r="L176" s="506">
        <v>5</v>
      </c>
      <c r="M176" s="507">
        <v>9</v>
      </c>
      <c r="N176" s="506">
        <v>0</v>
      </c>
      <c r="O176" s="506">
        <v>0</v>
      </c>
      <c r="P176" s="506">
        <v>180</v>
      </c>
      <c r="Q176" s="506">
        <v>210</v>
      </c>
      <c r="R176" s="507">
        <v>390</v>
      </c>
      <c r="S176" s="506">
        <v>0</v>
      </c>
      <c r="T176" s="506">
        <v>0</v>
      </c>
      <c r="U176" s="506">
        <v>60</v>
      </c>
      <c r="V176" s="506">
        <v>75</v>
      </c>
      <c r="W176" s="507">
        <v>135</v>
      </c>
      <c r="X176" s="506">
        <v>12</v>
      </c>
      <c r="Y176" s="506">
        <v>180</v>
      </c>
      <c r="Z176" s="508">
        <v>45</v>
      </c>
      <c r="AA176" s="506">
        <v>2</v>
      </c>
      <c r="AB176" s="506">
        <v>30</v>
      </c>
      <c r="AC176" s="508">
        <v>15</v>
      </c>
      <c r="AD176" s="506">
        <v>1</v>
      </c>
      <c r="AE176" s="506">
        <v>15</v>
      </c>
      <c r="AF176" s="508">
        <v>0</v>
      </c>
      <c r="AG176" s="509">
        <v>0</v>
      </c>
      <c r="AH176" s="509">
        <v>0</v>
      </c>
      <c r="AI176" s="508">
        <v>0</v>
      </c>
      <c r="AJ176" s="509">
        <v>7</v>
      </c>
      <c r="AK176" s="509">
        <v>105</v>
      </c>
      <c r="AL176" s="508">
        <v>0</v>
      </c>
      <c r="AM176" s="506">
        <v>7</v>
      </c>
      <c r="AN176" s="506">
        <v>105</v>
      </c>
      <c r="AO176" s="508">
        <v>0</v>
      </c>
      <c r="AP176" s="508"/>
      <c r="AQ176" s="508">
        <f t="shared" si="66"/>
        <v>7</v>
      </c>
      <c r="AR176" s="509">
        <v>0</v>
      </c>
      <c r="AS176" s="509">
        <v>0</v>
      </c>
      <c r="AT176" s="508">
        <v>0</v>
      </c>
      <c r="AU176" s="509">
        <v>7</v>
      </c>
      <c r="AV176" s="509">
        <v>105</v>
      </c>
      <c r="AW176" s="508">
        <v>0</v>
      </c>
      <c r="AX176" s="506">
        <v>7</v>
      </c>
      <c r="AY176" s="506">
        <v>105</v>
      </c>
      <c r="AZ176" s="508">
        <v>0</v>
      </c>
      <c r="BA176" s="508"/>
      <c r="BB176" s="508">
        <f t="shared" si="67"/>
        <v>14</v>
      </c>
      <c r="BC176" s="509">
        <v>0</v>
      </c>
      <c r="BD176" s="509">
        <v>0</v>
      </c>
      <c r="BE176" s="506">
        <v>0</v>
      </c>
      <c r="BF176" s="200"/>
      <c r="BG176" s="200"/>
      <c r="BH176" s="200"/>
      <c r="BI176" s="200"/>
      <c r="BJ176" s="200"/>
      <c r="BK176" s="200"/>
      <c r="BL176" s="200"/>
      <c r="BM176" s="505">
        <f t="shared" si="68"/>
        <v>0</v>
      </c>
      <c r="BN176" s="200">
        <f t="shared" si="69"/>
        <v>0</v>
      </c>
      <c r="BO176" s="200">
        <f t="shared" si="89"/>
        <v>0</v>
      </c>
      <c r="BP176" s="200">
        <f t="shared" si="70"/>
        <v>5070</v>
      </c>
      <c r="BQ176" s="200">
        <f t="shared" si="71"/>
        <v>1755</v>
      </c>
      <c r="BR176" s="200">
        <f t="shared" si="72"/>
        <v>2925</v>
      </c>
      <c r="BS176" s="200">
        <f t="shared" si="73"/>
        <v>585</v>
      </c>
      <c r="BT176" s="200">
        <f t="shared" si="74"/>
        <v>195</v>
      </c>
      <c r="BU176" s="200">
        <f t="shared" si="75"/>
        <v>1365</v>
      </c>
      <c r="BV176" s="200">
        <v>7</v>
      </c>
      <c r="BW176" s="200">
        <v>0</v>
      </c>
      <c r="BX176" s="200">
        <f t="shared" si="76"/>
        <v>0</v>
      </c>
      <c r="CB176" s="381">
        <f>_xlfn.IFNA(VLOOKUP(A176,'Actuals Summer'!$A:$AG,23,FALSE),0)</f>
        <v>5070</v>
      </c>
      <c r="CC176" s="381">
        <f>_xlfn.IFNA(VLOOKUP(A176,'Actuals Summer'!$A:$AG,24,FALSE),0)</f>
        <v>1755.0000000000002</v>
      </c>
      <c r="CD176" s="381">
        <f>_xlfn.IFNA(VLOOKUP(A176,'Actuals Summer'!$A:$AG,25,FALSE),0)</f>
        <v>0</v>
      </c>
      <c r="CE176" s="381">
        <f>_xlfn.IFNA(VLOOKUP(A176,'Actuals Summer'!$A:$AG,26,FALSE),0)</f>
        <v>0</v>
      </c>
      <c r="CF176" s="381">
        <f>_xlfn.IFNA(VLOOKUP(A176,'Actuals Summer'!$A:$AG,27,FALSE),0)</f>
        <v>0</v>
      </c>
      <c r="CG176" s="381">
        <f>_xlfn.IFNA(VLOOKUP(A176,'Actuals Dep Summer'!B:O,6,FALSE)*$BN$3,0)</f>
        <v>2340</v>
      </c>
      <c r="CH176" s="381">
        <f>_xlfn.IFNA(VLOOKUP(A176,'Actuals Dep Summer'!B:O,7,FALSE)*$BN$3,0)</f>
        <v>390</v>
      </c>
      <c r="CI176" s="381">
        <f>_xlfn.IFNA(VLOOKUP(A176,'Actuals Dep Summer'!B:O,8,FALSE)*$BN$3,0)</f>
        <v>195</v>
      </c>
      <c r="CJ176" s="381">
        <f>_xlfn.IFNA(VLOOKUP(A176,'Actuals Summer'!$A:$AG,31,FALSE),0)*$BN$3</f>
        <v>90.949935815147626</v>
      </c>
      <c r="CK176" s="381"/>
      <c r="CL176" s="381">
        <f>_xlfn.IFNA(VLOOKUP(A176,'Actuals Summer'!$A:$AG,32,FALSE),0)*$BN$3</f>
        <v>17745</v>
      </c>
      <c r="CM176" s="381">
        <f>_xlfn.IFNA(VLOOKUP(A176,'Actuals Summer'!$A:$AG,33,FALSE),0)</f>
        <v>0</v>
      </c>
      <c r="CP176" s="458">
        <f t="shared" si="77"/>
        <v>0</v>
      </c>
      <c r="CQ176" s="458">
        <f t="shared" si="78"/>
        <v>0</v>
      </c>
      <c r="CR176" s="458">
        <f t="shared" si="90"/>
        <v>0</v>
      </c>
      <c r="CS176" s="458">
        <f t="shared" si="79"/>
        <v>28696.2</v>
      </c>
      <c r="CT176" s="458">
        <f t="shared" si="80"/>
        <v>9933.3000000000011</v>
      </c>
      <c r="CU176" s="458">
        <f t="shared" si="81"/>
        <v>1784.25</v>
      </c>
      <c r="CV176" s="458">
        <f t="shared" si="82"/>
        <v>169.64999999999998</v>
      </c>
      <c r="CW176" s="458">
        <f t="shared" si="83"/>
        <v>15.6</v>
      </c>
      <c r="CX176" s="458">
        <f t="shared" si="84"/>
        <v>1365</v>
      </c>
      <c r="CY176" s="458">
        <f t="shared" si="85"/>
        <v>522.05263157894728</v>
      </c>
      <c r="CZ176" s="458">
        <f t="shared" si="86"/>
        <v>0</v>
      </c>
      <c r="DA176" s="458">
        <f t="shared" si="87"/>
        <v>0</v>
      </c>
      <c r="DB176" s="458">
        <f t="shared" si="88"/>
        <v>42486.052631578947</v>
      </c>
      <c r="DC176" s="452">
        <f>_xlfn.XLOOKUP($A176,'Actuals Summer'!$A:$A,'Actuals Summer'!L:L,0,0)</f>
        <v>0</v>
      </c>
      <c r="DD176" s="452">
        <f>_xlfn.XLOOKUP($A176,'Actuals Summer'!$A:$A,'Actuals Summer'!K:K,0,0)+_xlfn.XLOOKUP($A176,'Actuals Summer'!$A:$A,'Actuals Summer'!Q:Q,0,0)</f>
        <v>0</v>
      </c>
      <c r="DE176" s="452">
        <f>_xlfn.XLOOKUP($A176,'Actuals Summer'!$A:$A,'Actuals Summer'!I:I,0,0)+_xlfn.XLOOKUP($A176,'Actuals Summer'!$A:$A,'Actuals Summer'!R:R,0,0)</f>
        <v>28696.2</v>
      </c>
      <c r="DF176" s="452">
        <f>_xlfn.XLOOKUP($A176,'Actuals Summer'!$A:$A,'Actuals Summer'!J:J,0,0)</f>
        <v>9933.3000000000011</v>
      </c>
      <c r="DG176" s="452">
        <f>_xlfn.XLOOKUP($A176,'Actuals Dep Summer'!$B:$B,'Actuals Dep Summer'!G:G,0,0)*'Actuals Dep Summer'!$F$2*'Actuals Dep Summer'!$C$2</f>
        <v>1427.3999999999999</v>
      </c>
      <c r="DH176" s="452">
        <f>_xlfn.XLOOKUP($A176,'Actuals Dep Summer'!$B:$B,'Actuals Dep Summer'!H:H,0,0)*'Actuals Dep Summer'!$F$2*'Actuals Dep Summer'!$C$3</f>
        <v>113.1</v>
      </c>
      <c r="DI176" s="452">
        <f>_xlfn.XLOOKUP($A176,'Actuals Dep Summer'!$B:$B,'Actuals Dep Summer'!I:I,0,0)*'Actuals Dep Summer'!$F$2*'Actuals Dep Summer'!$C$4</f>
        <v>15.6</v>
      </c>
      <c r="DJ176" s="452">
        <f>_xlfn.XLOOKUP($A176,'Actuals Summer'!$A:$A,'Actuals Summer'!P:P,0,0)</f>
        <v>1365</v>
      </c>
      <c r="DK176" s="452">
        <f>_xlfn.XLOOKUP($A176,'Actuals Summer'!$A:$A,'Actuals Summer'!O:O,0,0)</f>
        <v>522.0526315789474</v>
      </c>
      <c r="DL176" s="452"/>
      <c r="DM176" s="452">
        <f>_xlfn.XLOOKUP($A176,'Actuals Summer'!$A:$A,'Actuals Summer'!M:M,0,0)</f>
        <v>0</v>
      </c>
      <c r="DN176" s="453">
        <f t="shared" si="91"/>
        <v>42072.652631578945</v>
      </c>
      <c r="DO176" s="453">
        <f>_xlfn.XLOOKUP(A176,'Actuals Summer'!A:A,'Actuals Summer'!S:S,0,0)-'Summer data team '!DN176</f>
        <v>0</v>
      </c>
      <c r="DP176" s="463">
        <f t="shared" si="92"/>
        <v>413.40000000000146</v>
      </c>
    </row>
    <row r="177" spans="1:120" ht="13" x14ac:dyDescent="0.3">
      <c r="A177" s="364">
        <v>3372</v>
      </c>
      <c r="B177" s="364">
        <v>3303372</v>
      </c>
      <c r="C177" s="364" t="s">
        <v>365</v>
      </c>
      <c r="D177" s="506">
        <v>0</v>
      </c>
      <c r="E177" s="506">
        <v>0</v>
      </c>
      <c r="F177" s="506">
        <v>0</v>
      </c>
      <c r="G177" s="506">
        <v>25</v>
      </c>
      <c r="H177" s="506">
        <v>28</v>
      </c>
      <c r="I177" s="507">
        <v>0</v>
      </c>
      <c r="J177" s="507">
        <v>53</v>
      </c>
      <c r="K177" s="506">
        <v>3</v>
      </c>
      <c r="L177" s="506">
        <v>1</v>
      </c>
      <c r="M177" s="507">
        <v>4</v>
      </c>
      <c r="N177" s="506">
        <v>0</v>
      </c>
      <c r="O177" s="506">
        <v>0</v>
      </c>
      <c r="P177" s="506">
        <v>375</v>
      </c>
      <c r="Q177" s="506">
        <v>420</v>
      </c>
      <c r="R177" s="507">
        <v>795</v>
      </c>
      <c r="S177" s="506">
        <v>0</v>
      </c>
      <c r="T177" s="506">
        <v>0</v>
      </c>
      <c r="U177" s="506">
        <v>45</v>
      </c>
      <c r="V177" s="506">
        <v>15</v>
      </c>
      <c r="W177" s="507">
        <v>60</v>
      </c>
      <c r="X177" s="506">
        <v>8</v>
      </c>
      <c r="Y177" s="506">
        <v>120</v>
      </c>
      <c r="Z177" s="508">
        <v>30</v>
      </c>
      <c r="AA177" s="506">
        <v>7</v>
      </c>
      <c r="AB177" s="506">
        <v>105</v>
      </c>
      <c r="AC177" s="508">
        <v>0</v>
      </c>
      <c r="AD177" s="506">
        <v>19</v>
      </c>
      <c r="AE177" s="506">
        <v>285</v>
      </c>
      <c r="AF177" s="508">
        <v>0</v>
      </c>
      <c r="AG177" s="509">
        <v>0</v>
      </c>
      <c r="AH177" s="509">
        <v>0</v>
      </c>
      <c r="AI177" s="508">
        <v>0</v>
      </c>
      <c r="AJ177" s="509">
        <v>19</v>
      </c>
      <c r="AK177" s="509">
        <v>285</v>
      </c>
      <c r="AL177" s="508">
        <v>15</v>
      </c>
      <c r="AM177" s="506">
        <v>19</v>
      </c>
      <c r="AN177" s="506">
        <v>285</v>
      </c>
      <c r="AO177" s="508">
        <v>15</v>
      </c>
      <c r="AP177" s="508"/>
      <c r="AQ177" s="508">
        <f t="shared" si="66"/>
        <v>19</v>
      </c>
      <c r="AR177" s="509">
        <v>0</v>
      </c>
      <c r="AS177" s="509">
        <v>0</v>
      </c>
      <c r="AT177" s="508">
        <v>0</v>
      </c>
      <c r="AU177" s="509">
        <v>19</v>
      </c>
      <c r="AV177" s="509">
        <v>285</v>
      </c>
      <c r="AW177" s="508">
        <v>15</v>
      </c>
      <c r="AX177" s="506">
        <v>19</v>
      </c>
      <c r="AY177" s="506">
        <v>285</v>
      </c>
      <c r="AZ177" s="508">
        <v>15</v>
      </c>
      <c r="BA177" s="508"/>
      <c r="BB177" s="508">
        <f t="shared" si="67"/>
        <v>38</v>
      </c>
      <c r="BC177" s="509">
        <v>0</v>
      </c>
      <c r="BD177" s="509">
        <v>0</v>
      </c>
      <c r="BE177" s="506">
        <v>0</v>
      </c>
      <c r="BF177" s="200"/>
      <c r="BG177" s="200"/>
      <c r="BH177" s="200"/>
      <c r="BI177" s="200"/>
      <c r="BJ177" s="200"/>
      <c r="BK177" s="200"/>
      <c r="BL177" s="200"/>
      <c r="BM177" s="505">
        <f t="shared" si="68"/>
        <v>0</v>
      </c>
      <c r="BN177" s="200">
        <f t="shared" si="69"/>
        <v>0</v>
      </c>
      <c r="BO177" s="200">
        <f t="shared" si="89"/>
        <v>0</v>
      </c>
      <c r="BP177" s="200">
        <f t="shared" si="70"/>
        <v>10335</v>
      </c>
      <c r="BQ177" s="200">
        <f t="shared" si="71"/>
        <v>780</v>
      </c>
      <c r="BR177" s="200">
        <f t="shared" si="72"/>
        <v>1950</v>
      </c>
      <c r="BS177" s="200">
        <f t="shared" si="73"/>
        <v>1365</v>
      </c>
      <c r="BT177" s="200">
        <f t="shared" si="74"/>
        <v>3705</v>
      </c>
      <c r="BU177" s="200">
        <f t="shared" si="75"/>
        <v>3705</v>
      </c>
      <c r="BV177" s="200">
        <v>18</v>
      </c>
      <c r="BW177" s="200">
        <v>1</v>
      </c>
      <c r="BX177" s="200">
        <f t="shared" si="76"/>
        <v>0</v>
      </c>
      <c r="CB177" s="381">
        <f>_xlfn.IFNA(VLOOKUP(A177,'Actuals Summer'!$A:$AG,23,FALSE),0)</f>
        <v>10335</v>
      </c>
      <c r="CC177" s="381">
        <f>_xlfn.IFNA(VLOOKUP(A177,'Actuals Summer'!$A:$AG,24,FALSE),0)</f>
        <v>780</v>
      </c>
      <c r="CD177" s="381">
        <f>_xlfn.IFNA(VLOOKUP(A177,'Actuals Summer'!$A:$AG,25,FALSE),0)</f>
        <v>0</v>
      </c>
      <c r="CE177" s="381">
        <f>_xlfn.IFNA(VLOOKUP(A177,'Actuals Summer'!$A:$AG,26,FALSE),0)</f>
        <v>0</v>
      </c>
      <c r="CF177" s="381">
        <f>_xlfn.IFNA(VLOOKUP(A177,'Actuals Summer'!$A:$AG,27,FALSE),0)</f>
        <v>0</v>
      </c>
      <c r="CG177" s="381">
        <f>_xlfn.IFNA(VLOOKUP(A177,'Actuals Dep Summer'!B:O,6,FALSE)*$BN$3,0)</f>
        <v>1560</v>
      </c>
      <c r="CH177" s="381">
        <f>_xlfn.IFNA(VLOOKUP(A177,'Actuals Dep Summer'!B:O,7,FALSE)*$BN$3,0)</f>
        <v>1365</v>
      </c>
      <c r="CI177" s="381">
        <f>_xlfn.IFNA(VLOOKUP(A177,'Actuals Dep Summer'!B:O,8,FALSE)*$BN$3,0)</f>
        <v>3705</v>
      </c>
      <c r="CJ177" s="381">
        <f>_xlfn.IFNA(VLOOKUP(A177,'Actuals Summer'!$A:$AG,31,FALSE),0)*$BN$3</f>
        <v>246.86411149825784</v>
      </c>
      <c r="CK177" s="381"/>
      <c r="CL177" s="381">
        <f>_xlfn.IFNA(VLOOKUP(A177,'Actuals Summer'!$A:$AG,32,FALSE),0)*$BN$3</f>
        <v>48165</v>
      </c>
      <c r="CM177" s="381">
        <f>_xlfn.IFNA(VLOOKUP(A177,'Actuals Summer'!$A:$AG,33,FALSE),0)</f>
        <v>0</v>
      </c>
      <c r="CP177" s="458">
        <f t="shared" si="77"/>
        <v>0</v>
      </c>
      <c r="CQ177" s="458">
        <f t="shared" si="78"/>
        <v>0</v>
      </c>
      <c r="CR177" s="458">
        <f t="shared" si="90"/>
        <v>0</v>
      </c>
      <c r="CS177" s="458">
        <f t="shared" si="79"/>
        <v>58496.1</v>
      </c>
      <c r="CT177" s="458">
        <f t="shared" si="80"/>
        <v>4414.8</v>
      </c>
      <c r="CU177" s="458">
        <f t="shared" si="81"/>
        <v>1189.5</v>
      </c>
      <c r="CV177" s="458">
        <f t="shared" si="82"/>
        <v>395.84999999999997</v>
      </c>
      <c r="CW177" s="458">
        <f t="shared" si="83"/>
        <v>296.40000000000003</v>
      </c>
      <c r="CX177" s="458">
        <f t="shared" si="84"/>
        <v>3705</v>
      </c>
      <c r="CY177" s="458">
        <f t="shared" si="85"/>
        <v>1342.421052631579</v>
      </c>
      <c r="CZ177" s="458">
        <f t="shared" si="86"/>
        <v>186.44736842105263</v>
      </c>
      <c r="DA177" s="458">
        <f t="shared" si="87"/>
        <v>0</v>
      </c>
      <c r="DB177" s="458">
        <f t="shared" si="88"/>
        <v>70026.51842105262</v>
      </c>
      <c r="DC177" s="452">
        <f>_xlfn.XLOOKUP($A177,'Actuals Summer'!$A:$A,'Actuals Summer'!L:L,0,0)</f>
        <v>0</v>
      </c>
      <c r="DD177" s="452">
        <f>_xlfn.XLOOKUP($A177,'Actuals Summer'!$A:$A,'Actuals Summer'!K:K,0,0)+_xlfn.XLOOKUP($A177,'Actuals Summer'!$A:$A,'Actuals Summer'!Q:Q,0,0)</f>
        <v>0</v>
      </c>
      <c r="DE177" s="452">
        <f>_xlfn.XLOOKUP($A177,'Actuals Summer'!$A:$A,'Actuals Summer'!I:I,0,0)+_xlfn.XLOOKUP($A177,'Actuals Summer'!$A:$A,'Actuals Summer'!R:R,0,0)</f>
        <v>58496.1</v>
      </c>
      <c r="DF177" s="452">
        <f>_xlfn.XLOOKUP($A177,'Actuals Summer'!$A:$A,'Actuals Summer'!J:J,0,0)</f>
        <v>4414.8</v>
      </c>
      <c r="DG177" s="452">
        <f>_xlfn.XLOOKUP($A177,'Actuals Dep Summer'!$B:$B,'Actuals Dep Summer'!G:G,0,0)*'Actuals Dep Summer'!$F$2*'Actuals Dep Summer'!$C$2</f>
        <v>951.6</v>
      </c>
      <c r="DH177" s="452">
        <f>_xlfn.XLOOKUP($A177,'Actuals Dep Summer'!$B:$B,'Actuals Dep Summer'!H:H,0,0)*'Actuals Dep Summer'!$F$2*'Actuals Dep Summer'!$C$3</f>
        <v>395.84999999999997</v>
      </c>
      <c r="DI177" s="452">
        <f>_xlfn.XLOOKUP($A177,'Actuals Dep Summer'!$B:$B,'Actuals Dep Summer'!I:I,0,0)*'Actuals Dep Summer'!$F$2*'Actuals Dep Summer'!$C$4</f>
        <v>296.40000000000003</v>
      </c>
      <c r="DJ177" s="452">
        <f>_xlfn.XLOOKUP($A177,'Actuals Summer'!$A:$A,'Actuals Summer'!P:P,0,0)</f>
        <v>3705</v>
      </c>
      <c r="DK177" s="452">
        <f>_xlfn.XLOOKUP($A177,'Actuals Summer'!$A:$A,'Actuals Summer'!O:O,0,0)</f>
        <v>1417</v>
      </c>
      <c r="DL177" s="452"/>
      <c r="DM177" s="452">
        <f>_xlfn.XLOOKUP($A177,'Actuals Summer'!$A:$A,'Actuals Summer'!M:M,0,0)</f>
        <v>0</v>
      </c>
      <c r="DN177" s="453">
        <f t="shared" si="91"/>
        <v>69676.75</v>
      </c>
      <c r="DO177" s="453">
        <f>_xlfn.XLOOKUP(A177,'Actuals Summer'!A:A,'Actuals Summer'!S:S,0,0)-'Summer data team '!DN177</f>
        <v>0</v>
      </c>
      <c r="DP177" s="463">
        <f t="shared" si="92"/>
        <v>349.7684210526204</v>
      </c>
    </row>
    <row r="178" spans="1:120" ht="13" x14ac:dyDescent="0.3">
      <c r="A178" s="364">
        <v>3377</v>
      </c>
      <c r="B178" s="364">
        <v>3303377</v>
      </c>
      <c r="C178" s="364" t="s">
        <v>366</v>
      </c>
      <c r="D178" s="506">
        <v>0</v>
      </c>
      <c r="E178" s="506">
        <v>0</v>
      </c>
      <c r="F178" s="506">
        <v>0</v>
      </c>
      <c r="G178" s="506">
        <v>11</v>
      </c>
      <c r="H178" s="506">
        <v>8</v>
      </c>
      <c r="I178" s="507">
        <v>0</v>
      </c>
      <c r="J178" s="507">
        <v>19</v>
      </c>
      <c r="K178" s="506">
        <v>0</v>
      </c>
      <c r="L178" s="506">
        <v>0</v>
      </c>
      <c r="M178" s="507">
        <v>0</v>
      </c>
      <c r="N178" s="506">
        <v>0</v>
      </c>
      <c r="O178" s="506">
        <v>0</v>
      </c>
      <c r="P178" s="506">
        <v>165</v>
      </c>
      <c r="Q178" s="506">
        <v>120</v>
      </c>
      <c r="R178" s="507">
        <v>285</v>
      </c>
      <c r="S178" s="506">
        <v>0</v>
      </c>
      <c r="T178" s="506">
        <v>0</v>
      </c>
      <c r="U178" s="506">
        <v>0</v>
      </c>
      <c r="V178" s="506">
        <v>0</v>
      </c>
      <c r="W178" s="507">
        <v>0</v>
      </c>
      <c r="X178" s="506">
        <v>14</v>
      </c>
      <c r="Y178" s="506">
        <v>210</v>
      </c>
      <c r="Z178" s="508">
        <v>0</v>
      </c>
      <c r="AA178" s="506">
        <v>3</v>
      </c>
      <c r="AB178" s="506">
        <v>45</v>
      </c>
      <c r="AC178" s="508">
        <v>0</v>
      </c>
      <c r="AD178" s="506">
        <v>0</v>
      </c>
      <c r="AE178" s="506">
        <v>0</v>
      </c>
      <c r="AF178" s="508">
        <v>0</v>
      </c>
      <c r="AG178" s="509">
        <v>0</v>
      </c>
      <c r="AH178" s="509">
        <v>0</v>
      </c>
      <c r="AI178" s="508">
        <v>0</v>
      </c>
      <c r="AJ178" s="509">
        <v>13</v>
      </c>
      <c r="AK178" s="509">
        <v>195</v>
      </c>
      <c r="AL178" s="508">
        <v>0</v>
      </c>
      <c r="AM178" s="506">
        <v>13</v>
      </c>
      <c r="AN178" s="506">
        <v>195</v>
      </c>
      <c r="AO178" s="508">
        <v>0</v>
      </c>
      <c r="AP178" s="508"/>
      <c r="AQ178" s="508">
        <f t="shared" si="66"/>
        <v>13</v>
      </c>
      <c r="AR178" s="509">
        <v>0</v>
      </c>
      <c r="AS178" s="509">
        <v>0</v>
      </c>
      <c r="AT178" s="508">
        <v>0</v>
      </c>
      <c r="AU178" s="509">
        <v>0</v>
      </c>
      <c r="AV178" s="509">
        <v>0</v>
      </c>
      <c r="AW178" s="508">
        <v>0</v>
      </c>
      <c r="AX178" s="506">
        <v>0</v>
      </c>
      <c r="AY178" s="506">
        <v>0</v>
      </c>
      <c r="AZ178" s="508">
        <v>0</v>
      </c>
      <c r="BA178" s="508"/>
      <c r="BB178" s="508">
        <f t="shared" si="67"/>
        <v>0</v>
      </c>
      <c r="BC178" s="509">
        <v>0</v>
      </c>
      <c r="BD178" s="509">
        <v>0</v>
      </c>
      <c r="BE178" s="506">
        <v>0</v>
      </c>
      <c r="BF178" s="200"/>
      <c r="BG178" s="200"/>
      <c r="BH178" s="200"/>
      <c r="BI178" s="200"/>
      <c r="BJ178" s="200"/>
      <c r="BK178" s="200"/>
      <c r="BL178" s="200"/>
      <c r="BM178" s="505">
        <f t="shared" si="68"/>
        <v>0</v>
      </c>
      <c r="BN178" s="200">
        <f t="shared" si="69"/>
        <v>0</v>
      </c>
      <c r="BO178" s="200">
        <f t="shared" si="89"/>
        <v>0</v>
      </c>
      <c r="BP178" s="200">
        <f t="shared" si="70"/>
        <v>3705</v>
      </c>
      <c r="BQ178" s="200">
        <f t="shared" si="71"/>
        <v>0</v>
      </c>
      <c r="BR178" s="200">
        <f t="shared" si="72"/>
        <v>2730</v>
      </c>
      <c r="BS178" s="200">
        <f t="shared" si="73"/>
        <v>585</v>
      </c>
      <c r="BT178" s="200">
        <f t="shared" si="74"/>
        <v>0</v>
      </c>
      <c r="BU178" s="200">
        <f t="shared" si="75"/>
        <v>2535</v>
      </c>
      <c r="BV178" s="200">
        <v>0</v>
      </c>
      <c r="BW178" s="200">
        <v>0</v>
      </c>
      <c r="BX178" s="200">
        <f t="shared" si="76"/>
        <v>0</v>
      </c>
      <c r="CB178" s="381">
        <f>_xlfn.IFNA(VLOOKUP(A178,'Actuals Summer'!$A:$AG,23,FALSE),0)</f>
        <v>3705</v>
      </c>
      <c r="CC178" s="381">
        <f>_xlfn.IFNA(VLOOKUP(A178,'Actuals Summer'!$A:$AG,24,FALSE),0)</f>
        <v>0</v>
      </c>
      <c r="CD178" s="381">
        <f>_xlfn.IFNA(VLOOKUP(A178,'Actuals Summer'!$A:$AG,25,FALSE),0)</f>
        <v>0</v>
      </c>
      <c r="CE178" s="381">
        <f>_xlfn.IFNA(VLOOKUP(A178,'Actuals Summer'!$A:$AG,26,FALSE),0)</f>
        <v>0</v>
      </c>
      <c r="CF178" s="381">
        <f>_xlfn.IFNA(VLOOKUP(A178,'Actuals Summer'!$A:$AG,27,FALSE),0)</f>
        <v>0</v>
      </c>
      <c r="CG178" s="381">
        <f>_xlfn.IFNA(VLOOKUP(A178,'Actuals Dep Summer'!B:O,6,FALSE)*$BN$3,0)</f>
        <v>2730</v>
      </c>
      <c r="CH178" s="381">
        <f>_xlfn.IFNA(VLOOKUP(A178,'Actuals Dep Summer'!B:O,7,FALSE)*$BN$3,0)</f>
        <v>585</v>
      </c>
      <c r="CI178" s="381">
        <f>_xlfn.IFNA(VLOOKUP(A178,'Actuals Dep Summer'!B:O,8,FALSE)*$BN$3,0)</f>
        <v>0</v>
      </c>
      <c r="CJ178" s="381">
        <f>_xlfn.IFNA(VLOOKUP(A178,'Actuals Summer'!$A:$AG,31,FALSE),0)*$BN$3</f>
        <v>0</v>
      </c>
      <c r="CK178" s="381"/>
      <c r="CL178" s="381">
        <f>_xlfn.IFNA(VLOOKUP(A178,'Actuals Summer'!$A:$AG,32,FALSE),0)*$BN$3</f>
        <v>32955</v>
      </c>
      <c r="CM178" s="381">
        <f>_xlfn.IFNA(VLOOKUP(A178,'Actuals Summer'!$A:$AG,33,FALSE),0)</f>
        <v>0</v>
      </c>
      <c r="CP178" s="458">
        <f t="shared" si="77"/>
        <v>0</v>
      </c>
      <c r="CQ178" s="458">
        <f t="shared" si="78"/>
        <v>0</v>
      </c>
      <c r="CR178" s="458">
        <f t="shared" si="90"/>
        <v>0</v>
      </c>
      <c r="CS178" s="458">
        <f t="shared" si="79"/>
        <v>20970.3</v>
      </c>
      <c r="CT178" s="458">
        <f t="shared" si="80"/>
        <v>0</v>
      </c>
      <c r="CU178" s="458">
        <f t="shared" si="81"/>
        <v>1665.3</v>
      </c>
      <c r="CV178" s="458">
        <f t="shared" si="82"/>
        <v>169.64999999999998</v>
      </c>
      <c r="CW178" s="458">
        <f t="shared" si="83"/>
        <v>0</v>
      </c>
      <c r="CX178" s="458">
        <f t="shared" si="84"/>
        <v>2535</v>
      </c>
      <c r="CY178" s="458">
        <f t="shared" si="85"/>
        <v>0</v>
      </c>
      <c r="CZ178" s="458">
        <f t="shared" si="86"/>
        <v>0</v>
      </c>
      <c r="DA178" s="458">
        <f t="shared" si="87"/>
        <v>0</v>
      </c>
      <c r="DB178" s="458">
        <f t="shared" si="88"/>
        <v>25340.25</v>
      </c>
      <c r="DC178" s="452">
        <f>_xlfn.XLOOKUP($A178,'Actuals Summer'!$A:$A,'Actuals Summer'!L:L,0,0)</f>
        <v>0</v>
      </c>
      <c r="DD178" s="452">
        <f>_xlfn.XLOOKUP($A178,'Actuals Summer'!$A:$A,'Actuals Summer'!K:K,0,0)+_xlfn.XLOOKUP($A178,'Actuals Summer'!$A:$A,'Actuals Summer'!Q:Q,0,0)</f>
        <v>0</v>
      </c>
      <c r="DE178" s="452">
        <f>_xlfn.XLOOKUP($A178,'Actuals Summer'!$A:$A,'Actuals Summer'!I:I,0,0)+_xlfn.XLOOKUP($A178,'Actuals Summer'!$A:$A,'Actuals Summer'!R:R,0,0)</f>
        <v>20970.3</v>
      </c>
      <c r="DF178" s="452">
        <f>_xlfn.XLOOKUP($A178,'Actuals Summer'!$A:$A,'Actuals Summer'!J:J,0,0)</f>
        <v>0</v>
      </c>
      <c r="DG178" s="452">
        <f>_xlfn.XLOOKUP($A178,'Actuals Dep Summer'!$B:$B,'Actuals Dep Summer'!G:G,0,0)*'Actuals Dep Summer'!$F$2*'Actuals Dep Summer'!$C$2</f>
        <v>1665.3</v>
      </c>
      <c r="DH178" s="452">
        <f>_xlfn.XLOOKUP($A178,'Actuals Dep Summer'!$B:$B,'Actuals Dep Summer'!H:H,0,0)*'Actuals Dep Summer'!$F$2*'Actuals Dep Summer'!$C$3</f>
        <v>169.64999999999998</v>
      </c>
      <c r="DI178" s="452">
        <f>_xlfn.XLOOKUP($A178,'Actuals Dep Summer'!$B:$B,'Actuals Dep Summer'!I:I,0,0)*'Actuals Dep Summer'!$F$2*'Actuals Dep Summer'!$C$4</f>
        <v>0</v>
      </c>
      <c r="DJ178" s="452">
        <f>_xlfn.XLOOKUP($A178,'Actuals Summer'!$A:$A,'Actuals Summer'!P:P,0,0)</f>
        <v>2535</v>
      </c>
      <c r="DK178" s="452">
        <f>_xlfn.XLOOKUP($A178,'Actuals Summer'!$A:$A,'Actuals Summer'!O:O,0,0)</f>
        <v>0</v>
      </c>
      <c r="DL178" s="452"/>
      <c r="DM178" s="452">
        <f>_xlfn.XLOOKUP($A178,'Actuals Summer'!$A:$A,'Actuals Summer'!M:M,0,0)</f>
        <v>0</v>
      </c>
      <c r="DN178" s="453">
        <f t="shared" si="91"/>
        <v>25340.25</v>
      </c>
      <c r="DO178" s="453">
        <f>_xlfn.XLOOKUP(A178,'Actuals Summer'!A:A,'Actuals Summer'!S:S,0,0)-'Summer data team '!DN178</f>
        <v>0</v>
      </c>
      <c r="DP178" s="463">
        <f t="shared" si="92"/>
        <v>0</v>
      </c>
    </row>
    <row r="179" spans="1:120" ht="13" x14ac:dyDescent="0.3">
      <c r="A179" s="364">
        <v>3386</v>
      </c>
      <c r="B179" s="364">
        <v>3303386</v>
      </c>
      <c r="C179" s="364" t="s">
        <v>859</v>
      </c>
      <c r="D179" s="506">
        <v>0</v>
      </c>
      <c r="E179" s="506">
        <v>0</v>
      </c>
      <c r="F179" s="506">
        <v>0</v>
      </c>
      <c r="G179" s="506">
        <v>14</v>
      </c>
      <c r="H179" s="506">
        <v>18</v>
      </c>
      <c r="I179" s="507">
        <v>0</v>
      </c>
      <c r="J179" s="507">
        <v>32</v>
      </c>
      <c r="K179" s="506">
        <v>3</v>
      </c>
      <c r="L179" s="506">
        <v>6</v>
      </c>
      <c r="M179" s="507">
        <v>9</v>
      </c>
      <c r="N179" s="506">
        <v>0</v>
      </c>
      <c r="O179" s="506">
        <v>0</v>
      </c>
      <c r="P179" s="506">
        <v>210</v>
      </c>
      <c r="Q179" s="506">
        <v>270</v>
      </c>
      <c r="R179" s="507">
        <v>480</v>
      </c>
      <c r="S179" s="506">
        <v>0</v>
      </c>
      <c r="T179" s="506">
        <v>0</v>
      </c>
      <c r="U179" s="506">
        <v>45</v>
      </c>
      <c r="V179" s="506">
        <v>90</v>
      </c>
      <c r="W179" s="507">
        <v>135</v>
      </c>
      <c r="X179" s="506">
        <v>2</v>
      </c>
      <c r="Y179" s="506">
        <v>30</v>
      </c>
      <c r="Z179" s="508">
        <v>15</v>
      </c>
      <c r="AA179" s="506">
        <v>18</v>
      </c>
      <c r="AB179" s="506">
        <v>270</v>
      </c>
      <c r="AC179" s="508">
        <v>15</v>
      </c>
      <c r="AD179" s="506">
        <v>4</v>
      </c>
      <c r="AE179" s="506">
        <v>60</v>
      </c>
      <c r="AF179" s="508">
        <v>30</v>
      </c>
      <c r="AG179" s="509">
        <v>0</v>
      </c>
      <c r="AH179" s="509">
        <v>0</v>
      </c>
      <c r="AI179" s="508">
        <v>0</v>
      </c>
      <c r="AJ179" s="509">
        <v>16</v>
      </c>
      <c r="AK179" s="509">
        <v>240</v>
      </c>
      <c r="AL179" s="508">
        <v>30</v>
      </c>
      <c r="AM179" s="506">
        <v>16</v>
      </c>
      <c r="AN179" s="506">
        <v>240</v>
      </c>
      <c r="AO179" s="508">
        <v>30</v>
      </c>
      <c r="AP179" s="508"/>
      <c r="AQ179" s="508">
        <f t="shared" si="66"/>
        <v>16</v>
      </c>
      <c r="AR179" s="509">
        <v>0</v>
      </c>
      <c r="AS179" s="509">
        <v>0</v>
      </c>
      <c r="AT179" s="508">
        <v>0</v>
      </c>
      <c r="AU179" s="509">
        <v>13</v>
      </c>
      <c r="AV179" s="509">
        <v>195</v>
      </c>
      <c r="AW179" s="508">
        <v>30</v>
      </c>
      <c r="AX179" s="506">
        <v>13</v>
      </c>
      <c r="AY179" s="506">
        <v>195</v>
      </c>
      <c r="AZ179" s="508">
        <v>30</v>
      </c>
      <c r="BA179" s="508"/>
      <c r="BB179" s="508">
        <f t="shared" si="67"/>
        <v>26</v>
      </c>
      <c r="BC179" s="509">
        <v>0</v>
      </c>
      <c r="BD179" s="509">
        <v>0</v>
      </c>
      <c r="BE179" s="506">
        <v>0</v>
      </c>
      <c r="BF179" s="200"/>
      <c r="BG179" s="200"/>
      <c r="BH179" s="200"/>
      <c r="BI179" s="200"/>
      <c r="BJ179" s="200"/>
      <c r="BK179" s="200"/>
      <c r="BL179" s="200"/>
      <c r="BM179" s="505">
        <f t="shared" si="68"/>
        <v>0</v>
      </c>
      <c r="BN179" s="200">
        <f t="shared" si="69"/>
        <v>0</v>
      </c>
      <c r="BO179" s="200">
        <f t="shared" si="89"/>
        <v>0</v>
      </c>
      <c r="BP179" s="200">
        <f t="shared" si="70"/>
        <v>6240</v>
      </c>
      <c r="BQ179" s="200">
        <f t="shared" si="71"/>
        <v>1755</v>
      </c>
      <c r="BR179" s="200">
        <f t="shared" si="72"/>
        <v>585</v>
      </c>
      <c r="BS179" s="200">
        <f t="shared" si="73"/>
        <v>3705</v>
      </c>
      <c r="BT179" s="200">
        <f t="shared" si="74"/>
        <v>1170</v>
      </c>
      <c r="BU179" s="200">
        <f t="shared" si="75"/>
        <v>3120</v>
      </c>
      <c r="BV179" s="200">
        <v>11</v>
      </c>
      <c r="BW179" s="200">
        <v>2</v>
      </c>
      <c r="BX179" s="200">
        <f t="shared" si="76"/>
        <v>0</v>
      </c>
      <c r="CB179" s="381">
        <f>_xlfn.IFNA(VLOOKUP(A179,'Actuals Summer'!$A:$AG,23,FALSE),0)</f>
        <v>6240</v>
      </c>
      <c r="CC179" s="381">
        <f>_xlfn.IFNA(VLOOKUP(A179,'Actuals Summer'!$A:$AG,24,FALSE),0)</f>
        <v>1755.0000000000002</v>
      </c>
      <c r="CD179" s="381">
        <f>_xlfn.IFNA(VLOOKUP(A179,'Actuals Summer'!$A:$AG,25,FALSE),0)</f>
        <v>0</v>
      </c>
      <c r="CE179" s="381">
        <f>_xlfn.IFNA(VLOOKUP(A179,'Actuals Summer'!$A:$AG,26,FALSE),0)</f>
        <v>0</v>
      </c>
      <c r="CF179" s="381">
        <f>_xlfn.IFNA(VLOOKUP(A179,'Actuals Summer'!$A:$AG,27,FALSE),0)</f>
        <v>0</v>
      </c>
      <c r="CG179" s="381">
        <f>_xlfn.IFNA(VLOOKUP(A179,'Actuals Dep Summer'!B:O,6,FALSE)*$BN$3,0)</f>
        <v>390</v>
      </c>
      <c r="CH179" s="381">
        <f>_xlfn.IFNA(VLOOKUP(A179,'Actuals Dep Summer'!B:O,7,FALSE)*$BN$3,0)</f>
        <v>3510</v>
      </c>
      <c r="CI179" s="381">
        <f>_xlfn.IFNA(VLOOKUP(A179,'Actuals Dep Summer'!B:O,8,FALSE)*$BN$3,0)</f>
        <v>780</v>
      </c>
      <c r="CJ179" s="381">
        <f>_xlfn.IFNA(VLOOKUP(A179,'Actuals Summer'!$A:$AG,31,FALSE),0)*$BN$3</f>
        <v>168.90702365670273</v>
      </c>
      <c r="CK179" s="381"/>
      <c r="CL179" s="381">
        <f>_xlfn.IFNA(VLOOKUP(A179,'Actuals Summer'!$A:$AG,32,FALSE),0)*$BN$3</f>
        <v>40560</v>
      </c>
      <c r="CM179" s="381">
        <f>_xlfn.IFNA(VLOOKUP(A179,'Actuals Summer'!$A:$AG,33,FALSE),0)</f>
        <v>0</v>
      </c>
      <c r="CP179" s="458">
        <f t="shared" si="77"/>
        <v>0</v>
      </c>
      <c r="CQ179" s="458">
        <f t="shared" si="78"/>
        <v>0</v>
      </c>
      <c r="CR179" s="458">
        <f t="shared" si="90"/>
        <v>0</v>
      </c>
      <c r="CS179" s="458">
        <f t="shared" si="79"/>
        <v>35318.400000000001</v>
      </c>
      <c r="CT179" s="458">
        <f t="shared" si="80"/>
        <v>9933.3000000000011</v>
      </c>
      <c r="CU179" s="458">
        <f t="shared" si="81"/>
        <v>356.84999999999997</v>
      </c>
      <c r="CV179" s="458">
        <f t="shared" si="82"/>
        <v>1074.4499999999998</v>
      </c>
      <c r="CW179" s="458">
        <f t="shared" si="83"/>
        <v>93.600000000000009</v>
      </c>
      <c r="CX179" s="458">
        <f t="shared" si="84"/>
        <v>3120</v>
      </c>
      <c r="CY179" s="458">
        <f t="shared" si="85"/>
        <v>820.36842105263156</v>
      </c>
      <c r="CZ179" s="458">
        <f t="shared" si="86"/>
        <v>372.89473684210526</v>
      </c>
      <c r="DA179" s="458">
        <f t="shared" si="87"/>
        <v>0</v>
      </c>
      <c r="DB179" s="458">
        <f t="shared" si="88"/>
        <v>51089.863157894739</v>
      </c>
      <c r="DC179" s="452">
        <f>_xlfn.XLOOKUP($A179,'Actuals Summer'!$A:$A,'Actuals Summer'!L:L,0,0)</f>
        <v>0</v>
      </c>
      <c r="DD179" s="452">
        <f>_xlfn.XLOOKUP($A179,'Actuals Summer'!$A:$A,'Actuals Summer'!K:K,0,0)+_xlfn.XLOOKUP($A179,'Actuals Summer'!$A:$A,'Actuals Summer'!Q:Q,0,0)</f>
        <v>0</v>
      </c>
      <c r="DE179" s="452">
        <f>_xlfn.XLOOKUP($A179,'Actuals Summer'!$A:$A,'Actuals Summer'!I:I,0,0)+_xlfn.XLOOKUP($A179,'Actuals Summer'!$A:$A,'Actuals Summer'!R:R,0,0)</f>
        <v>35318.400000000001</v>
      </c>
      <c r="DF179" s="452">
        <f>_xlfn.XLOOKUP($A179,'Actuals Summer'!$A:$A,'Actuals Summer'!J:J,0,0)</f>
        <v>9933.3000000000011</v>
      </c>
      <c r="DG179" s="452">
        <f>_xlfn.XLOOKUP($A179,'Actuals Dep Summer'!$B:$B,'Actuals Dep Summer'!G:G,0,0)*'Actuals Dep Summer'!$F$2*'Actuals Dep Summer'!$C$2</f>
        <v>237.9</v>
      </c>
      <c r="DH179" s="452">
        <f>_xlfn.XLOOKUP($A179,'Actuals Dep Summer'!$B:$B,'Actuals Dep Summer'!H:H,0,0)*'Actuals Dep Summer'!$F$2*'Actuals Dep Summer'!$C$3</f>
        <v>1017.9</v>
      </c>
      <c r="DI179" s="452">
        <f>_xlfn.XLOOKUP($A179,'Actuals Dep Summer'!$B:$B,'Actuals Dep Summer'!I:I,0,0)*'Actuals Dep Summer'!$F$2*'Actuals Dep Summer'!$C$4</f>
        <v>62.4</v>
      </c>
      <c r="DJ179" s="452">
        <f>_xlfn.XLOOKUP($A179,'Actuals Summer'!$A:$A,'Actuals Summer'!P:P,0,0)</f>
        <v>3120</v>
      </c>
      <c r="DK179" s="452">
        <f>_xlfn.XLOOKUP($A179,'Actuals Summer'!$A:$A,'Actuals Summer'!O:O,0,0)</f>
        <v>969.52631578947376</v>
      </c>
      <c r="DL179" s="452"/>
      <c r="DM179" s="452">
        <f>_xlfn.XLOOKUP($A179,'Actuals Summer'!$A:$A,'Actuals Summer'!M:M,0,0)</f>
        <v>0</v>
      </c>
      <c r="DN179" s="453">
        <f t="shared" si="91"/>
        <v>50659.426315789482</v>
      </c>
      <c r="DO179" s="453">
        <f>_xlfn.XLOOKUP(A179,'Actuals Summer'!A:A,'Actuals Summer'!S:S,0,0)-'Summer data team '!DN179</f>
        <v>0</v>
      </c>
      <c r="DP179" s="463">
        <f t="shared" si="92"/>
        <v>430.4368421052568</v>
      </c>
    </row>
    <row r="180" spans="1:120" ht="13" x14ac:dyDescent="0.3">
      <c r="A180" s="364">
        <v>3406</v>
      </c>
      <c r="B180" s="364">
        <v>3303406</v>
      </c>
      <c r="C180" s="364" t="s">
        <v>367</v>
      </c>
      <c r="D180" s="506">
        <v>0</v>
      </c>
      <c r="E180" s="506">
        <v>0</v>
      </c>
      <c r="F180" s="506">
        <v>0</v>
      </c>
      <c r="G180" s="506">
        <v>12</v>
      </c>
      <c r="H180" s="506">
        <v>10</v>
      </c>
      <c r="I180" s="507">
        <v>0</v>
      </c>
      <c r="J180" s="507">
        <v>22</v>
      </c>
      <c r="K180" s="506">
        <v>0</v>
      </c>
      <c r="L180" s="506">
        <v>0</v>
      </c>
      <c r="M180" s="507">
        <v>0</v>
      </c>
      <c r="N180" s="506">
        <v>0</v>
      </c>
      <c r="O180" s="506">
        <v>0</v>
      </c>
      <c r="P180" s="506">
        <v>180</v>
      </c>
      <c r="Q180" s="506">
        <v>150</v>
      </c>
      <c r="R180" s="507">
        <v>330</v>
      </c>
      <c r="S180" s="506">
        <v>0</v>
      </c>
      <c r="T180" s="506">
        <v>0</v>
      </c>
      <c r="U180" s="506">
        <v>0</v>
      </c>
      <c r="V180" s="506">
        <v>0</v>
      </c>
      <c r="W180" s="507">
        <v>0</v>
      </c>
      <c r="X180" s="506">
        <v>1</v>
      </c>
      <c r="Y180" s="506">
        <v>15</v>
      </c>
      <c r="Z180" s="508">
        <v>0</v>
      </c>
      <c r="AA180" s="506">
        <v>13</v>
      </c>
      <c r="AB180" s="506">
        <v>195</v>
      </c>
      <c r="AC180" s="508">
        <v>0</v>
      </c>
      <c r="AD180" s="506">
        <v>5</v>
      </c>
      <c r="AE180" s="506">
        <v>75</v>
      </c>
      <c r="AF180" s="508">
        <v>0</v>
      </c>
      <c r="AG180" s="509">
        <v>0</v>
      </c>
      <c r="AH180" s="509">
        <v>0</v>
      </c>
      <c r="AI180" s="508">
        <v>0</v>
      </c>
      <c r="AJ180" s="509">
        <v>12</v>
      </c>
      <c r="AK180" s="509">
        <v>180</v>
      </c>
      <c r="AL180" s="508">
        <v>0</v>
      </c>
      <c r="AM180" s="506">
        <v>12</v>
      </c>
      <c r="AN180" s="506">
        <v>180</v>
      </c>
      <c r="AO180" s="508">
        <v>0</v>
      </c>
      <c r="AP180" s="508"/>
      <c r="AQ180" s="508">
        <f t="shared" si="66"/>
        <v>12</v>
      </c>
      <c r="AR180" s="509">
        <v>0</v>
      </c>
      <c r="AS180" s="509">
        <v>0</v>
      </c>
      <c r="AT180" s="508">
        <v>0</v>
      </c>
      <c r="AU180" s="509">
        <v>12</v>
      </c>
      <c r="AV180" s="509">
        <v>180</v>
      </c>
      <c r="AW180" s="508">
        <v>0</v>
      </c>
      <c r="AX180" s="506">
        <v>12</v>
      </c>
      <c r="AY180" s="506">
        <v>180</v>
      </c>
      <c r="AZ180" s="508">
        <v>0</v>
      </c>
      <c r="BA180" s="508"/>
      <c r="BB180" s="508">
        <f t="shared" si="67"/>
        <v>24</v>
      </c>
      <c r="BC180" s="509">
        <v>0</v>
      </c>
      <c r="BD180" s="509">
        <v>0</v>
      </c>
      <c r="BE180" s="506">
        <v>0</v>
      </c>
      <c r="BF180" s="200"/>
      <c r="BG180" s="200"/>
      <c r="BH180" s="200"/>
      <c r="BI180" s="200"/>
      <c r="BJ180" s="200"/>
      <c r="BK180" s="200"/>
      <c r="BL180" s="200"/>
      <c r="BM180" s="505">
        <f t="shared" si="68"/>
        <v>0</v>
      </c>
      <c r="BN180" s="200">
        <f t="shared" si="69"/>
        <v>0</v>
      </c>
      <c r="BO180" s="200">
        <f t="shared" si="89"/>
        <v>0</v>
      </c>
      <c r="BP180" s="200">
        <f t="shared" si="70"/>
        <v>4290</v>
      </c>
      <c r="BQ180" s="200">
        <f t="shared" si="71"/>
        <v>0</v>
      </c>
      <c r="BR180" s="200">
        <f t="shared" si="72"/>
        <v>195</v>
      </c>
      <c r="BS180" s="200">
        <f t="shared" si="73"/>
        <v>2535</v>
      </c>
      <c r="BT180" s="200">
        <f t="shared" si="74"/>
        <v>975</v>
      </c>
      <c r="BU180" s="200">
        <f t="shared" si="75"/>
        <v>2340</v>
      </c>
      <c r="BV180" s="200">
        <v>12</v>
      </c>
      <c r="BW180" s="200">
        <v>0</v>
      </c>
      <c r="BX180" s="200">
        <f t="shared" si="76"/>
        <v>0</v>
      </c>
      <c r="CB180" s="381">
        <f>_xlfn.IFNA(VLOOKUP(A180,'Actuals Summer'!$A:$AG,23,FALSE),0)</f>
        <v>4290</v>
      </c>
      <c r="CC180" s="381">
        <f>_xlfn.IFNA(VLOOKUP(A180,'Actuals Summer'!$A:$AG,24,FALSE),0)</f>
        <v>0</v>
      </c>
      <c r="CD180" s="381">
        <f>_xlfn.IFNA(VLOOKUP(A180,'Actuals Summer'!$A:$AG,25,FALSE),0)</f>
        <v>0</v>
      </c>
      <c r="CE180" s="381">
        <f>_xlfn.IFNA(VLOOKUP(A180,'Actuals Summer'!$A:$AG,26,FALSE),0)</f>
        <v>0</v>
      </c>
      <c r="CF180" s="381">
        <f>_xlfn.IFNA(VLOOKUP(A180,'Actuals Summer'!$A:$AG,27,FALSE),0)</f>
        <v>0</v>
      </c>
      <c r="CG180" s="381">
        <f>_xlfn.IFNA(VLOOKUP(A180,'Actuals Dep Summer'!B:O,6,FALSE)*$BN$3,0)</f>
        <v>195</v>
      </c>
      <c r="CH180" s="381">
        <f>_xlfn.IFNA(VLOOKUP(A180,'Actuals Dep Summer'!B:O,7,FALSE)*$BN$3,0)</f>
        <v>2535</v>
      </c>
      <c r="CI180" s="381">
        <f>_xlfn.IFNA(VLOOKUP(A180,'Actuals Dep Summer'!B:O,8,FALSE)*$BN$3,0)</f>
        <v>975</v>
      </c>
      <c r="CJ180" s="381">
        <f>_xlfn.IFNA(VLOOKUP(A180,'Actuals Summer'!$A:$AG,31,FALSE),0)*$BN$3</f>
        <v>155.91417568311024</v>
      </c>
      <c r="CK180" s="381"/>
      <c r="CL180" s="381">
        <f>_xlfn.IFNA(VLOOKUP(A180,'Actuals Summer'!$A:$AG,32,FALSE),0)*$BN$3</f>
        <v>30420</v>
      </c>
      <c r="CM180" s="381">
        <f>_xlfn.IFNA(VLOOKUP(A180,'Actuals Summer'!$A:$AG,33,FALSE),0)</f>
        <v>0</v>
      </c>
      <c r="CP180" s="458">
        <f t="shared" si="77"/>
        <v>0</v>
      </c>
      <c r="CQ180" s="458">
        <f t="shared" si="78"/>
        <v>0</v>
      </c>
      <c r="CR180" s="458">
        <f t="shared" si="90"/>
        <v>0</v>
      </c>
      <c r="CS180" s="458">
        <f t="shared" si="79"/>
        <v>24281.4</v>
      </c>
      <c r="CT180" s="458">
        <f t="shared" si="80"/>
        <v>0</v>
      </c>
      <c r="CU180" s="458">
        <f t="shared" si="81"/>
        <v>118.95</v>
      </c>
      <c r="CV180" s="458">
        <f t="shared" si="82"/>
        <v>735.15</v>
      </c>
      <c r="CW180" s="458">
        <f t="shared" si="83"/>
        <v>78</v>
      </c>
      <c r="CX180" s="458">
        <f t="shared" si="84"/>
        <v>2340</v>
      </c>
      <c r="CY180" s="458">
        <f t="shared" si="85"/>
        <v>894.9473684210526</v>
      </c>
      <c r="CZ180" s="458">
        <f t="shared" si="86"/>
        <v>0</v>
      </c>
      <c r="DA180" s="458">
        <f t="shared" si="87"/>
        <v>0</v>
      </c>
      <c r="DB180" s="458">
        <f t="shared" si="88"/>
        <v>28448.447368421057</v>
      </c>
      <c r="DC180" s="452">
        <f>_xlfn.XLOOKUP($A180,'Actuals Summer'!$A:$A,'Actuals Summer'!L:L,0,0)</f>
        <v>0</v>
      </c>
      <c r="DD180" s="452">
        <f>_xlfn.XLOOKUP($A180,'Actuals Summer'!$A:$A,'Actuals Summer'!K:K,0,0)+_xlfn.XLOOKUP($A180,'Actuals Summer'!$A:$A,'Actuals Summer'!Q:Q,0,0)</f>
        <v>0</v>
      </c>
      <c r="DE180" s="452">
        <f>_xlfn.XLOOKUP($A180,'Actuals Summer'!$A:$A,'Actuals Summer'!I:I,0,0)+_xlfn.XLOOKUP($A180,'Actuals Summer'!$A:$A,'Actuals Summer'!R:R,0,0)</f>
        <v>24281.4</v>
      </c>
      <c r="DF180" s="452">
        <f>_xlfn.XLOOKUP($A180,'Actuals Summer'!$A:$A,'Actuals Summer'!J:J,0,0)</f>
        <v>0</v>
      </c>
      <c r="DG180" s="452">
        <f>_xlfn.XLOOKUP($A180,'Actuals Dep Summer'!$B:$B,'Actuals Dep Summer'!G:G,0,0)*'Actuals Dep Summer'!$F$2*'Actuals Dep Summer'!$C$2</f>
        <v>118.95</v>
      </c>
      <c r="DH180" s="452">
        <f>_xlfn.XLOOKUP($A180,'Actuals Dep Summer'!$B:$B,'Actuals Dep Summer'!H:H,0,0)*'Actuals Dep Summer'!$F$2*'Actuals Dep Summer'!$C$3</f>
        <v>735.15</v>
      </c>
      <c r="DI180" s="452">
        <f>_xlfn.XLOOKUP($A180,'Actuals Dep Summer'!$B:$B,'Actuals Dep Summer'!I:I,0,0)*'Actuals Dep Summer'!$F$2*'Actuals Dep Summer'!$C$4</f>
        <v>78</v>
      </c>
      <c r="DJ180" s="452">
        <f>_xlfn.XLOOKUP($A180,'Actuals Summer'!$A:$A,'Actuals Summer'!P:P,0,0)</f>
        <v>2340</v>
      </c>
      <c r="DK180" s="452">
        <f>_xlfn.XLOOKUP($A180,'Actuals Summer'!$A:$A,'Actuals Summer'!O:O,0,0)</f>
        <v>894.94736842105272</v>
      </c>
      <c r="DL180" s="452"/>
      <c r="DM180" s="452">
        <f>_xlfn.XLOOKUP($A180,'Actuals Summer'!$A:$A,'Actuals Summer'!M:M,0,0)</f>
        <v>0</v>
      </c>
      <c r="DN180" s="453">
        <f t="shared" si="91"/>
        <v>28448.447368421057</v>
      </c>
      <c r="DO180" s="453">
        <f>_xlfn.XLOOKUP(A180,'Actuals Summer'!A:A,'Actuals Summer'!S:S,0,0)-'Summer data team '!DN180</f>
        <v>0</v>
      </c>
      <c r="DP180" s="463">
        <f t="shared" si="92"/>
        <v>0</v>
      </c>
    </row>
    <row r="181" spans="1:120" ht="13" x14ac:dyDescent="0.3">
      <c r="A181" s="364">
        <v>3411</v>
      </c>
      <c r="B181" s="364">
        <v>3303411</v>
      </c>
      <c r="C181" s="364" t="s">
        <v>368</v>
      </c>
      <c r="D181" s="506">
        <v>0</v>
      </c>
      <c r="E181" s="506">
        <v>0</v>
      </c>
      <c r="F181" s="506">
        <v>0</v>
      </c>
      <c r="G181" s="506">
        <v>24</v>
      </c>
      <c r="H181" s="506">
        <v>16</v>
      </c>
      <c r="I181" s="507">
        <v>0</v>
      </c>
      <c r="J181" s="507">
        <v>40</v>
      </c>
      <c r="K181" s="506">
        <v>6</v>
      </c>
      <c r="L181" s="506">
        <v>3</v>
      </c>
      <c r="M181" s="507">
        <v>9</v>
      </c>
      <c r="N181" s="506">
        <v>0</v>
      </c>
      <c r="O181" s="506">
        <v>0</v>
      </c>
      <c r="P181" s="506">
        <v>360</v>
      </c>
      <c r="Q181" s="506">
        <v>240</v>
      </c>
      <c r="R181" s="507">
        <v>600</v>
      </c>
      <c r="S181" s="506">
        <v>0</v>
      </c>
      <c r="T181" s="506">
        <v>0</v>
      </c>
      <c r="U181" s="506">
        <v>90</v>
      </c>
      <c r="V181" s="506">
        <v>45</v>
      </c>
      <c r="W181" s="507">
        <v>135</v>
      </c>
      <c r="X181" s="506">
        <v>34</v>
      </c>
      <c r="Y181" s="506">
        <v>510</v>
      </c>
      <c r="Z181" s="508">
        <v>120</v>
      </c>
      <c r="AA181" s="506">
        <v>4</v>
      </c>
      <c r="AB181" s="506">
        <v>60</v>
      </c>
      <c r="AC181" s="508">
        <v>0</v>
      </c>
      <c r="AD181" s="506">
        <v>0</v>
      </c>
      <c r="AE181" s="506">
        <v>0</v>
      </c>
      <c r="AF181" s="508">
        <v>0</v>
      </c>
      <c r="AG181" s="509">
        <v>0</v>
      </c>
      <c r="AH181" s="509">
        <v>0</v>
      </c>
      <c r="AI181" s="508">
        <v>0</v>
      </c>
      <c r="AJ181" s="509">
        <v>32</v>
      </c>
      <c r="AK181" s="509">
        <v>480</v>
      </c>
      <c r="AL181" s="508">
        <v>75</v>
      </c>
      <c r="AM181" s="506">
        <v>32</v>
      </c>
      <c r="AN181" s="506">
        <v>480</v>
      </c>
      <c r="AO181" s="508">
        <v>75</v>
      </c>
      <c r="AP181" s="508"/>
      <c r="AQ181" s="508">
        <f t="shared" si="66"/>
        <v>32</v>
      </c>
      <c r="AR181" s="509">
        <v>0</v>
      </c>
      <c r="AS181" s="509">
        <v>0</v>
      </c>
      <c r="AT181" s="508">
        <v>0</v>
      </c>
      <c r="AU181" s="509">
        <v>31</v>
      </c>
      <c r="AV181" s="509">
        <v>465</v>
      </c>
      <c r="AW181" s="508">
        <v>75</v>
      </c>
      <c r="AX181" s="506">
        <v>31</v>
      </c>
      <c r="AY181" s="506">
        <v>465</v>
      </c>
      <c r="AZ181" s="508">
        <v>75</v>
      </c>
      <c r="BA181" s="508"/>
      <c r="BB181" s="508">
        <f t="shared" si="67"/>
        <v>62</v>
      </c>
      <c r="BC181" s="509">
        <v>0</v>
      </c>
      <c r="BD181" s="509">
        <v>0</v>
      </c>
      <c r="BE181" s="506">
        <v>0</v>
      </c>
      <c r="BF181" s="200"/>
      <c r="BG181" s="200"/>
      <c r="BH181" s="200"/>
      <c r="BI181" s="200"/>
      <c r="BJ181" s="200"/>
      <c r="BK181" s="200"/>
      <c r="BL181" s="200"/>
      <c r="BM181" s="505">
        <f t="shared" si="68"/>
        <v>0</v>
      </c>
      <c r="BN181" s="200">
        <f t="shared" si="69"/>
        <v>0</v>
      </c>
      <c r="BO181" s="200">
        <f t="shared" si="89"/>
        <v>0</v>
      </c>
      <c r="BP181" s="200">
        <f t="shared" si="70"/>
        <v>7800</v>
      </c>
      <c r="BQ181" s="200">
        <f t="shared" si="71"/>
        <v>1755</v>
      </c>
      <c r="BR181" s="200">
        <f t="shared" si="72"/>
        <v>8190</v>
      </c>
      <c r="BS181" s="200">
        <f t="shared" si="73"/>
        <v>780</v>
      </c>
      <c r="BT181" s="200">
        <f t="shared" si="74"/>
        <v>0</v>
      </c>
      <c r="BU181" s="200">
        <f t="shared" si="75"/>
        <v>6240</v>
      </c>
      <c r="BV181" s="200">
        <v>26</v>
      </c>
      <c r="BW181" s="200">
        <v>5</v>
      </c>
      <c r="BX181" s="200">
        <f t="shared" si="76"/>
        <v>0</v>
      </c>
      <c r="CB181" s="381">
        <f>_xlfn.IFNA(VLOOKUP(A181,'Actuals Summer'!$A:$AG,23,FALSE),0)</f>
        <v>7800</v>
      </c>
      <c r="CC181" s="381">
        <f>_xlfn.IFNA(VLOOKUP(A181,'Actuals Summer'!$A:$AG,24,FALSE),0)</f>
        <v>1755.0000000000002</v>
      </c>
      <c r="CD181" s="381">
        <f>_xlfn.IFNA(VLOOKUP(A181,'Actuals Summer'!$A:$AG,25,FALSE),0)</f>
        <v>0</v>
      </c>
      <c r="CE181" s="381">
        <f>_xlfn.IFNA(VLOOKUP(A181,'Actuals Summer'!$A:$AG,26,FALSE),0)</f>
        <v>0</v>
      </c>
      <c r="CF181" s="381">
        <f>_xlfn.IFNA(VLOOKUP(A181,'Actuals Summer'!$A:$AG,27,FALSE),0)</f>
        <v>0</v>
      </c>
      <c r="CG181" s="381">
        <f>_xlfn.IFNA(VLOOKUP(A181,'Actuals Dep Summer'!B:O,6,FALSE)*$BN$3,0)</f>
        <v>6630</v>
      </c>
      <c r="CH181" s="381">
        <f>_xlfn.IFNA(VLOOKUP(A181,'Actuals Dep Summer'!B:O,7,FALSE)*$BN$3,0)</f>
        <v>780</v>
      </c>
      <c r="CI181" s="381">
        <f>_xlfn.IFNA(VLOOKUP(A181,'Actuals Dep Summer'!B:O,8,FALSE)*$BN$3,0)</f>
        <v>0</v>
      </c>
      <c r="CJ181" s="381">
        <f>_xlfn.IFNA(VLOOKUP(A181,'Actuals Summer'!$A:$AG,31,FALSE),0)*$BN$3</f>
        <v>402.77828718136806</v>
      </c>
      <c r="CK181" s="381"/>
      <c r="CL181" s="381">
        <f>_xlfn.IFNA(VLOOKUP(A181,'Actuals Summer'!$A:$AG,32,FALSE),0)*$BN$3</f>
        <v>81120</v>
      </c>
      <c r="CM181" s="381">
        <f>_xlfn.IFNA(VLOOKUP(A181,'Actuals Summer'!$A:$AG,33,FALSE),0)</f>
        <v>0</v>
      </c>
      <c r="CP181" s="458">
        <f t="shared" si="77"/>
        <v>0</v>
      </c>
      <c r="CQ181" s="458">
        <f t="shared" si="78"/>
        <v>0</v>
      </c>
      <c r="CR181" s="458">
        <f t="shared" si="90"/>
        <v>0</v>
      </c>
      <c r="CS181" s="458">
        <f t="shared" si="79"/>
        <v>44148</v>
      </c>
      <c r="CT181" s="458">
        <f t="shared" si="80"/>
        <v>9933.3000000000011</v>
      </c>
      <c r="CU181" s="458">
        <f t="shared" si="81"/>
        <v>4995.8999999999996</v>
      </c>
      <c r="CV181" s="458">
        <f t="shared" si="82"/>
        <v>226.2</v>
      </c>
      <c r="CW181" s="458">
        <f t="shared" si="83"/>
        <v>0</v>
      </c>
      <c r="CX181" s="458">
        <f t="shared" si="84"/>
        <v>6240</v>
      </c>
      <c r="CY181" s="458">
        <f t="shared" si="85"/>
        <v>1939.0526315789471</v>
      </c>
      <c r="CZ181" s="458">
        <f t="shared" si="86"/>
        <v>932.23684210526324</v>
      </c>
      <c r="DA181" s="458">
        <f t="shared" si="87"/>
        <v>0</v>
      </c>
      <c r="DB181" s="458">
        <f t="shared" si="88"/>
        <v>68414.689473684208</v>
      </c>
      <c r="DC181" s="452">
        <f>_xlfn.XLOOKUP($A181,'Actuals Summer'!$A:$A,'Actuals Summer'!L:L,0,0)</f>
        <v>0</v>
      </c>
      <c r="DD181" s="452">
        <f>_xlfn.XLOOKUP($A181,'Actuals Summer'!$A:$A,'Actuals Summer'!K:K,0,0)+_xlfn.XLOOKUP($A181,'Actuals Summer'!$A:$A,'Actuals Summer'!Q:Q,0,0)</f>
        <v>0</v>
      </c>
      <c r="DE181" s="452">
        <f>_xlfn.XLOOKUP($A181,'Actuals Summer'!$A:$A,'Actuals Summer'!I:I,0,0)+_xlfn.XLOOKUP($A181,'Actuals Summer'!$A:$A,'Actuals Summer'!R:R,0,0)</f>
        <v>44148</v>
      </c>
      <c r="DF181" s="452">
        <f>_xlfn.XLOOKUP($A181,'Actuals Summer'!$A:$A,'Actuals Summer'!J:J,0,0)</f>
        <v>9933.3000000000011</v>
      </c>
      <c r="DG181" s="452">
        <f>_xlfn.XLOOKUP($A181,'Actuals Dep Summer'!$B:$B,'Actuals Dep Summer'!G:G,0,0)*'Actuals Dep Summer'!$F$2*'Actuals Dep Summer'!$C$2</f>
        <v>4044.2999999999997</v>
      </c>
      <c r="DH181" s="452">
        <f>_xlfn.XLOOKUP($A181,'Actuals Dep Summer'!$B:$B,'Actuals Dep Summer'!H:H,0,0)*'Actuals Dep Summer'!$F$2*'Actuals Dep Summer'!$C$3</f>
        <v>226.2</v>
      </c>
      <c r="DI181" s="452">
        <f>_xlfn.XLOOKUP($A181,'Actuals Dep Summer'!$B:$B,'Actuals Dep Summer'!I:I,0,0)*'Actuals Dep Summer'!$F$2*'Actuals Dep Summer'!$C$4</f>
        <v>0</v>
      </c>
      <c r="DJ181" s="452">
        <f>_xlfn.XLOOKUP($A181,'Actuals Summer'!$A:$A,'Actuals Summer'!P:P,0,0)</f>
        <v>6240</v>
      </c>
      <c r="DK181" s="452">
        <f>_xlfn.XLOOKUP($A181,'Actuals Summer'!$A:$A,'Actuals Summer'!O:O,0,0)</f>
        <v>2311.9473684210525</v>
      </c>
      <c r="DL181" s="452"/>
      <c r="DM181" s="452">
        <f>_xlfn.XLOOKUP($A181,'Actuals Summer'!$A:$A,'Actuals Summer'!M:M,0,0)</f>
        <v>0</v>
      </c>
      <c r="DN181" s="453">
        <f t="shared" si="91"/>
        <v>66903.747368421056</v>
      </c>
      <c r="DO181" s="453">
        <f>_xlfn.XLOOKUP(A181,'Actuals Summer'!A:A,'Actuals Summer'!S:S,0,0)-'Summer data team '!DN181</f>
        <v>0</v>
      </c>
      <c r="DP181" s="463">
        <f t="shared" si="92"/>
        <v>1510.9421052631515</v>
      </c>
    </row>
    <row r="182" spans="1:120" ht="13" x14ac:dyDescent="0.3">
      <c r="A182" s="364">
        <v>3412</v>
      </c>
      <c r="B182" s="364">
        <v>3303412</v>
      </c>
      <c r="C182" s="364" t="s">
        <v>369</v>
      </c>
      <c r="D182" s="506">
        <v>0</v>
      </c>
      <c r="E182" s="506">
        <v>0</v>
      </c>
      <c r="F182" s="506">
        <v>0</v>
      </c>
      <c r="G182" s="506">
        <v>41</v>
      </c>
      <c r="H182" s="506">
        <v>32</v>
      </c>
      <c r="I182" s="507">
        <v>0</v>
      </c>
      <c r="J182" s="507">
        <v>73</v>
      </c>
      <c r="K182" s="506">
        <v>6</v>
      </c>
      <c r="L182" s="506">
        <v>6</v>
      </c>
      <c r="M182" s="507">
        <v>12</v>
      </c>
      <c r="N182" s="506">
        <v>0</v>
      </c>
      <c r="O182" s="506">
        <v>0</v>
      </c>
      <c r="P182" s="506">
        <v>615</v>
      </c>
      <c r="Q182" s="506">
        <v>480</v>
      </c>
      <c r="R182" s="507">
        <v>1095</v>
      </c>
      <c r="S182" s="506">
        <v>0</v>
      </c>
      <c r="T182" s="506">
        <v>0</v>
      </c>
      <c r="U182" s="506">
        <v>90</v>
      </c>
      <c r="V182" s="506">
        <v>90</v>
      </c>
      <c r="W182" s="507">
        <v>180</v>
      </c>
      <c r="X182" s="506">
        <v>24</v>
      </c>
      <c r="Y182" s="506">
        <v>360</v>
      </c>
      <c r="Z182" s="508">
        <v>90</v>
      </c>
      <c r="AA182" s="506">
        <v>36</v>
      </c>
      <c r="AB182" s="506">
        <v>540</v>
      </c>
      <c r="AC182" s="508">
        <v>75</v>
      </c>
      <c r="AD182" s="506">
        <v>3</v>
      </c>
      <c r="AE182" s="506">
        <v>45</v>
      </c>
      <c r="AF182" s="508">
        <v>0</v>
      </c>
      <c r="AG182" s="509">
        <v>0</v>
      </c>
      <c r="AH182" s="509">
        <v>0</v>
      </c>
      <c r="AI182" s="508">
        <v>0</v>
      </c>
      <c r="AJ182" s="509">
        <v>33</v>
      </c>
      <c r="AK182" s="509">
        <v>495</v>
      </c>
      <c r="AL182" s="508">
        <v>0</v>
      </c>
      <c r="AM182" s="506">
        <v>33</v>
      </c>
      <c r="AN182" s="506">
        <v>495</v>
      </c>
      <c r="AO182" s="508">
        <v>0</v>
      </c>
      <c r="AP182" s="508"/>
      <c r="AQ182" s="508">
        <f t="shared" si="66"/>
        <v>33</v>
      </c>
      <c r="AR182" s="509">
        <v>0</v>
      </c>
      <c r="AS182" s="509">
        <v>0</v>
      </c>
      <c r="AT182" s="508">
        <v>0</v>
      </c>
      <c r="AU182" s="509">
        <v>33</v>
      </c>
      <c r="AV182" s="509">
        <v>495</v>
      </c>
      <c r="AW182" s="508">
        <v>0</v>
      </c>
      <c r="AX182" s="506">
        <v>33</v>
      </c>
      <c r="AY182" s="506">
        <v>495</v>
      </c>
      <c r="AZ182" s="508">
        <v>0</v>
      </c>
      <c r="BA182" s="508"/>
      <c r="BB182" s="508">
        <f t="shared" si="67"/>
        <v>66</v>
      </c>
      <c r="BC182" s="509">
        <v>0</v>
      </c>
      <c r="BD182" s="509">
        <v>0</v>
      </c>
      <c r="BE182" s="506">
        <v>0</v>
      </c>
      <c r="BF182" s="200"/>
      <c r="BG182" s="200"/>
      <c r="BH182" s="200"/>
      <c r="BI182" s="200"/>
      <c r="BJ182" s="200"/>
      <c r="BK182" s="200"/>
      <c r="BL182" s="200"/>
      <c r="BM182" s="505">
        <f t="shared" si="68"/>
        <v>0</v>
      </c>
      <c r="BN182" s="200">
        <f t="shared" si="69"/>
        <v>0</v>
      </c>
      <c r="BO182" s="200">
        <f t="shared" si="89"/>
        <v>0</v>
      </c>
      <c r="BP182" s="200">
        <f t="shared" si="70"/>
        <v>14235</v>
      </c>
      <c r="BQ182" s="200">
        <f t="shared" si="71"/>
        <v>2340</v>
      </c>
      <c r="BR182" s="200">
        <f t="shared" si="72"/>
        <v>5850</v>
      </c>
      <c r="BS182" s="200">
        <f t="shared" si="73"/>
        <v>7995</v>
      </c>
      <c r="BT182" s="200">
        <f t="shared" si="74"/>
        <v>585</v>
      </c>
      <c r="BU182" s="200">
        <f t="shared" si="75"/>
        <v>6435</v>
      </c>
      <c r="BV182" s="200">
        <v>33</v>
      </c>
      <c r="BW182" s="200">
        <v>0</v>
      </c>
      <c r="BX182" s="200">
        <f t="shared" si="76"/>
        <v>0</v>
      </c>
      <c r="CB182" s="381">
        <f>_xlfn.IFNA(VLOOKUP(A182,'Actuals Summer'!$A:$AG,23,FALSE),0)</f>
        <v>14235</v>
      </c>
      <c r="CC182" s="381">
        <f>_xlfn.IFNA(VLOOKUP(A182,'Actuals Summer'!$A:$AG,24,FALSE),0)</f>
        <v>2340</v>
      </c>
      <c r="CD182" s="381">
        <f>_xlfn.IFNA(VLOOKUP(A182,'Actuals Summer'!$A:$AG,25,FALSE),0)</f>
        <v>0</v>
      </c>
      <c r="CE182" s="381">
        <f>_xlfn.IFNA(VLOOKUP(A182,'Actuals Summer'!$A:$AG,26,FALSE),0)</f>
        <v>0</v>
      </c>
      <c r="CF182" s="381">
        <f>_xlfn.IFNA(VLOOKUP(A182,'Actuals Summer'!$A:$AG,27,FALSE),0)</f>
        <v>0</v>
      </c>
      <c r="CG182" s="381">
        <f>_xlfn.IFNA(VLOOKUP(A182,'Actuals Dep Summer'!B:O,6,FALSE)*$BN$3,0)</f>
        <v>4680</v>
      </c>
      <c r="CH182" s="381">
        <f>_xlfn.IFNA(VLOOKUP(A182,'Actuals Dep Summer'!B:O,7,FALSE)*$BN$3,0)</f>
        <v>7020</v>
      </c>
      <c r="CI182" s="381">
        <f>_xlfn.IFNA(VLOOKUP(A182,'Actuals Dep Summer'!B:O,8,FALSE)*$BN$3,0)</f>
        <v>585</v>
      </c>
      <c r="CJ182" s="381">
        <f>_xlfn.IFNA(VLOOKUP(A182,'Actuals Summer'!$A:$AG,31,FALSE),0)*$BN$3</f>
        <v>428.76398312855304</v>
      </c>
      <c r="CK182" s="381"/>
      <c r="CL182" s="381">
        <f>_xlfn.IFNA(VLOOKUP(A182,'Actuals Summer'!$A:$AG,32,FALSE),0)*$BN$3</f>
        <v>83655</v>
      </c>
      <c r="CM182" s="381">
        <f>_xlfn.IFNA(VLOOKUP(A182,'Actuals Summer'!$A:$AG,33,FALSE),0)</f>
        <v>0</v>
      </c>
      <c r="CP182" s="458">
        <f t="shared" si="77"/>
        <v>0</v>
      </c>
      <c r="CQ182" s="458">
        <f t="shared" si="78"/>
        <v>0</v>
      </c>
      <c r="CR182" s="458">
        <f t="shared" si="90"/>
        <v>0</v>
      </c>
      <c r="CS182" s="458">
        <f t="shared" si="79"/>
        <v>80570.100000000006</v>
      </c>
      <c r="CT182" s="458">
        <f t="shared" si="80"/>
        <v>13244.4</v>
      </c>
      <c r="CU182" s="458">
        <f t="shared" si="81"/>
        <v>3568.5</v>
      </c>
      <c r="CV182" s="458">
        <f t="shared" si="82"/>
        <v>2318.5499999999997</v>
      </c>
      <c r="CW182" s="458">
        <f t="shared" si="83"/>
        <v>46.800000000000004</v>
      </c>
      <c r="CX182" s="458">
        <f t="shared" si="84"/>
        <v>6435</v>
      </c>
      <c r="CY182" s="458">
        <f t="shared" si="85"/>
        <v>2461.1052631578946</v>
      </c>
      <c r="CZ182" s="458">
        <f t="shared" si="86"/>
        <v>0</v>
      </c>
      <c r="DA182" s="458">
        <f t="shared" si="87"/>
        <v>0</v>
      </c>
      <c r="DB182" s="458">
        <f t="shared" si="88"/>
        <v>108644.4552631579</v>
      </c>
      <c r="DC182" s="452">
        <f>_xlfn.XLOOKUP($A182,'Actuals Summer'!$A:$A,'Actuals Summer'!L:L,0,0)</f>
        <v>0</v>
      </c>
      <c r="DD182" s="452">
        <f>_xlfn.XLOOKUP($A182,'Actuals Summer'!$A:$A,'Actuals Summer'!K:K,0,0)+_xlfn.XLOOKUP($A182,'Actuals Summer'!$A:$A,'Actuals Summer'!Q:Q,0,0)</f>
        <v>0</v>
      </c>
      <c r="DE182" s="452">
        <f>_xlfn.XLOOKUP($A182,'Actuals Summer'!$A:$A,'Actuals Summer'!I:I,0,0)+_xlfn.XLOOKUP($A182,'Actuals Summer'!$A:$A,'Actuals Summer'!R:R,0,0)</f>
        <v>80570.100000000006</v>
      </c>
      <c r="DF182" s="452">
        <f>_xlfn.XLOOKUP($A182,'Actuals Summer'!$A:$A,'Actuals Summer'!J:J,0,0)</f>
        <v>13244.4</v>
      </c>
      <c r="DG182" s="452">
        <f>_xlfn.XLOOKUP($A182,'Actuals Dep Summer'!$B:$B,'Actuals Dep Summer'!G:G,0,0)*'Actuals Dep Summer'!$F$2*'Actuals Dep Summer'!$C$2</f>
        <v>2854.7999999999997</v>
      </c>
      <c r="DH182" s="452">
        <f>_xlfn.XLOOKUP($A182,'Actuals Dep Summer'!$B:$B,'Actuals Dep Summer'!H:H,0,0)*'Actuals Dep Summer'!$F$2*'Actuals Dep Summer'!$C$3</f>
        <v>2035.8</v>
      </c>
      <c r="DI182" s="452">
        <f>_xlfn.XLOOKUP($A182,'Actuals Dep Summer'!$B:$B,'Actuals Dep Summer'!I:I,0,0)*'Actuals Dep Summer'!$F$2*'Actuals Dep Summer'!$C$4</f>
        <v>46.800000000000004</v>
      </c>
      <c r="DJ182" s="452">
        <f>_xlfn.XLOOKUP($A182,'Actuals Summer'!$A:$A,'Actuals Summer'!P:P,0,0)</f>
        <v>6435</v>
      </c>
      <c r="DK182" s="452">
        <f>_xlfn.XLOOKUP($A182,'Actuals Summer'!$A:$A,'Actuals Summer'!O:O,0,0)</f>
        <v>2461.105263157895</v>
      </c>
      <c r="DL182" s="452"/>
      <c r="DM182" s="452">
        <f>_xlfn.XLOOKUP($A182,'Actuals Summer'!$A:$A,'Actuals Summer'!M:M,0,0)</f>
        <v>0</v>
      </c>
      <c r="DN182" s="453">
        <f t="shared" si="91"/>
        <v>107648.0052631579</v>
      </c>
      <c r="DO182" s="453">
        <f>_xlfn.XLOOKUP(A182,'Actuals Summer'!A:A,'Actuals Summer'!S:S,0,0)-'Summer data team '!DN182</f>
        <v>0</v>
      </c>
      <c r="DP182" s="463">
        <f t="shared" si="92"/>
        <v>996.44999999999709</v>
      </c>
    </row>
    <row r="183" spans="1:120" ht="13" x14ac:dyDescent="0.3">
      <c r="A183" s="364">
        <v>3428</v>
      </c>
      <c r="B183" s="364">
        <v>3303428</v>
      </c>
      <c r="C183" s="364" t="s">
        <v>153</v>
      </c>
      <c r="D183" s="506">
        <v>0</v>
      </c>
      <c r="E183" s="506">
        <v>0</v>
      </c>
      <c r="F183" s="506">
        <v>0</v>
      </c>
      <c r="G183" s="506">
        <v>16</v>
      </c>
      <c r="H183" s="506">
        <v>10</v>
      </c>
      <c r="I183" s="507">
        <v>0</v>
      </c>
      <c r="J183" s="507">
        <v>26</v>
      </c>
      <c r="K183" s="506">
        <v>9</v>
      </c>
      <c r="L183" s="506">
        <v>6</v>
      </c>
      <c r="M183" s="507">
        <v>15</v>
      </c>
      <c r="N183" s="506">
        <v>0</v>
      </c>
      <c r="O183" s="506">
        <v>0</v>
      </c>
      <c r="P183" s="506">
        <v>240</v>
      </c>
      <c r="Q183" s="506">
        <v>150</v>
      </c>
      <c r="R183" s="507">
        <v>390</v>
      </c>
      <c r="S183" s="506">
        <v>0</v>
      </c>
      <c r="T183" s="506">
        <v>0</v>
      </c>
      <c r="U183" s="506">
        <v>135</v>
      </c>
      <c r="V183" s="506">
        <v>90</v>
      </c>
      <c r="W183" s="507">
        <v>225</v>
      </c>
      <c r="X183" s="506">
        <v>1</v>
      </c>
      <c r="Y183" s="506">
        <v>15</v>
      </c>
      <c r="Z183" s="508">
        <v>0</v>
      </c>
      <c r="AA183" s="506">
        <v>2</v>
      </c>
      <c r="AB183" s="506">
        <v>30</v>
      </c>
      <c r="AC183" s="508">
        <v>30</v>
      </c>
      <c r="AD183" s="506">
        <v>1</v>
      </c>
      <c r="AE183" s="506">
        <v>15</v>
      </c>
      <c r="AF183" s="508">
        <v>0</v>
      </c>
      <c r="AG183" s="509">
        <v>0</v>
      </c>
      <c r="AH183" s="509">
        <v>0</v>
      </c>
      <c r="AI183" s="508">
        <v>0</v>
      </c>
      <c r="AJ183" s="509">
        <v>5</v>
      </c>
      <c r="AK183" s="509">
        <v>75</v>
      </c>
      <c r="AL183" s="508">
        <v>45</v>
      </c>
      <c r="AM183" s="506">
        <v>5</v>
      </c>
      <c r="AN183" s="506">
        <v>75</v>
      </c>
      <c r="AO183" s="508">
        <v>45</v>
      </c>
      <c r="AP183" s="508"/>
      <c r="AQ183" s="508">
        <f t="shared" si="66"/>
        <v>5</v>
      </c>
      <c r="AR183" s="509">
        <v>0</v>
      </c>
      <c r="AS183" s="509">
        <v>0</v>
      </c>
      <c r="AT183" s="508">
        <v>0</v>
      </c>
      <c r="AU183" s="509">
        <v>5</v>
      </c>
      <c r="AV183" s="509">
        <v>75</v>
      </c>
      <c r="AW183" s="508">
        <v>45</v>
      </c>
      <c r="AX183" s="506">
        <v>5</v>
      </c>
      <c r="AY183" s="506">
        <v>75</v>
      </c>
      <c r="AZ183" s="508">
        <v>45</v>
      </c>
      <c r="BA183" s="508"/>
      <c r="BB183" s="508">
        <f t="shared" si="67"/>
        <v>10</v>
      </c>
      <c r="BC183" s="509">
        <v>0</v>
      </c>
      <c r="BD183" s="509">
        <v>0</v>
      </c>
      <c r="BE183" s="506">
        <v>0</v>
      </c>
      <c r="BF183" s="200"/>
      <c r="BG183" s="200"/>
      <c r="BH183" s="200"/>
      <c r="BI183" s="200"/>
      <c r="BJ183" s="200"/>
      <c r="BK183" s="200"/>
      <c r="BL183" s="200"/>
      <c r="BM183" s="505">
        <f t="shared" si="68"/>
        <v>0</v>
      </c>
      <c r="BN183" s="200">
        <f t="shared" si="69"/>
        <v>0</v>
      </c>
      <c r="BO183" s="200">
        <f t="shared" si="89"/>
        <v>0</v>
      </c>
      <c r="BP183" s="200">
        <f t="shared" si="70"/>
        <v>5070</v>
      </c>
      <c r="BQ183" s="200">
        <f t="shared" si="71"/>
        <v>2925</v>
      </c>
      <c r="BR183" s="200">
        <f t="shared" si="72"/>
        <v>195</v>
      </c>
      <c r="BS183" s="200">
        <f t="shared" si="73"/>
        <v>780</v>
      </c>
      <c r="BT183" s="200">
        <f t="shared" si="74"/>
        <v>195</v>
      </c>
      <c r="BU183" s="200">
        <f t="shared" si="75"/>
        <v>975</v>
      </c>
      <c r="BV183" s="200">
        <v>2</v>
      </c>
      <c r="BW183" s="200">
        <v>3</v>
      </c>
      <c r="BX183" s="200">
        <f t="shared" si="76"/>
        <v>0</v>
      </c>
      <c r="CB183" s="381">
        <f>_xlfn.IFNA(VLOOKUP(A183,'Actuals Summer'!$A:$AG,23,FALSE),0)</f>
        <v>5070</v>
      </c>
      <c r="CC183" s="381">
        <f>_xlfn.IFNA(VLOOKUP(A183,'Actuals Summer'!$A:$AG,24,FALSE),0)</f>
        <v>2925</v>
      </c>
      <c r="CD183" s="381">
        <f>_xlfn.IFNA(VLOOKUP(A183,'Actuals Summer'!$A:$AG,25,FALSE),0)</f>
        <v>0</v>
      </c>
      <c r="CE183" s="381">
        <f>_xlfn.IFNA(VLOOKUP(A183,'Actuals Summer'!$A:$AG,26,FALSE),0)</f>
        <v>0</v>
      </c>
      <c r="CF183" s="381">
        <f>_xlfn.IFNA(VLOOKUP(A183,'Actuals Summer'!$A:$AG,27,FALSE),0)</f>
        <v>0</v>
      </c>
      <c r="CG183" s="381">
        <f>_xlfn.IFNA(VLOOKUP(A183,'Actuals Dep Summer'!B:O,6,FALSE)*$BN$3,0)</f>
        <v>195</v>
      </c>
      <c r="CH183" s="381">
        <f>_xlfn.IFNA(VLOOKUP(A183,'Actuals Dep Summer'!B:O,7,FALSE)*$BN$3,0)</f>
        <v>390</v>
      </c>
      <c r="CI183" s="381">
        <f>_xlfn.IFNA(VLOOKUP(A183,'Actuals Dep Summer'!B:O,8,FALSE)*$BN$3,0)</f>
        <v>195</v>
      </c>
      <c r="CJ183" s="381">
        <f>_xlfn.IFNA(VLOOKUP(A183,'Actuals Summer'!$A:$AG,31,FALSE),0)*$BN$3</f>
        <v>64.964239867962576</v>
      </c>
      <c r="CK183" s="381"/>
      <c r="CL183" s="381">
        <f>_xlfn.IFNA(VLOOKUP(A183,'Actuals Summer'!$A:$AG,32,FALSE),0)*$BN$3</f>
        <v>12675</v>
      </c>
      <c r="CM183" s="381">
        <f>_xlfn.IFNA(VLOOKUP(A183,'Actuals Summer'!$A:$AG,33,FALSE),0)</f>
        <v>0</v>
      </c>
      <c r="CP183" s="458">
        <f t="shared" si="77"/>
        <v>0</v>
      </c>
      <c r="CQ183" s="458">
        <f t="shared" si="78"/>
        <v>0</v>
      </c>
      <c r="CR183" s="458">
        <f t="shared" si="90"/>
        <v>0</v>
      </c>
      <c r="CS183" s="458">
        <f t="shared" si="79"/>
        <v>28696.2</v>
      </c>
      <c r="CT183" s="458">
        <f t="shared" si="80"/>
        <v>16555.5</v>
      </c>
      <c r="CU183" s="458">
        <f t="shared" si="81"/>
        <v>118.95</v>
      </c>
      <c r="CV183" s="458">
        <f t="shared" si="82"/>
        <v>226.2</v>
      </c>
      <c r="CW183" s="458">
        <f t="shared" si="83"/>
        <v>15.6</v>
      </c>
      <c r="CX183" s="458">
        <f t="shared" si="84"/>
        <v>975</v>
      </c>
      <c r="CY183" s="458">
        <f t="shared" si="85"/>
        <v>149.15789473684208</v>
      </c>
      <c r="CZ183" s="458">
        <f t="shared" si="86"/>
        <v>559.34210526315792</v>
      </c>
      <c r="DA183" s="458">
        <f t="shared" si="87"/>
        <v>0</v>
      </c>
      <c r="DB183" s="458">
        <f t="shared" si="88"/>
        <v>47295.94999999999</v>
      </c>
      <c r="DC183" s="452">
        <f>_xlfn.XLOOKUP($A183,'Actuals Summer'!$A:$A,'Actuals Summer'!L:L,0,0)</f>
        <v>0</v>
      </c>
      <c r="DD183" s="452">
        <f>_xlfn.XLOOKUP($A183,'Actuals Summer'!$A:$A,'Actuals Summer'!K:K,0,0)+_xlfn.XLOOKUP($A183,'Actuals Summer'!$A:$A,'Actuals Summer'!Q:Q,0,0)</f>
        <v>0</v>
      </c>
      <c r="DE183" s="452">
        <f>_xlfn.XLOOKUP($A183,'Actuals Summer'!$A:$A,'Actuals Summer'!I:I,0,0)+_xlfn.XLOOKUP($A183,'Actuals Summer'!$A:$A,'Actuals Summer'!R:R,0,0)</f>
        <v>28696.2</v>
      </c>
      <c r="DF183" s="452">
        <f>_xlfn.XLOOKUP($A183,'Actuals Summer'!$A:$A,'Actuals Summer'!J:J,0,0)</f>
        <v>16555.5</v>
      </c>
      <c r="DG183" s="452">
        <f>_xlfn.XLOOKUP($A183,'Actuals Dep Summer'!$B:$B,'Actuals Dep Summer'!G:G,0,0)*'Actuals Dep Summer'!$F$2*'Actuals Dep Summer'!$C$2</f>
        <v>118.95</v>
      </c>
      <c r="DH183" s="452">
        <f>_xlfn.XLOOKUP($A183,'Actuals Dep Summer'!$B:$B,'Actuals Dep Summer'!H:H,0,0)*'Actuals Dep Summer'!$F$2*'Actuals Dep Summer'!$C$3</f>
        <v>113.1</v>
      </c>
      <c r="DI183" s="452">
        <f>_xlfn.XLOOKUP($A183,'Actuals Dep Summer'!$B:$B,'Actuals Dep Summer'!I:I,0,0)*'Actuals Dep Summer'!$F$2*'Actuals Dep Summer'!$C$4</f>
        <v>15.6</v>
      </c>
      <c r="DJ183" s="452">
        <f>_xlfn.XLOOKUP($A183,'Actuals Summer'!$A:$A,'Actuals Summer'!P:P,0,0)</f>
        <v>975</v>
      </c>
      <c r="DK183" s="452">
        <f>_xlfn.XLOOKUP($A183,'Actuals Summer'!$A:$A,'Actuals Summer'!O:O,0,0)</f>
        <v>372.89473684210526</v>
      </c>
      <c r="DL183" s="452"/>
      <c r="DM183" s="452">
        <f>_xlfn.XLOOKUP($A183,'Actuals Summer'!$A:$A,'Actuals Summer'!M:M,0,0)</f>
        <v>0</v>
      </c>
      <c r="DN183" s="453">
        <f t="shared" si="91"/>
        <v>46847.244736842098</v>
      </c>
      <c r="DO183" s="453">
        <f>_xlfn.XLOOKUP(A183,'Actuals Summer'!A:A,'Actuals Summer'!S:S,0,0)-'Summer data team '!DN183</f>
        <v>0</v>
      </c>
      <c r="DP183" s="463">
        <f t="shared" si="92"/>
        <v>448.70526315789175</v>
      </c>
    </row>
    <row r="184" spans="1:120" ht="13" x14ac:dyDescent="0.3">
      <c r="A184" s="364">
        <v>3431</v>
      </c>
      <c r="B184" s="364">
        <v>3303431</v>
      </c>
      <c r="C184" s="364" t="s">
        <v>199</v>
      </c>
      <c r="D184" s="506">
        <v>0</v>
      </c>
      <c r="E184" s="506">
        <v>0</v>
      </c>
      <c r="F184" s="506">
        <v>0</v>
      </c>
      <c r="G184" s="506">
        <v>16</v>
      </c>
      <c r="H184" s="506">
        <v>29</v>
      </c>
      <c r="I184" s="507">
        <v>0</v>
      </c>
      <c r="J184" s="507">
        <v>45</v>
      </c>
      <c r="K184" s="506">
        <v>9</v>
      </c>
      <c r="L184" s="506">
        <v>19</v>
      </c>
      <c r="M184" s="507">
        <v>28</v>
      </c>
      <c r="N184" s="506">
        <v>0</v>
      </c>
      <c r="O184" s="506">
        <v>0</v>
      </c>
      <c r="P184" s="506">
        <v>240</v>
      </c>
      <c r="Q184" s="506">
        <v>435</v>
      </c>
      <c r="R184" s="507">
        <v>675</v>
      </c>
      <c r="S184" s="506">
        <v>0</v>
      </c>
      <c r="T184" s="506">
        <v>0</v>
      </c>
      <c r="U184" s="506">
        <v>135</v>
      </c>
      <c r="V184" s="506">
        <v>285</v>
      </c>
      <c r="W184" s="507">
        <v>420</v>
      </c>
      <c r="X184" s="506">
        <v>5</v>
      </c>
      <c r="Y184" s="506">
        <v>75</v>
      </c>
      <c r="Z184" s="508">
        <v>45</v>
      </c>
      <c r="AA184" s="506">
        <v>1</v>
      </c>
      <c r="AB184" s="506">
        <v>15</v>
      </c>
      <c r="AC184" s="508">
        <v>15</v>
      </c>
      <c r="AD184" s="506">
        <v>3</v>
      </c>
      <c r="AE184" s="506">
        <v>45</v>
      </c>
      <c r="AF184" s="508">
        <v>45</v>
      </c>
      <c r="AG184" s="509">
        <v>0</v>
      </c>
      <c r="AH184" s="509">
        <v>0</v>
      </c>
      <c r="AI184" s="508">
        <v>0</v>
      </c>
      <c r="AJ184" s="509">
        <v>4</v>
      </c>
      <c r="AK184" s="509">
        <v>60</v>
      </c>
      <c r="AL184" s="508">
        <v>30</v>
      </c>
      <c r="AM184" s="506">
        <v>4</v>
      </c>
      <c r="AN184" s="506">
        <v>60</v>
      </c>
      <c r="AO184" s="508">
        <v>30</v>
      </c>
      <c r="AP184" s="508"/>
      <c r="AQ184" s="508">
        <f t="shared" si="66"/>
        <v>4</v>
      </c>
      <c r="AR184" s="509">
        <v>0</v>
      </c>
      <c r="AS184" s="509">
        <v>0</v>
      </c>
      <c r="AT184" s="508">
        <v>0</v>
      </c>
      <c r="AU184" s="509">
        <v>4</v>
      </c>
      <c r="AV184" s="509">
        <v>60</v>
      </c>
      <c r="AW184" s="508">
        <v>30</v>
      </c>
      <c r="AX184" s="506">
        <v>4</v>
      </c>
      <c r="AY184" s="506">
        <v>60</v>
      </c>
      <c r="AZ184" s="508">
        <v>30</v>
      </c>
      <c r="BA184" s="508"/>
      <c r="BB184" s="508">
        <f t="shared" si="67"/>
        <v>8</v>
      </c>
      <c r="BC184" s="509">
        <v>0</v>
      </c>
      <c r="BD184" s="509">
        <v>1</v>
      </c>
      <c r="BE184" s="506">
        <v>1</v>
      </c>
      <c r="BF184" s="200"/>
      <c r="BG184" s="200"/>
      <c r="BH184" s="200"/>
      <c r="BI184" s="200"/>
      <c r="BJ184" s="200"/>
      <c r="BK184" s="200"/>
      <c r="BL184" s="200"/>
      <c r="BM184" s="505">
        <f t="shared" si="68"/>
        <v>0</v>
      </c>
      <c r="BN184" s="200">
        <f t="shared" si="69"/>
        <v>0</v>
      </c>
      <c r="BO184" s="200">
        <f t="shared" si="89"/>
        <v>0</v>
      </c>
      <c r="BP184" s="200">
        <f t="shared" si="70"/>
        <v>8775</v>
      </c>
      <c r="BQ184" s="200">
        <f t="shared" si="71"/>
        <v>5460</v>
      </c>
      <c r="BR184" s="200">
        <f t="shared" si="72"/>
        <v>1560</v>
      </c>
      <c r="BS184" s="200">
        <f t="shared" si="73"/>
        <v>390</v>
      </c>
      <c r="BT184" s="200">
        <f t="shared" si="74"/>
        <v>1170</v>
      </c>
      <c r="BU184" s="200">
        <f t="shared" si="75"/>
        <v>780</v>
      </c>
      <c r="BV184" s="200">
        <v>2</v>
      </c>
      <c r="BW184" s="200">
        <v>2</v>
      </c>
      <c r="BX184" s="200">
        <f t="shared" si="76"/>
        <v>1</v>
      </c>
      <c r="CB184" s="381">
        <f>_xlfn.IFNA(VLOOKUP(A184,'Actuals Summer'!$A:$AG,23,FALSE),0)</f>
        <v>8775</v>
      </c>
      <c r="CC184" s="381">
        <f>_xlfn.IFNA(VLOOKUP(A184,'Actuals Summer'!$A:$AG,24,FALSE),0)</f>
        <v>5460</v>
      </c>
      <c r="CD184" s="381">
        <f>_xlfn.IFNA(VLOOKUP(A184,'Actuals Summer'!$A:$AG,25,FALSE),0)</f>
        <v>0</v>
      </c>
      <c r="CE184" s="381">
        <f>_xlfn.IFNA(VLOOKUP(A184,'Actuals Summer'!$A:$AG,26,FALSE),0)</f>
        <v>0</v>
      </c>
      <c r="CF184" s="381">
        <f>_xlfn.IFNA(VLOOKUP(A184,'Actuals Summer'!$A:$AG,27,FALSE),0)</f>
        <v>0</v>
      </c>
      <c r="CG184" s="381">
        <f>_xlfn.IFNA(VLOOKUP(A184,'Actuals Dep Summer'!B:O,6,FALSE)*$BN$3,0)</f>
        <v>975</v>
      </c>
      <c r="CH184" s="381">
        <f>_xlfn.IFNA(VLOOKUP(A184,'Actuals Dep Summer'!B:O,7,FALSE)*$BN$3,0)</f>
        <v>195</v>
      </c>
      <c r="CI184" s="381">
        <f>_xlfn.IFNA(VLOOKUP(A184,'Actuals Dep Summer'!B:O,8,FALSE)*$BN$3,0)</f>
        <v>585</v>
      </c>
      <c r="CJ184" s="381">
        <f>_xlfn.IFNA(VLOOKUP(A184,'Actuals Summer'!$A:$AG,31,FALSE),0)*$BN$3</f>
        <v>51.971391894370072</v>
      </c>
      <c r="CK184" s="381"/>
      <c r="CL184" s="381">
        <f>_xlfn.IFNA(VLOOKUP(A184,'Actuals Summer'!$A:$AG,32,FALSE),0)*$BN$3</f>
        <v>10140</v>
      </c>
      <c r="CM184" s="381">
        <f>_xlfn.IFNA(VLOOKUP(A184,'Actuals Summer'!$A:$AG,33,FALSE),0)</f>
        <v>0.99998523864195499</v>
      </c>
      <c r="CP184" s="458">
        <f t="shared" si="77"/>
        <v>0</v>
      </c>
      <c r="CQ184" s="458">
        <f t="shared" si="78"/>
        <v>0</v>
      </c>
      <c r="CR184" s="458">
        <f t="shared" si="90"/>
        <v>0</v>
      </c>
      <c r="CS184" s="458">
        <f t="shared" si="79"/>
        <v>49666.5</v>
      </c>
      <c r="CT184" s="458">
        <f t="shared" si="80"/>
        <v>30903.600000000002</v>
      </c>
      <c r="CU184" s="458">
        <f t="shared" si="81"/>
        <v>951.6</v>
      </c>
      <c r="CV184" s="458">
        <f t="shared" si="82"/>
        <v>113.1</v>
      </c>
      <c r="CW184" s="458">
        <f t="shared" si="83"/>
        <v>93.600000000000009</v>
      </c>
      <c r="CX184" s="458">
        <f t="shared" si="84"/>
        <v>780</v>
      </c>
      <c r="CY184" s="458">
        <f t="shared" si="85"/>
        <v>149.15789473684208</v>
      </c>
      <c r="CZ184" s="458">
        <f t="shared" si="86"/>
        <v>372.89473684210526</v>
      </c>
      <c r="DA184" s="458">
        <f t="shared" si="87"/>
        <v>938</v>
      </c>
      <c r="DB184" s="458">
        <f t="shared" si="88"/>
        <v>83968.45263157897</v>
      </c>
      <c r="DC184" s="452">
        <f>_xlfn.XLOOKUP($A184,'Actuals Summer'!$A:$A,'Actuals Summer'!L:L,0,0)</f>
        <v>0</v>
      </c>
      <c r="DD184" s="452">
        <f>_xlfn.XLOOKUP($A184,'Actuals Summer'!$A:$A,'Actuals Summer'!K:K,0,0)+_xlfn.XLOOKUP($A184,'Actuals Summer'!$A:$A,'Actuals Summer'!Q:Q,0,0)</f>
        <v>0</v>
      </c>
      <c r="DE184" s="452">
        <f>_xlfn.XLOOKUP($A184,'Actuals Summer'!$A:$A,'Actuals Summer'!I:I,0,0)+_xlfn.XLOOKUP($A184,'Actuals Summer'!$A:$A,'Actuals Summer'!R:R,0,0)</f>
        <v>49666.5</v>
      </c>
      <c r="DF184" s="452">
        <f>_xlfn.XLOOKUP($A184,'Actuals Summer'!$A:$A,'Actuals Summer'!J:J,0,0)</f>
        <v>30903.600000000002</v>
      </c>
      <c r="DG184" s="452">
        <f>_xlfn.XLOOKUP($A184,'Actuals Dep Summer'!$B:$B,'Actuals Dep Summer'!G:G,0,0)*'Actuals Dep Summer'!$F$2*'Actuals Dep Summer'!$C$2</f>
        <v>594.75</v>
      </c>
      <c r="DH184" s="452">
        <f>_xlfn.XLOOKUP($A184,'Actuals Dep Summer'!$B:$B,'Actuals Dep Summer'!H:H,0,0)*'Actuals Dep Summer'!$F$2*'Actuals Dep Summer'!$C$3</f>
        <v>56.55</v>
      </c>
      <c r="DI184" s="452">
        <f>_xlfn.XLOOKUP($A184,'Actuals Dep Summer'!$B:$B,'Actuals Dep Summer'!I:I,0,0)*'Actuals Dep Summer'!$F$2*'Actuals Dep Summer'!$C$4</f>
        <v>46.800000000000004</v>
      </c>
      <c r="DJ184" s="452">
        <f>_xlfn.XLOOKUP($A184,'Actuals Summer'!$A:$A,'Actuals Summer'!P:P,0,0)</f>
        <v>780</v>
      </c>
      <c r="DK184" s="452">
        <f>_xlfn.XLOOKUP($A184,'Actuals Summer'!$A:$A,'Actuals Summer'!O:O,0,0)</f>
        <v>298.31578947368422</v>
      </c>
      <c r="DL184" s="452"/>
      <c r="DM184" s="452">
        <f>_xlfn.XLOOKUP($A184,'Actuals Summer'!$A:$A,'Actuals Summer'!M:M,0,0)</f>
        <v>320.89</v>
      </c>
      <c r="DN184" s="453">
        <f t="shared" si="91"/>
        <v>82667.405789473691</v>
      </c>
      <c r="DO184" s="453">
        <f>_xlfn.XLOOKUP(A184,'Actuals Summer'!A:A,'Actuals Summer'!S:S,0,0)-'Summer data team '!DN184</f>
        <v>0</v>
      </c>
      <c r="DP184" s="463">
        <f t="shared" si="92"/>
        <v>1301.0468421052792</v>
      </c>
    </row>
    <row r="185" spans="1:120" ht="13" x14ac:dyDescent="0.3">
      <c r="A185" s="364">
        <v>3432</v>
      </c>
      <c r="B185" s="364">
        <v>3303432</v>
      </c>
      <c r="C185" s="364" t="s">
        <v>63</v>
      </c>
      <c r="D185" s="506">
        <v>0</v>
      </c>
      <c r="E185" s="506">
        <v>0</v>
      </c>
      <c r="F185" s="506">
        <v>0</v>
      </c>
      <c r="G185" s="506">
        <v>60</v>
      </c>
      <c r="H185" s="506">
        <v>30</v>
      </c>
      <c r="I185" s="507">
        <v>0</v>
      </c>
      <c r="J185" s="507">
        <v>90</v>
      </c>
      <c r="K185" s="506">
        <v>4</v>
      </c>
      <c r="L185" s="506">
        <v>2</v>
      </c>
      <c r="M185" s="507">
        <v>6</v>
      </c>
      <c r="N185" s="506">
        <v>0</v>
      </c>
      <c r="O185" s="506">
        <v>0</v>
      </c>
      <c r="P185" s="506">
        <v>885.7</v>
      </c>
      <c r="Q185" s="506">
        <v>447</v>
      </c>
      <c r="R185" s="507">
        <v>1332.7</v>
      </c>
      <c r="S185" s="506">
        <v>0</v>
      </c>
      <c r="T185" s="506">
        <v>0</v>
      </c>
      <c r="U185" s="506">
        <v>60</v>
      </c>
      <c r="V185" s="506">
        <v>30</v>
      </c>
      <c r="W185" s="507">
        <v>90</v>
      </c>
      <c r="X185" s="506">
        <v>29</v>
      </c>
      <c r="Y185" s="506">
        <v>435</v>
      </c>
      <c r="Z185" s="508">
        <v>15</v>
      </c>
      <c r="AA185" s="506">
        <v>52</v>
      </c>
      <c r="AB185" s="506">
        <v>765.7</v>
      </c>
      <c r="AC185" s="508">
        <v>75</v>
      </c>
      <c r="AD185" s="506">
        <v>4</v>
      </c>
      <c r="AE185" s="506">
        <v>60</v>
      </c>
      <c r="AF185" s="508">
        <v>0</v>
      </c>
      <c r="AG185" s="509">
        <v>0</v>
      </c>
      <c r="AH185" s="509">
        <v>0</v>
      </c>
      <c r="AI185" s="508">
        <v>0</v>
      </c>
      <c r="AJ185" s="509">
        <v>32</v>
      </c>
      <c r="AK185" s="509">
        <v>480</v>
      </c>
      <c r="AL185" s="508">
        <v>0</v>
      </c>
      <c r="AM185" s="506">
        <v>32</v>
      </c>
      <c r="AN185" s="506">
        <v>480</v>
      </c>
      <c r="AO185" s="508">
        <v>0</v>
      </c>
      <c r="AP185" s="508"/>
      <c r="AQ185" s="508">
        <f t="shared" si="66"/>
        <v>32</v>
      </c>
      <c r="AR185" s="509">
        <v>0</v>
      </c>
      <c r="AS185" s="509">
        <v>0</v>
      </c>
      <c r="AT185" s="508">
        <v>0</v>
      </c>
      <c r="AU185" s="509">
        <v>0</v>
      </c>
      <c r="AV185" s="509">
        <v>0</v>
      </c>
      <c r="AW185" s="508">
        <v>0</v>
      </c>
      <c r="AX185" s="506">
        <v>0</v>
      </c>
      <c r="AY185" s="506">
        <v>0</v>
      </c>
      <c r="AZ185" s="508">
        <v>0</v>
      </c>
      <c r="BA185" s="508"/>
      <c r="BB185" s="508">
        <f t="shared" si="67"/>
        <v>0</v>
      </c>
      <c r="BC185" s="509">
        <v>0</v>
      </c>
      <c r="BD185" s="509">
        <v>0</v>
      </c>
      <c r="BE185" s="506">
        <v>0</v>
      </c>
      <c r="BF185" s="200"/>
      <c r="BG185" s="200"/>
      <c r="BH185" s="200"/>
      <c r="BI185" s="200"/>
      <c r="BJ185" s="200"/>
      <c r="BK185" s="200"/>
      <c r="BL185" s="200"/>
      <c r="BM185" s="505">
        <f t="shared" si="68"/>
        <v>0</v>
      </c>
      <c r="BN185" s="200">
        <f t="shared" si="69"/>
        <v>0</v>
      </c>
      <c r="BO185" s="200">
        <f t="shared" si="89"/>
        <v>0</v>
      </c>
      <c r="BP185" s="200">
        <f t="shared" si="70"/>
        <v>17325.100000000002</v>
      </c>
      <c r="BQ185" s="200">
        <f t="shared" si="71"/>
        <v>1170</v>
      </c>
      <c r="BR185" s="200">
        <f t="shared" si="72"/>
        <v>5850</v>
      </c>
      <c r="BS185" s="200">
        <f t="shared" si="73"/>
        <v>10929.1</v>
      </c>
      <c r="BT185" s="200">
        <f t="shared" si="74"/>
        <v>780</v>
      </c>
      <c r="BU185" s="200">
        <f t="shared" si="75"/>
        <v>6240</v>
      </c>
      <c r="BV185" s="200">
        <v>0</v>
      </c>
      <c r="BW185" s="200">
        <v>0</v>
      </c>
      <c r="BX185" s="200">
        <f t="shared" si="76"/>
        <v>0</v>
      </c>
      <c r="CB185" s="381">
        <f>_xlfn.IFNA(VLOOKUP(A185,'Actuals Summer'!$A:$AG,23,FALSE),0)</f>
        <v>17325.100000000002</v>
      </c>
      <c r="CC185" s="381">
        <f>_xlfn.IFNA(VLOOKUP(A185,'Actuals Summer'!$A:$AG,24,FALSE),0)</f>
        <v>1170</v>
      </c>
      <c r="CD185" s="381">
        <f>_xlfn.IFNA(VLOOKUP(A185,'Actuals Summer'!$A:$AG,25,FALSE),0)</f>
        <v>0</v>
      </c>
      <c r="CE185" s="381">
        <f>_xlfn.IFNA(VLOOKUP(A185,'Actuals Summer'!$A:$AG,26,FALSE),0)</f>
        <v>0</v>
      </c>
      <c r="CF185" s="381">
        <f>_xlfn.IFNA(VLOOKUP(A185,'Actuals Summer'!$A:$AG,27,FALSE),0)</f>
        <v>0</v>
      </c>
      <c r="CG185" s="381">
        <f>_xlfn.IFNA(VLOOKUP(A185,'Actuals Dep Summer'!B:O,6,FALSE)*$BN$3,0)</f>
        <v>5655</v>
      </c>
      <c r="CH185" s="381">
        <f>_xlfn.IFNA(VLOOKUP(A185,'Actuals Dep Summer'!B:O,7,FALSE)*$BN$3,0)</f>
        <v>9954.1</v>
      </c>
      <c r="CI185" s="381">
        <f>_xlfn.IFNA(VLOOKUP(A185,'Actuals Dep Summer'!B:O,8,FALSE)*$BN$3,0)</f>
        <v>780</v>
      </c>
      <c r="CJ185" s="381">
        <f>_xlfn.IFNA(VLOOKUP(A185,'Actuals Summer'!$A:$AG,31,FALSE),0)*$BN$3</f>
        <v>0</v>
      </c>
      <c r="CK185" s="381"/>
      <c r="CL185" s="381">
        <f>_xlfn.IFNA(VLOOKUP(A185,'Actuals Summer'!$A:$AG,32,FALSE),0)*$BN$3</f>
        <v>81120</v>
      </c>
      <c r="CM185" s="381">
        <f>_xlfn.IFNA(VLOOKUP(A185,'Actuals Summer'!$A:$AG,33,FALSE),0)</f>
        <v>0</v>
      </c>
      <c r="CP185" s="458">
        <f t="shared" si="77"/>
        <v>0</v>
      </c>
      <c r="CQ185" s="458">
        <f t="shared" si="78"/>
        <v>0</v>
      </c>
      <c r="CR185" s="458">
        <f t="shared" si="90"/>
        <v>0</v>
      </c>
      <c r="CS185" s="458">
        <f t="shared" si="79"/>
        <v>98060.066000000021</v>
      </c>
      <c r="CT185" s="458">
        <f t="shared" si="80"/>
        <v>6622.2</v>
      </c>
      <c r="CU185" s="458">
        <f t="shared" si="81"/>
        <v>3568.5</v>
      </c>
      <c r="CV185" s="458">
        <f t="shared" si="82"/>
        <v>3169.4389999999999</v>
      </c>
      <c r="CW185" s="458">
        <f t="shared" si="83"/>
        <v>62.4</v>
      </c>
      <c r="CX185" s="458">
        <f t="shared" si="84"/>
        <v>6240</v>
      </c>
      <c r="CY185" s="458">
        <f t="shared" si="85"/>
        <v>0</v>
      </c>
      <c r="CZ185" s="458">
        <f t="shared" si="86"/>
        <v>0</v>
      </c>
      <c r="DA185" s="458">
        <f t="shared" si="87"/>
        <v>0</v>
      </c>
      <c r="DB185" s="458">
        <f t="shared" si="88"/>
        <v>117722.60500000001</v>
      </c>
      <c r="DC185" s="452">
        <f>_xlfn.XLOOKUP($A185,'Actuals Summer'!$A:$A,'Actuals Summer'!L:L,0,0)</f>
        <v>0</v>
      </c>
      <c r="DD185" s="452">
        <f>_xlfn.XLOOKUP($A185,'Actuals Summer'!$A:$A,'Actuals Summer'!K:K,0,0)+_xlfn.XLOOKUP($A185,'Actuals Summer'!$A:$A,'Actuals Summer'!Q:Q,0,0)</f>
        <v>0</v>
      </c>
      <c r="DE185" s="452">
        <f>_xlfn.XLOOKUP($A185,'Actuals Summer'!$A:$A,'Actuals Summer'!I:I,0,0)+_xlfn.XLOOKUP($A185,'Actuals Summer'!$A:$A,'Actuals Summer'!R:R,0,0)</f>
        <v>98060.066000000021</v>
      </c>
      <c r="DF185" s="452">
        <f>_xlfn.XLOOKUP($A185,'Actuals Summer'!$A:$A,'Actuals Summer'!J:J,0,0)</f>
        <v>6622.2</v>
      </c>
      <c r="DG185" s="452">
        <f>_xlfn.XLOOKUP($A185,'Actuals Dep Summer'!$B:$B,'Actuals Dep Summer'!G:G,0,0)*'Actuals Dep Summer'!$F$2*'Actuals Dep Summer'!$C$2</f>
        <v>3449.5499999999997</v>
      </c>
      <c r="DH185" s="452">
        <f>_xlfn.XLOOKUP($A185,'Actuals Dep Summer'!$B:$B,'Actuals Dep Summer'!H:H,0,0)*'Actuals Dep Summer'!$F$2*'Actuals Dep Summer'!$C$3</f>
        <v>2886.6889999999999</v>
      </c>
      <c r="DI185" s="452">
        <f>_xlfn.XLOOKUP($A185,'Actuals Dep Summer'!$B:$B,'Actuals Dep Summer'!I:I,0,0)*'Actuals Dep Summer'!$F$2*'Actuals Dep Summer'!$C$4</f>
        <v>62.4</v>
      </c>
      <c r="DJ185" s="452">
        <f>_xlfn.XLOOKUP($A185,'Actuals Summer'!$A:$A,'Actuals Summer'!P:P,0,0)</f>
        <v>6240</v>
      </c>
      <c r="DK185" s="452">
        <f>_xlfn.XLOOKUP($A185,'Actuals Summer'!$A:$A,'Actuals Summer'!O:O,0,0)</f>
        <v>0</v>
      </c>
      <c r="DL185" s="452"/>
      <c r="DM185" s="452">
        <f>_xlfn.XLOOKUP($A185,'Actuals Summer'!$A:$A,'Actuals Summer'!M:M,0,0)</f>
        <v>0</v>
      </c>
      <c r="DN185" s="453">
        <f t="shared" si="91"/>
        <v>117320.90500000001</v>
      </c>
      <c r="DO185" s="453">
        <f>_xlfn.XLOOKUP(A185,'Actuals Summer'!A:A,'Actuals Summer'!S:S,0,0)-'Summer data team '!DN185</f>
        <v>0</v>
      </c>
      <c r="DP185" s="463">
        <f t="shared" si="92"/>
        <v>401.69999999999709</v>
      </c>
    </row>
    <row r="186" spans="1:120" ht="13" x14ac:dyDescent="0.3">
      <c r="A186" s="364">
        <v>3433</v>
      </c>
      <c r="B186" s="364">
        <v>3303433</v>
      </c>
      <c r="C186" s="364" t="s">
        <v>371</v>
      </c>
      <c r="D186" s="506">
        <v>0</v>
      </c>
      <c r="E186" s="506">
        <v>0</v>
      </c>
      <c r="F186" s="506">
        <v>0</v>
      </c>
      <c r="G186" s="506">
        <v>9</v>
      </c>
      <c r="H186" s="506">
        <v>12</v>
      </c>
      <c r="I186" s="507">
        <v>0</v>
      </c>
      <c r="J186" s="507">
        <v>21</v>
      </c>
      <c r="K186" s="506">
        <v>0</v>
      </c>
      <c r="L186" s="506">
        <v>0</v>
      </c>
      <c r="M186" s="507">
        <v>0</v>
      </c>
      <c r="N186" s="506">
        <v>0</v>
      </c>
      <c r="O186" s="506">
        <v>0</v>
      </c>
      <c r="P186" s="506">
        <v>135</v>
      </c>
      <c r="Q186" s="506">
        <v>180</v>
      </c>
      <c r="R186" s="507">
        <v>315</v>
      </c>
      <c r="S186" s="506">
        <v>0</v>
      </c>
      <c r="T186" s="506">
        <v>0</v>
      </c>
      <c r="U186" s="506">
        <v>0</v>
      </c>
      <c r="V186" s="506">
        <v>0</v>
      </c>
      <c r="W186" s="507">
        <v>0</v>
      </c>
      <c r="X186" s="506">
        <v>7</v>
      </c>
      <c r="Y186" s="506">
        <v>105</v>
      </c>
      <c r="Z186" s="508">
        <v>0</v>
      </c>
      <c r="AA186" s="506">
        <v>3</v>
      </c>
      <c r="AB186" s="506">
        <v>45</v>
      </c>
      <c r="AC186" s="508">
        <v>0</v>
      </c>
      <c r="AD186" s="506">
        <v>8</v>
      </c>
      <c r="AE186" s="506">
        <v>120</v>
      </c>
      <c r="AF186" s="508">
        <v>0</v>
      </c>
      <c r="AG186" s="509">
        <v>0</v>
      </c>
      <c r="AH186" s="509">
        <v>0</v>
      </c>
      <c r="AI186" s="508">
        <v>0</v>
      </c>
      <c r="AJ186" s="509">
        <v>12</v>
      </c>
      <c r="AK186" s="509">
        <v>180</v>
      </c>
      <c r="AL186" s="508">
        <v>0</v>
      </c>
      <c r="AM186" s="506">
        <v>12</v>
      </c>
      <c r="AN186" s="506">
        <v>180</v>
      </c>
      <c r="AO186" s="508">
        <v>0</v>
      </c>
      <c r="AP186" s="508"/>
      <c r="AQ186" s="508">
        <f t="shared" si="66"/>
        <v>12</v>
      </c>
      <c r="AR186" s="509">
        <v>0</v>
      </c>
      <c r="AS186" s="509">
        <v>0</v>
      </c>
      <c r="AT186" s="508">
        <v>0</v>
      </c>
      <c r="AU186" s="509">
        <v>12</v>
      </c>
      <c r="AV186" s="509">
        <v>180</v>
      </c>
      <c r="AW186" s="508">
        <v>0</v>
      </c>
      <c r="AX186" s="506">
        <v>12</v>
      </c>
      <c r="AY186" s="506">
        <v>180</v>
      </c>
      <c r="AZ186" s="508">
        <v>0</v>
      </c>
      <c r="BA186" s="508"/>
      <c r="BB186" s="508">
        <f t="shared" si="67"/>
        <v>24</v>
      </c>
      <c r="BC186" s="509">
        <v>0</v>
      </c>
      <c r="BD186" s="509">
        <v>0</v>
      </c>
      <c r="BE186" s="506">
        <v>0</v>
      </c>
      <c r="BF186" s="200"/>
      <c r="BG186" s="200"/>
      <c r="BH186" s="200"/>
      <c r="BI186" s="200"/>
      <c r="BJ186" s="200"/>
      <c r="BK186" s="200"/>
      <c r="BL186" s="200"/>
      <c r="BM186" s="505">
        <f t="shared" si="68"/>
        <v>0</v>
      </c>
      <c r="BN186" s="200">
        <f t="shared" si="69"/>
        <v>0</v>
      </c>
      <c r="BO186" s="200">
        <f t="shared" si="89"/>
        <v>0</v>
      </c>
      <c r="BP186" s="200">
        <f t="shared" si="70"/>
        <v>4095</v>
      </c>
      <c r="BQ186" s="200">
        <f t="shared" si="71"/>
        <v>0</v>
      </c>
      <c r="BR186" s="200">
        <f t="shared" si="72"/>
        <v>1365</v>
      </c>
      <c r="BS186" s="200">
        <f t="shared" si="73"/>
        <v>585</v>
      </c>
      <c r="BT186" s="200">
        <f t="shared" si="74"/>
        <v>1560</v>
      </c>
      <c r="BU186" s="200">
        <f t="shared" si="75"/>
        <v>2340</v>
      </c>
      <c r="BV186" s="200">
        <v>12</v>
      </c>
      <c r="BW186" s="200">
        <v>0</v>
      </c>
      <c r="BX186" s="200">
        <f t="shared" si="76"/>
        <v>0</v>
      </c>
      <c r="CB186" s="381">
        <f>_xlfn.IFNA(VLOOKUP(A186,'Actuals Summer'!$A:$AG,23,FALSE),0)</f>
        <v>4095</v>
      </c>
      <c r="CC186" s="381">
        <f>_xlfn.IFNA(VLOOKUP(A186,'Actuals Summer'!$A:$AG,24,FALSE),0)</f>
        <v>0</v>
      </c>
      <c r="CD186" s="381">
        <f>_xlfn.IFNA(VLOOKUP(A186,'Actuals Summer'!$A:$AG,25,FALSE),0)</f>
        <v>0</v>
      </c>
      <c r="CE186" s="381">
        <f>_xlfn.IFNA(VLOOKUP(A186,'Actuals Summer'!$A:$AG,26,FALSE),0)</f>
        <v>0</v>
      </c>
      <c r="CF186" s="381">
        <f>_xlfn.IFNA(VLOOKUP(A186,'Actuals Summer'!$A:$AG,27,FALSE),0)</f>
        <v>0</v>
      </c>
      <c r="CG186" s="381">
        <f>_xlfn.IFNA(VLOOKUP(A186,'Actuals Dep Summer'!B:O,6,FALSE)*$BN$3,0)</f>
        <v>1365</v>
      </c>
      <c r="CH186" s="381">
        <f>_xlfn.IFNA(VLOOKUP(A186,'Actuals Dep Summer'!B:O,7,FALSE)*$BN$3,0)</f>
        <v>585</v>
      </c>
      <c r="CI186" s="381">
        <f>_xlfn.IFNA(VLOOKUP(A186,'Actuals Dep Summer'!B:O,8,FALSE)*$BN$3,0)</f>
        <v>1560</v>
      </c>
      <c r="CJ186" s="381">
        <f>_xlfn.IFNA(VLOOKUP(A186,'Actuals Summer'!$A:$AG,31,FALSE),0)*$BN$3</f>
        <v>155.91417568311024</v>
      </c>
      <c r="CK186" s="381"/>
      <c r="CL186" s="381">
        <f>_xlfn.IFNA(VLOOKUP(A186,'Actuals Summer'!$A:$AG,32,FALSE),0)*$BN$3</f>
        <v>30420</v>
      </c>
      <c r="CM186" s="381">
        <f>_xlfn.IFNA(VLOOKUP(A186,'Actuals Summer'!$A:$AG,33,FALSE),0)</f>
        <v>0</v>
      </c>
      <c r="CP186" s="458">
        <f t="shared" si="77"/>
        <v>0</v>
      </c>
      <c r="CQ186" s="458">
        <f t="shared" si="78"/>
        <v>0</v>
      </c>
      <c r="CR186" s="458">
        <f t="shared" si="90"/>
        <v>0</v>
      </c>
      <c r="CS186" s="458">
        <f t="shared" si="79"/>
        <v>23177.7</v>
      </c>
      <c r="CT186" s="458">
        <f t="shared" si="80"/>
        <v>0</v>
      </c>
      <c r="CU186" s="458">
        <f t="shared" si="81"/>
        <v>832.65</v>
      </c>
      <c r="CV186" s="458">
        <f t="shared" si="82"/>
        <v>169.64999999999998</v>
      </c>
      <c r="CW186" s="458">
        <f t="shared" si="83"/>
        <v>124.8</v>
      </c>
      <c r="CX186" s="458">
        <f t="shared" si="84"/>
        <v>2340</v>
      </c>
      <c r="CY186" s="458">
        <f t="shared" si="85"/>
        <v>894.9473684210526</v>
      </c>
      <c r="CZ186" s="458">
        <f t="shared" si="86"/>
        <v>0</v>
      </c>
      <c r="DA186" s="458">
        <f t="shared" si="87"/>
        <v>0</v>
      </c>
      <c r="DB186" s="458">
        <f t="shared" si="88"/>
        <v>27539.747368421056</v>
      </c>
      <c r="DC186" s="452">
        <f>_xlfn.XLOOKUP($A186,'Actuals Summer'!$A:$A,'Actuals Summer'!L:L,0,0)</f>
        <v>0</v>
      </c>
      <c r="DD186" s="452">
        <f>_xlfn.XLOOKUP($A186,'Actuals Summer'!$A:$A,'Actuals Summer'!K:K,0,0)+_xlfn.XLOOKUP($A186,'Actuals Summer'!$A:$A,'Actuals Summer'!Q:Q,0,0)</f>
        <v>0</v>
      </c>
      <c r="DE186" s="452">
        <f>_xlfn.XLOOKUP($A186,'Actuals Summer'!$A:$A,'Actuals Summer'!I:I,0,0)+_xlfn.XLOOKUP($A186,'Actuals Summer'!$A:$A,'Actuals Summer'!R:R,0,0)</f>
        <v>23177.7</v>
      </c>
      <c r="DF186" s="452">
        <f>_xlfn.XLOOKUP($A186,'Actuals Summer'!$A:$A,'Actuals Summer'!J:J,0,0)</f>
        <v>0</v>
      </c>
      <c r="DG186" s="452">
        <f>_xlfn.XLOOKUP($A186,'Actuals Dep Summer'!$B:$B,'Actuals Dep Summer'!G:G,0,0)*'Actuals Dep Summer'!$F$2*'Actuals Dep Summer'!$C$2</f>
        <v>832.65</v>
      </c>
      <c r="DH186" s="452">
        <f>_xlfn.XLOOKUP($A186,'Actuals Dep Summer'!$B:$B,'Actuals Dep Summer'!H:H,0,0)*'Actuals Dep Summer'!$F$2*'Actuals Dep Summer'!$C$3</f>
        <v>169.64999999999998</v>
      </c>
      <c r="DI186" s="452">
        <f>_xlfn.XLOOKUP($A186,'Actuals Dep Summer'!$B:$B,'Actuals Dep Summer'!I:I,0,0)*'Actuals Dep Summer'!$F$2*'Actuals Dep Summer'!$C$4</f>
        <v>124.8</v>
      </c>
      <c r="DJ186" s="452">
        <f>_xlfn.XLOOKUP($A186,'Actuals Summer'!$A:$A,'Actuals Summer'!P:P,0,0)</f>
        <v>2340</v>
      </c>
      <c r="DK186" s="452">
        <f>_xlfn.XLOOKUP($A186,'Actuals Summer'!$A:$A,'Actuals Summer'!O:O,0,0)</f>
        <v>894.94736842105272</v>
      </c>
      <c r="DL186" s="452"/>
      <c r="DM186" s="452">
        <f>_xlfn.XLOOKUP($A186,'Actuals Summer'!$A:$A,'Actuals Summer'!M:M,0,0)</f>
        <v>0</v>
      </c>
      <c r="DN186" s="453">
        <f t="shared" si="91"/>
        <v>27539.747368421056</v>
      </c>
      <c r="DO186" s="453">
        <f>_xlfn.XLOOKUP(A186,'Actuals Summer'!A:A,'Actuals Summer'!S:S,0,0)-'Summer data team '!DN186</f>
        <v>0</v>
      </c>
      <c r="DP186" s="463">
        <f t="shared" si="92"/>
        <v>0</v>
      </c>
    </row>
    <row r="187" spans="1:120" ht="13" x14ac:dyDescent="0.3">
      <c r="A187" s="364">
        <v>4001</v>
      </c>
      <c r="B187" s="364">
        <v>3304001</v>
      </c>
      <c r="C187" s="364" t="s">
        <v>372</v>
      </c>
      <c r="D187" s="506">
        <v>0</v>
      </c>
      <c r="E187" s="506">
        <v>0</v>
      </c>
      <c r="F187" s="506">
        <v>0</v>
      </c>
      <c r="G187" s="506">
        <v>15</v>
      </c>
      <c r="H187" s="506">
        <v>11</v>
      </c>
      <c r="I187" s="507">
        <v>0</v>
      </c>
      <c r="J187" s="507">
        <v>26</v>
      </c>
      <c r="K187" s="506">
        <v>0</v>
      </c>
      <c r="L187" s="506">
        <v>0</v>
      </c>
      <c r="M187" s="507">
        <v>0</v>
      </c>
      <c r="N187" s="506">
        <v>0</v>
      </c>
      <c r="O187" s="506">
        <v>0</v>
      </c>
      <c r="P187" s="506">
        <v>225</v>
      </c>
      <c r="Q187" s="506">
        <v>165</v>
      </c>
      <c r="R187" s="507">
        <v>390</v>
      </c>
      <c r="S187" s="506">
        <v>0</v>
      </c>
      <c r="T187" s="506">
        <v>0</v>
      </c>
      <c r="U187" s="506">
        <v>0</v>
      </c>
      <c r="V187" s="506">
        <v>0</v>
      </c>
      <c r="W187" s="507">
        <v>0</v>
      </c>
      <c r="X187" s="506">
        <v>14</v>
      </c>
      <c r="Y187" s="506">
        <v>210</v>
      </c>
      <c r="Z187" s="508">
        <v>0</v>
      </c>
      <c r="AA187" s="506">
        <v>9</v>
      </c>
      <c r="AB187" s="506">
        <v>135</v>
      </c>
      <c r="AC187" s="508">
        <v>0</v>
      </c>
      <c r="AD187" s="506">
        <v>0</v>
      </c>
      <c r="AE187" s="506">
        <v>0</v>
      </c>
      <c r="AF187" s="508">
        <v>0</v>
      </c>
      <c r="AG187" s="509">
        <v>0</v>
      </c>
      <c r="AH187" s="509">
        <v>0</v>
      </c>
      <c r="AI187" s="508">
        <v>0</v>
      </c>
      <c r="AJ187" s="509">
        <v>13</v>
      </c>
      <c r="AK187" s="509">
        <v>195</v>
      </c>
      <c r="AL187" s="508">
        <v>0</v>
      </c>
      <c r="AM187" s="506">
        <v>13</v>
      </c>
      <c r="AN187" s="506">
        <v>195</v>
      </c>
      <c r="AO187" s="508">
        <v>0</v>
      </c>
      <c r="AP187" s="508"/>
      <c r="AQ187" s="508">
        <f t="shared" si="66"/>
        <v>13</v>
      </c>
      <c r="AR187" s="509">
        <v>0</v>
      </c>
      <c r="AS187" s="509">
        <v>0</v>
      </c>
      <c r="AT187" s="508">
        <v>0</v>
      </c>
      <c r="AU187" s="509">
        <v>12</v>
      </c>
      <c r="AV187" s="509">
        <v>180</v>
      </c>
      <c r="AW187" s="508">
        <v>0</v>
      </c>
      <c r="AX187" s="506">
        <v>12</v>
      </c>
      <c r="AY187" s="506">
        <v>180</v>
      </c>
      <c r="AZ187" s="508">
        <v>0</v>
      </c>
      <c r="BA187" s="508"/>
      <c r="BB187" s="508">
        <f t="shared" si="67"/>
        <v>24</v>
      </c>
      <c r="BC187" s="509">
        <v>0</v>
      </c>
      <c r="BD187" s="509">
        <v>0</v>
      </c>
      <c r="BE187" s="506">
        <v>0</v>
      </c>
      <c r="BF187" s="200"/>
      <c r="BG187" s="200"/>
      <c r="BH187" s="200"/>
      <c r="BI187" s="200"/>
      <c r="BJ187" s="200"/>
      <c r="BK187" s="200"/>
      <c r="BL187" s="200"/>
      <c r="BM187" s="505">
        <f t="shared" si="68"/>
        <v>0</v>
      </c>
      <c r="BN187" s="200">
        <f t="shared" si="69"/>
        <v>0</v>
      </c>
      <c r="BO187" s="200">
        <f t="shared" si="89"/>
        <v>0</v>
      </c>
      <c r="BP187" s="200">
        <f t="shared" si="70"/>
        <v>5070</v>
      </c>
      <c r="BQ187" s="200">
        <f t="shared" si="71"/>
        <v>0</v>
      </c>
      <c r="BR187" s="200">
        <f t="shared" si="72"/>
        <v>2730</v>
      </c>
      <c r="BS187" s="200">
        <f t="shared" si="73"/>
        <v>1755</v>
      </c>
      <c r="BT187" s="200">
        <f t="shared" si="74"/>
        <v>0</v>
      </c>
      <c r="BU187" s="200">
        <f t="shared" si="75"/>
        <v>2535</v>
      </c>
      <c r="BV187" s="200">
        <v>12</v>
      </c>
      <c r="BW187" s="200">
        <v>0</v>
      </c>
      <c r="BX187" s="200">
        <f t="shared" si="76"/>
        <v>0</v>
      </c>
      <c r="CB187" s="381">
        <f>_xlfn.IFNA(VLOOKUP(A187,'Actuals Summer'!$A:$AG,23,FALSE),0)</f>
        <v>5070</v>
      </c>
      <c r="CC187" s="381">
        <f>_xlfn.IFNA(VLOOKUP(A187,'Actuals Summer'!$A:$AG,24,FALSE),0)</f>
        <v>0</v>
      </c>
      <c r="CD187" s="381">
        <f>_xlfn.IFNA(VLOOKUP(A187,'Actuals Summer'!$A:$AG,25,FALSE),0)</f>
        <v>0</v>
      </c>
      <c r="CE187" s="381">
        <f>_xlfn.IFNA(VLOOKUP(A187,'Actuals Summer'!$A:$AG,26,FALSE),0)</f>
        <v>0</v>
      </c>
      <c r="CF187" s="381">
        <f>_xlfn.IFNA(VLOOKUP(A187,'Actuals Summer'!$A:$AG,27,FALSE),0)</f>
        <v>0</v>
      </c>
      <c r="CG187" s="381">
        <f>_xlfn.IFNA(VLOOKUP(A187,'Actuals Dep Summer'!B:O,6,FALSE)*$BN$3,0)</f>
        <v>2730</v>
      </c>
      <c r="CH187" s="381">
        <f>_xlfn.IFNA(VLOOKUP(A187,'Actuals Dep Summer'!B:O,7,FALSE)*$BN$3,0)</f>
        <v>1755</v>
      </c>
      <c r="CI187" s="381">
        <f>_xlfn.IFNA(VLOOKUP(A187,'Actuals Dep Summer'!B:O,8,FALSE)*$BN$3,0)</f>
        <v>0</v>
      </c>
      <c r="CJ187" s="381">
        <f>_xlfn.IFNA(VLOOKUP(A187,'Actuals Summer'!$A:$AG,31,FALSE),0)*$BN$3</f>
        <v>155.91417568311024</v>
      </c>
      <c r="CK187" s="381"/>
      <c r="CL187" s="381">
        <f>_xlfn.IFNA(VLOOKUP(A187,'Actuals Summer'!$A:$AG,32,FALSE),0)*$BN$3</f>
        <v>32955</v>
      </c>
      <c r="CM187" s="381">
        <f>_xlfn.IFNA(VLOOKUP(A187,'Actuals Summer'!$A:$AG,33,FALSE),0)</f>
        <v>0</v>
      </c>
      <c r="CP187" s="458">
        <f t="shared" si="77"/>
        <v>0</v>
      </c>
      <c r="CQ187" s="458">
        <f t="shared" si="78"/>
        <v>0</v>
      </c>
      <c r="CR187" s="458">
        <f t="shared" si="90"/>
        <v>0</v>
      </c>
      <c r="CS187" s="458">
        <f t="shared" si="79"/>
        <v>28696.2</v>
      </c>
      <c r="CT187" s="458">
        <f t="shared" si="80"/>
        <v>0</v>
      </c>
      <c r="CU187" s="458">
        <f t="shared" si="81"/>
        <v>1665.3</v>
      </c>
      <c r="CV187" s="458">
        <f t="shared" si="82"/>
        <v>508.95</v>
      </c>
      <c r="CW187" s="458">
        <f t="shared" si="83"/>
        <v>0</v>
      </c>
      <c r="CX187" s="458">
        <f t="shared" si="84"/>
        <v>2535</v>
      </c>
      <c r="CY187" s="458">
        <f t="shared" si="85"/>
        <v>894.9473684210526</v>
      </c>
      <c r="CZ187" s="458">
        <f t="shared" si="86"/>
        <v>0</v>
      </c>
      <c r="DA187" s="458">
        <f t="shared" si="87"/>
        <v>0</v>
      </c>
      <c r="DB187" s="458">
        <f t="shared" si="88"/>
        <v>34300.39736842105</v>
      </c>
      <c r="DC187" s="452">
        <f>_xlfn.XLOOKUP($A187,'Actuals Summer'!$A:$A,'Actuals Summer'!L:L,0,0)</f>
        <v>0</v>
      </c>
      <c r="DD187" s="452">
        <f>_xlfn.XLOOKUP($A187,'Actuals Summer'!$A:$A,'Actuals Summer'!K:K,0,0)+_xlfn.XLOOKUP($A187,'Actuals Summer'!$A:$A,'Actuals Summer'!Q:Q,0,0)</f>
        <v>0</v>
      </c>
      <c r="DE187" s="452">
        <f>_xlfn.XLOOKUP($A187,'Actuals Summer'!$A:$A,'Actuals Summer'!I:I,0,0)+_xlfn.XLOOKUP($A187,'Actuals Summer'!$A:$A,'Actuals Summer'!R:R,0,0)</f>
        <v>28696.2</v>
      </c>
      <c r="DF187" s="452">
        <f>_xlfn.XLOOKUP($A187,'Actuals Summer'!$A:$A,'Actuals Summer'!J:J,0,0)</f>
        <v>0</v>
      </c>
      <c r="DG187" s="452">
        <f>_xlfn.XLOOKUP($A187,'Actuals Dep Summer'!$B:$B,'Actuals Dep Summer'!G:G,0,0)*'Actuals Dep Summer'!$F$2*'Actuals Dep Summer'!$C$2</f>
        <v>1665.3</v>
      </c>
      <c r="DH187" s="452">
        <f>_xlfn.XLOOKUP($A187,'Actuals Dep Summer'!$B:$B,'Actuals Dep Summer'!H:H,0,0)*'Actuals Dep Summer'!$F$2*'Actuals Dep Summer'!$C$3</f>
        <v>508.95</v>
      </c>
      <c r="DI187" s="452">
        <f>_xlfn.XLOOKUP($A187,'Actuals Dep Summer'!$B:$B,'Actuals Dep Summer'!I:I,0,0)*'Actuals Dep Summer'!$F$2*'Actuals Dep Summer'!$C$4</f>
        <v>0</v>
      </c>
      <c r="DJ187" s="452">
        <f>_xlfn.XLOOKUP($A187,'Actuals Summer'!$A:$A,'Actuals Summer'!P:P,0,0)</f>
        <v>2535</v>
      </c>
      <c r="DK187" s="452">
        <f>_xlfn.XLOOKUP($A187,'Actuals Summer'!$A:$A,'Actuals Summer'!O:O,0,0)</f>
        <v>894.94736842105272</v>
      </c>
      <c r="DL187" s="452"/>
      <c r="DM187" s="452">
        <f>_xlfn.XLOOKUP($A187,'Actuals Summer'!$A:$A,'Actuals Summer'!M:M,0,0)</f>
        <v>0</v>
      </c>
      <c r="DN187" s="453">
        <f t="shared" si="91"/>
        <v>34300.39736842105</v>
      </c>
      <c r="DO187" s="453">
        <f>_xlfn.XLOOKUP(A187,'Actuals Summer'!A:A,'Actuals Summer'!S:S,0,0)-'Summer data team '!DN187</f>
        <v>0</v>
      </c>
      <c r="DP187" s="463">
        <f t="shared" si="92"/>
        <v>0</v>
      </c>
    </row>
    <row r="188" spans="1:120" ht="13" x14ac:dyDescent="0.3">
      <c r="A188" s="364">
        <v>4019</v>
      </c>
      <c r="B188" s="364">
        <v>3304019</v>
      </c>
      <c r="C188" s="364" t="s">
        <v>373</v>
      </c>
      <c r="D188" s="506">
        <v>0</v>
      </c>
      <c r="E188" s="506">
        <v>0</v>
      </c>
      <c r="F188" s="506">
        <v>0</v>
      </c>
      <c r="G188" s="506">
        <v>58</v>
      </c>
      <c r="H188" s="506">
        <v>37</v>
      </c>
      <c r="I188" s="507">
        <v>0</v>
      </c>
      <c r="J188" s="507">
        <v>95</v>
      </c>
      <c r="K188" s="506">
        <v>4</v>
      </c>
      <c r="L188" s="506">
        <v>3</v>
      </c>
      <c r="M188" s="507">
        <v>7</v>
      </c>
      <c r="N188" s="506">
        <v>0</v>
      </c>
      <c r="O188" s="506">
        <v>0</v>
      </c>
      <c r="P188" s="506">
        <v>870</v>
      </c>
      <c r="Q188" s="506">
        <v>555</v>
      </c>
      <c r="R188" s="507">
        <v>1425</v>
      </c>
      <c r="S188" s="506">
        <v>0</v>
      </c>
      <c r="T188" s="506">
        <v>0</v>
      </c>
      <c r="U188" s="506">
        <v>60</v>
      </c>
      <c r="V188" s="506">
        <v>45</v>
      </c>
      <c r="W188" s="507">
        <v>105</v>
      </c>
      <c r="X188" s="506">
        <v>1</v>
      </c>
      <c r="Y188" s="506">
        <v>15</v>
      </c>
      <c r="Z188" s="508">
        <v>0</v>
      </c>
      <c r="AA188" s="506">
        <v>5</v>
      </c>
      <c r="AB188" s="506">
        <v>75</v>
      </c>
      <c r="AC188" s="508">
        <v>0</v>
      </c>
      <c r="AD188" s="506">
        <v>61</v>
      </c>
      <c r="AE188" s="506">
        <v>915</v>
      </c>
      <c r="AF188" s="508">
        <v>75</v>
      </c>
      <c r="AG188" s="509">
        <v>0</v>
      </c>
      <c r="AH188" s="509">
        <v>0</v>
      </c>
      <c r="AI188" s="508">
        <v>0</v>
      </c>
      <c r="AJ188" s="509">
        <v>18</v>
      </c>
      <c r="AK188" s="509">
        <v>270</v>
      </c>
      <c r="AL188" s="508">
        <v>15</v>
      </c>
      <c r="AM188" s="506">
        <v>18</v>
      </c>
      <c r="AN188" s="506">
        <v>270</v>
      </c>
      <c r="AO188" s="508">
        <v>15</v>
      </c>
      <c r="AP188" s="508"/>
      <c r="AQ188" s="508">
        <f t="shared" si="66"/>
        <v>18</v>
      </c>
      <c r="AR188" s="509">
        <v>0</v>
      </c>
      <c r="AS188" s="509">
        <v>0</v>
      </c>
      <c r="AT188" s="508">
        <v>0</v>
      </c>
      <c r="AU188" s="509">
        <v>18</v>
      </c>
      <c r="AV188" s="509">
        <v>270</v>
      </c>
      <c r="AW188" s="508">
        <v>15</v>
      </c>
      <c r="AX188" s="506">
        <v>18</v>
      </c>
      <c r="AY188" s="506">
        <v>270</v>
      </c>
      <c r="AZ188" s="508">
        <v>15</v>
      </c>
      <c r="BA188" s="508"/>
      <c r="BB188" s="508">
        <f t="shared" si="67"/>
        <v>36</v>
      </c>
      <c r="BC188" s="509">
        <v>0</v>
      </c>
      <c r="BD188" s="509">
        <v>0</v>
      </c>
      <c r="BE188" s="506">
        <v>0</v>
      </c>
      <c r="BF188" s="200"/>
      <c r="BG188" s="200"/>
      <c r="BH188" s="200"/>
      <c r="BI188" s="200"/>
      <c r="BJ188" s="200"/>
      <c r="BK188" s="200"/>
      <c r="BL188" s="200"/>
      <c r="BM188" s="505">
        <f t="shared" si="68"/>
        <v>0</v>
      </c>
      <c r="BN188" s="200">
        <f t="shared" si="69"/>
        <v>0</v>
      </c>
      <c r="BO188" s="200">
        <f t="shared" si="89"/>
        <v>0</v>
      </c>
      <c r="BP188" s="200">
        <f t="shared" si="70"/>
        <v>18525</v>
      </c>
      <c r="BQ188" s="200">
        <f t="shared" si="71"/>
        <v>1365</v>
      </c>
      <c r="BR188" s="200">
        <f t="shared" si="72"/>
        <v>195</v>
      </c>
      <c r="BS188" s="200">
        <f t="shared" si="73"/>
        <v>975</v>
      </c>
      <c r="BT188" s="200">
        <f t="shared" si="74"/>
        <v>12870</v>
      </c>
      <c r="BU188" s="200">
        <f t="shared" si="75"/>
        <v>3510</v>
      </c>
      <c r="BV188" s="200">
        <v>17</v>
      </c>
      <c r="BW188" s="200">
        <v>1</v>
      </c>
      <c r="BX188" s="200">
        <f t="shared" si="76"/>
        <v>0</v>
      </c>
      <c r="CB188" s="381">
        <f>_xlfn.IFNA(VLOOKUP(A188,'Actuals Summer'!$A:$AG,23,FALSE),0)</f>
        <v>18525</v>
      </c>
      <c r="CC188" s="381">
        <f>_xlfn.IFNA(VLOOKUP(A188,'Actuals Summer'!$A:$AG,24,FALSE),0)</f>
        <v>1365</v>
      </c>
      <c r="CD188" s="381">
        <f>_xlfn.IFNA(VLOOKUP(A188,'Actuals Summer'!$A:$AG,25,FALSE),0)</f>
        <v>0</v>
      </c>
      <c r="CE188" s="381">
        <f>_xlfn.IFNA(VLOOKUP(A188,'Actuals Summer'!$A:$AG,26,FALSE),0)</f>
        <v>0</v>
      </c>
      <c r="CF188" s="381">
        <f>_xlfn.IFNA(VLOOKUP(A188,'Actuals Summer'!$A:$AG,27,FALSE),0)</f>
        <v>0</v>
      </c>
      <c r="CG188" s="381">
        <f>_xlfn.IFNA(VLOOKUP(A188,'Actuals Dep Summer'!B:O,6,FALSE)*$BN$3,0)</f>
        <v>195</v>
      </c>
      <c r="CH188" s="381">
        <f>_xlfn.IFNA(VLOOKUP(A188,'Actuals Dep Summer'!B:O,7,FALSE)*$BN$3,0)</f>
        <v>975</v>
      </c>
      <c r="CI188" s="381">
        <f>_xlfn.IFNA(VLOOKUP(A188,'Actuals Dep Summer'!B:O,8,FALSE)*$BN$3,0)</f>
        <v>11895</v>
      </c>
      <c r="CJ188" s="381">
        <f>_xlfn.IFNA(VLOOKUP(A188,'Actuals Summer'!$A:$AG,31,FALSE),0)*$BN$3</f>
        <v>233.87126352466532</v>
      </c>
      <c r="CK188" s="381"/>
      <c r="CL188" s="381">
        <f>_xlfn.IFNA(VLOOKUP(A188,'Actuals Summer'!$A:$AG,32,FALSE),0)*$BN$3</f>
        <v>45630</v>
      </c>
      <c r="CM188" s="381">
        <f>_xlfn.IFNA(VLOOKUP(A188,'Actuals Summer'!$A:$AG,33,FALSE),0)</f>
        <v>0</v>
      </c>
      <c r="CP188" s="458">
        <f t="shared" si="77"/>
        <v>0</v>
      </c>
      <c r="CQ188" s="458">
        <f t="shared" si="78"/>
        <v>0</v>
      </c>
      <c r="CR188" s="458">
        <f t="shared" si="90"/>
        <v>0</v>
      </c>
      <c r="CS188" s="458">
        <f t="shared" si="79"/>
        <v>104851.5</v>
      </c>
      <c r="CT188" s="458">
        <f t="shared" si="80"/>
        <v>7725.9000000000005</v>
      </c>
      <c r="CU188" s="458">
        <f t="shared" si="81"/>
        <v>118.95</v>
      </c>
      <c r="CV188" s="458">
        <f t="shared" si="82"/>
        <v>282.75</v>
      </c>
      <c r="CW188" s="458">
        <f t="shared" si="83"/>
        <v>1029.5999999999999</v>
      </c>
      <c r="CX188" s="458">
        <f t="shared" si="84"/>
        <v>3510</v>
      </c>
      <c r="CY188" s="458">
        <f t="shared" si="85"/>
        <v>1267.8421052631577</v>
      </c>
      <c r="CZ188" s="458">
        <f t="shared" si="86"/>
        <v>186.44736842105263</v>
      </c>
      <c r="DA188" s="458">
        <f t="shared" si="87"/>
        <v>0</v>
      </c>
      <c r="DB188" s="458">
        <f t="shared" si="88"/>
        <v>118972.98947368421</v>
      </c>
      <c r="DC188" s="452">
        <f>_xlfn.XLOOKUP($A188,'Actuals Summer'!$A:$A,'Actuals Summer'!L:L,0,0)</f>
        <v>0</v>
      </c>
      <c r="DD188" s="452">
        <f>_xlfn.XLOOKUP($A188,'Actuals Summer'!$A:$A,'Actuals Summer'!K:K,0,0)+_xlfn.XLOOKUP($A188,'Actuals Summer'!$A:$A,'Actuals Summer'!Q:Q,0,0)</f>
        <v>0</v>
      </c>
      <c r="DE188" s="452">
        <f>_xlfn.XLOOKUP($A188,'Actuals Summer'!$A:$A,'Actuals Summer'!I:I,0,0)+_xlfn.XLOOKUP($A188,'Actuals Summer'!$A:$A,'Actuals Summer'!R:R,0,0)</f>
        <v>104851.5</v>
      </c>
      <c r="DF188" s="452">
        <f>_xlfn.XLOOKUP($A188,'Actuals Summer'!$A:$A,'Actuals Summer'!J:J,0,0)</f>
        <v>7725.9000000000005</v>
      </c>
      <c r="DG188" s="452">
        <f>_xlfn.XLOOKUP($A188,'Actuals Dep Summer'!$B:$B,'Actuals Dep Summer'!G:G,0,0)*'Actuals Dep Summer'!$F$2*'Actuals Dep Summer'!$C$2</f>
        <v>118.95</v>
      </c>
      <c r="DH188" s="452">
        <f>_xlfn.XLOOKUP($A188,'Actuals Dep Summer'!$B:$B,'Actuals Dep Summer'!H:H,0,0)*'Actuals Dep Summer'!$F$2*'Actuals Dep Summer'!$C$3</f>
        <v>282.75</v>
      </c>
      <c r="DI188" s="452">
        <f>_xlfn.XLOOKUP($A188,'Actuals Dep Summer'!$B:$B,'Actuals Dep Summer'!I:I,0,0)*'Actuals Dep Summer'!$F$2*'Actuals Dep Summer'!$C$4</f>
        <v>951.6</v>
      </c>
      <c r="DJ188" s="452">
        <f>_xlfn.XLOOKUP($A188,'Actuals Summer'!$A:$A,'Actuals Summer'!P:P,0,0)</f>
        <v>3510</v>
      </c>
      <c r="DK188" s="452">
        <f>_xlfn.XLOOKUP($A188,'Actuals Summer'!$A:$A,'Actuals Summer'!O:O,0,0)</f>
        <v>1342.421052631579</v>
      </c>
      <c r="DL188" s="452"/>
      <c r="DM188" s="452">
        <f>_xlfn.XLOOKUP($A188,'Actuals Summer'!$A:$A,'Actuals Summer'!M:M,0,0)</f>
        <v>0</v>
      </c>
      <c r="DN188" s="453">
        <f t="shared" si="91"/>
        <v>118783.12105263157</v>
      </c>
      <c r="DO188" s="453">
        <f>_xlfn.XLOOKUP(A188,'Actuals Summer'!A:A,'Actuals Summer'!S:S,0,0)-'Summer data team '!DN188</f>
        <v>0</v>
      </c>
      <c r="DP188" s="463">
        <f t="shared" si="92"/>
        <v>189.86842105264077</v>
      </c>
    </row>
    <row r="189" spans="1:120" ht="13" x14ac:dyDescent="0.3">
      <c r="A189" s="364">
        <v>4038</v>
      </c>
      <c r="B189" s="364">
        <v>3304038</v>
      </c>
      <c r="C189" s="364" t="s">
        <v>374</v>
      </c>
      <c r="D189" s="506">
        <v>0</v>
      </c>
      <c r="E189" s="506">
        <v>0</v>
      </c>
      <c r="F189" s="506">
        <v>0</v>
      </c>
      <c r="G189" s="506">
        <v>68</v>
      </c>
      <c r="H189" s="506">
        <v>55</v>
      </c>
      <c r="I189" s="507">
        <v>0</v>
      </c>
      <c r="J189" s="507">
        <v>123</v>
      </c>
      <c r="K189" s="506">
        <v>1</v>
      </c>
      <c r="L189" s="506">
        <v>3</v>
      </c>
      <c r="M189" s="507">
        <v>4</v>
      </c>
      <c r="N189" s="506">
        <v>0</v>
      </c>
      <c r="O189" s="506">
        <v>0</v>
      </c>
      <c r="P189" s="506">
        <v>1020</v>
      </c>
      <c r="Q189" s="506">
        <v>825</v>
      </c>
      <c r="R189" s="507">
        <v>1845</v>
      </c>
      <c r="S189" s="506">
        <v>0</v>
      </c>
      <c r="T189" s="506">
        <v>0</v>
      </c>
      <c r="U189" s="506">
        <v>15</v>
      </c>
      <c r="V189" s="506">
        <v>45</v>
      </c>
      <c r="W189" s="507">
        <v>60</v>
      </c>
      <c r="X189" s="506">
        <v>11</v>
      </c>
      <c r="Y189" s="506">
        <v>165</v>
      </c>
      <c r="Z189" s="508">
        <v>0</v>
      </c>
      <c r="AA189" s="506">
        <v>30</v>
      </c>
      <c r="AB189" s="506">
        <v>450</v>
      </c>
      <c r="AC189" s="508">
        <v>15</v>
      </c>
      <c r="AD189" s="506">
        <v>68</v>
      </c>
      <c r="AE189" s="506">
        <v>1020</v>
      </c>
      <c r="AF189" s="508">
        <v>45</v>
      </c>
      <c r="AG189" s="509">
        <v>0</v>
      </c>
      <c r="AH189" s="509">
        <v>0</v>
      </c>
      <c r="AI189" s="508">
        <v>0</v>
      </c>
      <c r="AJ189" s="509">
        <v>7</v>
      </c>
      <c r="AK189" s="509">
        <v>105</v>
      </c>
      <c r="AL189" s="508">
        <v>60</v>
      </c>
      <c r="AM189" s="506">
        <v>7</v>
      </c>
      <c r="AN189" s="506">
        <v>105</v>
      </c>
      <c r="AO189" s="508">
        <v>60</v>
      </c>
      <c r="AP189" s="508"/>
      <c r="AQ189" s="508">
        <f t="shared" si="66"/>
        <v>7</v>
      </c>
      <c r="AR189" s="509">
        <v>0</v>
      </c>
      <c r="AS189" s="509">
        <v>0</v>
      </c>
      <c r="AT189" s="508">
        <v>0</v>
      </c>
      <c r="AU189" s="509">
        <v>1</v>
      </c>
      <c r="AV189" s="509">
        <v>15</v>
      </c>
      <c r="AW189" s="508">
        <v>0</v>
      </c>
      <c r="AX189" s="506">
        <v>1</v>
      </c>
      <c r="AY189" s="506">
        <v>15</v>
      </c>
      <c r="AZ189" s="508">
        <v>0</v>
      </c>
      <c r="BA189" s="508"/>
      <c r="BB189" s="508">
        <f t="shared" si="67"/>
        <v>2</v>
      </c>
      <c r="BC189" s="509">
        <v>0</v>
      </c>
      <c r="BD189" s="509">
        <v>0</v>
      </c>
      <c r="BE189" s="506">
        <v>0</v>
      </c>
      <c r="BF189" s="200"/>
      <c r="BG189" s="200"/>
      <c r="BH189" s="200"/>
      <c r="BI189" s="200"/>
      <c r="BJ189" s="200"/>
      <c r="BK189" s="200"/>
      <c r="BL189" s="200"/>
      <c r="BM189" s="505">
        <f t="shared" si="68"/>
        <v>0</v>
      </c>
      <c r="BN189" s="200">
        <f t="shared" si="69"/>
        <v>0</v>
      </c>
      <c r="BO189" s="200">
        <f t="shared" si="89"/>
        <v>0</v>
      </c>
      <c r="BP189" s="200">
        <f t="shared" si="70"/>
        <v>23985</v>
      </c>
      <c r="BQ189" s="200">
        <f t="shared" si="71"/>
        <v>780</v>
      </c>
      <c r="BR189" s="200">
        <f t="shared" si="72"/>
        <v>2145</v>
      </c>
      <c r="BS189" s="200">
        <f t="shared" si="73"/>
        <v>6045</v>
      </c>
      <c r="BT189" s="200">
        <f t="shared" si="74"/>
        <v>13845</v>
      </c>
      <c r="BU189" s="200">
        <f t="shared" si="75"/>
        <v>1365</v>
      </c>
      <c r="BV189" s="200">
        <v>1</v>
      </c>
      <c r="BW189" s="200">
        <v>0</v>
      </c>
      <c r="BX189" s="200">
        <f t="shared" si="76"/>
        <v>0</v>
      </c>
      <c r="CB189" s="381">
        <f>_xlfn.IFNA(VLOOKUP(A189,'Actuals Summer'!$A:$AG,23,FALSE),0)</f>
        <v>23985</v>
      </c>
      <c r="CC189" s="381">
        <f>_xlfn.IFNA(VLOOKUP(A189,'Actuals Summer'!$A:$AG,24,FALSE),0)</f>
        <v>780</v>
      </c>
      <c r="CD189" s="381">
        <f>_xlfn.IFNA(VLOOKUP(A189,'Actuals Summer'!$A:$AG,25,FALSE),0)</f>
        <v>0</v>
      </c>
      <c r="CE189" s="381">
        <f>_xlfn.IFNA(VLOOKUP(A189,'Actuals Summer'!$A:$AG,26,FALSE),0)</f>
        <v>0</v>
      </c>
      <c r="CF189" s="381">
        <f>_xlfn.IFNA(VLOOKUP(A189,'Actuals Summer'!$A:$AG,27,FALSE),0)</f>
        <v>0</v>
      </c>
      <c r="CG189" s="381">
        <f>_xlfn.IFNA(VLOOKUP(A189,'Actuals Dep Summer'!B:O,6,FALSE)*$BN$3,0)</f>
        <v>2145</v>
      </c>
      <c r="CH189" s="381">
        <f>_xlfn.IFNA(VLOOKUP(A189,'Actuals Dep Summer'!B:O,7,FALSE)*$BN$3,0)</f>
        <v>5850</v>
      </c>
      <c r="CI189" s="381">
        <f>_xlfn.IFNA(VLOOKUP(A189,'Actuals Dep Summer'!B:O,8,FALSE)*$BN$3,0)</f>
        <v>13260</v>
      </c>
      <c r="CJ189" s="381">
        <f>_xlfn.IFNA(VLOOKUP(A189,'Actuals Summer'!$A:$AG,31,FALSE),0)*$BN$3</f>
        <v>12.992847973592518</v>
      </c>
      <c r="CK189" s="381"/>
      <c r="CL189" s="381">
        <f>_xlfn.IFNA(VLOOKUP(A189,'Actuals Summer'!$A:$AG,32,FALSE),0)*$BN$3</f>
        <v>17745</v>
      </c>
      <c r="CM189" s="381">
        <f>_xlfn.IFNA(VLOOKUP(A189,'Actuals Summer'!$A:$AG,33,FALSE),0)</f>
        <v>0</v>
      </c>
      <c r="CP189" s="458">
        <f t="shared" si="77"/>
        <v>0</v>
      </c>
      <c r="CQ189" s="458">
        <f t="shared" si="78"/>
        <v>0</v>
      </c>
      <c r="CR189" s="458">
        <f t="shared" si="90"/>
        <v>0</v>
      </c>
      <c r="CS189" s="458">
        <f t="shared" si="79"/>
        <v>135755.1</v>
      </c>
      <c r="CT189" s="458">
        <f t="shared" si="80"/>
        <v>4414.8</v>
      </c>
      <c r="CU189" s="458">
        <f t="shared" si="81"/>
        <v>1308.45</v>
      </c>
      <c r="CV189" s="458">
        <f t="shared" si="82"/>
        <v>1753.05</v>
      </c>
      <c r="CW189" s="458">
        <f t="shared" si="83"/>
        <v>1107.6000000000001</v>
      </c>
      <c r="CX189" s="458">
        <f t="shared" si="84"/>
        <v>1365</v>
      </c>
      <c r="CY189" s="458">
        <f t="shared" si="85"/>
        <v>74.578947368421041</v>
      </c>
      <c r="CZ189" s="458">
        <f t="shared" si="86"/>
        <v>0</v>
      </c>
      <c r="DA189" s="458">
        <f t="shared" si="87"/>
        <v>0</v>
      </c>
      <c r="DB189" s="458">
        <f t="shared" si="88"/>
        <v>145778.57894736843</v>
      </c>
      <c r="DC189" s="452">
        <f>_xlfn.XLOOKUP($A189,'Actuals Summer'!$A:$A,'Actuals Summer'!L:L,0,0)</f>
        <v>0</v>
      </c>
      <c r="DD189" s="452">
        <f>_xlfn.XLOOKUP($A189,'Actuals Summer'!$A:$A,'Actuals Summer'!K:K,0,0)+_xlfn.XLOOKUP($A189,'Actuals Summer'!$A:$A,'Actuals Summer'!Q:Q,0,0)</f>
        <v>0</v>
      </c>
      <c r="DE189" s="452">
        <f>_xlfn.XLOOKUP($A189,'Actuals Summer'!$A:$A,'Actuals Summer'!I:I,0,0)+_xlfn.XLOOKUP($A189,'Actuals Summer'!$A:$A,'Actuals Summer'!R:R,0,0)</f>
        <v>135755.1</v>
      </c>
      <c r="DF189" s="452">
        <f>_xlfn.XLOOKUP($A189,'Actuals Summer'!$A:$A,'Actuals Summer'!J:J,0,0)</f>
        <v>4414.8</v>
      </c>
      <c r="DG189" s="452">
        <f>_xlfn.XLOOKUP($A189,'Actuals Dep Summer'!$B:$B,'Actuals Dep Summer'!G:G,0,0)*'Actuals Dep Summer'!$F$2*'Actuals Dep Summer'!$C$2</f>
        <v>1308.45</v>
      </c>
      <c r="DH189" s="452">
        <f>_xlfn.XLOOKUP($A189,'Actuals Dep Summer'!$B:$B,'Actuals Dep Summer'!H:H,0,0)*'Actuals Dep Summer'!$F$2*'Actuals Dep Summer'!$C$3</f>
        <v>1696.4999999999998</v>
      </c>
      <c r="DI189" s="452">
        <f>_xlfn.XLOOKUP($A189,'Actuals Dep Summer'!$B:$B,'Actuals Dep Summer'!I:I,0,0)*'Actuals Dep Summer'!$F$2*'Actuals Dep Summer'!$C$4</f>
        <v>1060.8</v>
      </c>
      <c r="DJ189" s="452">
        <f>_xlfn.XLOOKUP($A189,'Actuals Summer'!$A:$A,'Actuals Summer'!P:P,0,0)</f>
        <v>1365</v>
      </c>
      <c r="DK189" s="452">
        <f>_xlfn.XLOOKUP($A189,'Actuals Summer'!$A:$A,'Actuals Summer'!O:O,0,0)</f>
        <v>74.578947368421055</v>
      </c>
      <c r="DL189" s="452"/>
      <c r="DM189" s="452">
        <f>_xlfn.XLOOKUP($A189,'Actuals Summer'!$A:$A,'Actuals Summer'!M:M,0,0)</f>
        <v>0</v>
      </c>
      <c r="DN189" s="453">
        <f t="shared" si="91"/>
        <v>145675.22894736842</v>
      </c>
      <c r="DO189" s="453">
        <f>_xlfn.XLOOKUP(A189,'Actuals Summer'!A:A,'Actuals Summer'!S:S,0,0)-'Summer data team '!DN189</f>
        <v>0</v>
      </c>
      <c r="DP189" s="463">
        <f t="shared" si="92"/>
        <v>103.35000000000582</v>
      </c>
    </row>
    <row r="190" spans="1:120" ht="13" x14ac:dyDescent="0.3">
      <c r="A190" s="364">
        <v>5201</v>
      </c>
      <c r="B190" s="364">
        <v>3305201</v>
      </c>
      <c r="C190" s="364" t="s">
        <v>375</v>
      </c>
      <c r="D190" s="506">
        <v>0</v>
      </c>
      <c r="E190" s="506">
        <v>0</v>
      </c>
      <c r="F190" s="506">
        <v>0</v>
      </c>
      <c r="G190" s="506">
        <v>10</v>
      </c>
      <c r="H190" s="506">
        <v>15</v>
      </c>
      <c r="I190" s="507">
        <v>0</v>
      </c>
      <c r="J190" s="507">
        <v>25</v>
      </c>
      <c r="K190" s="506">
        <v>0</v>
      </c>
      <c r="L190" s="506">
        <v>0</v>
      </c>
      <c r="M190" s="507">
        <v>0</v>
      </c>
      <c r="N190" s="506">
        <v>0</v>
      </c>
      <c r="O190" s="506">
        <v>0</v>
      </c>
      <c r="P190" s="506">
        <v>150</v>
      </c>
      <c r="Q190" s="506">
        <v>225</v>
      </c>
      <c r="R190" s="507">
        <v>375</v>
      </c>
      <c r="S190" s="506">
        <v>0</v>
      </c>
      <c r="T190" s="506">
        <v>0</v>
      </c>
      <c r="U190" s="506">
        <v>0</v>
      </c>
      <c r="V190" s="506">
        <v>0</v>
      </c>
      <c r="W190" s="507">
        <v>0</v>
      </c>
      <c r="X190" s="506">
        <v>0</v>
      </c>
      <c r="Y190" s="506">
        <v>0</v>
      </c>
      <c r="Z190" s="508">
        <v>0</v>
      </c>
      <c r="AA190" s="506">
        <v>0</v>
      </c>
      <c r="AB190" s="506">
        <v>0</v>
      </c>
      <c r="AC190" s="508">
        <v>0</v>
      </c>
      <c r="AD190" s="506">
        <v>1</v>
      </c>
      <c r="AE190" s="506">
        <v>15</v>
      </c>
      <c r="AF190" s="508">
        <v>0</v>
      </c>
      <c r="AG190" s="509">
        <v>0</v>
      </c>
      <c r="AH190" s="509">
        <v>0</v>
      </c>
      <c r="AI190" s="508">
        <v>0</v>
      </c>
      <c r="AJ190" s="509">
        <v>1</v>
      </c>
      <c r="AK190" s="509">
        <v>15</v>
      </c>
      <c r="AL190" s="508">
        <v>0</v>
      </c>
      <c r="AM190" s="506">
        <v>1</v>
      </c>
      <c r="AN190" s="506">
        <v>15</v>
      </c>
      <c r="AO190" s="508">
        <v>0</v>
      </c>
      <c r="AP190" s="508"/>
      <c r="AQ190" s="508">
        <f t="shared" si="66"/>
        <v>1</v>
      </c>
      <c r="AR190" s="509">
        <v>0</v>
      </c>
      <c r="AS190" s="509">
        <v>0</v>
      </c>
      <c r="AT190" s="508">
        <v>0</v>
      </c>
      <c r="AU190" s="509">
        <v>1</v>
      </c>
      <c r="AV190" s="509">
        <v>15</v>
      </c>
      <c r="AW190" s="508">
        <v>0</v>
      </c>
      <c r="AX190" s="506">
        <v>1</v>
      </c>
      <c r="AY190" s="506">
        <v>15</v>
      </c>
      <c r="AZ190" s="508">
        <v>0</v>
      </c>
      <c r="BA190" s="508"/>
      <c r="BB190" s="508">
        <f t="shared" si="67"/>
        <v>2</v>
      </c>
      <c r="BC190" s="509">
        <v>0</v>
      </c>
      <c r="BD190" s="509">
        <v>0</v>
      </c>
      <c r="BE190" s="506">
        <v>0</v>
      </c>
      <c r="BF190" s="200"/>
      <c r="BG190" s="200"/>
      <c r="BH190" s="200"/>
      <c r="BI190" s="200"/>
      <c r="BJ190" s="200"/>
      <c r="BK190" s="200"/>
      <c r="BL190" s="200"/>
      <c r="BM190" s="505">
        <f t="shared" si="68"/>
        <v>0</v>
      </c>
      <c r="BN190" s="200">
        <f t="shared" si="69"/>
        <v>0</v>
      </c>
      <c r="BO190" s="200">
        <f t="shared" si="89"/>
        <v>0</v>
      </c>
      <c r="BP190" s="200">
        <f t="shared" si="70"/>
        <v>4875</v>
      </c>
      <c r="BQ190" s="200">
        <f t="shared" si="71"/>
        <v>0</v>
      </c>
      <c r="BR190" s="200">
        <f t="shared" si="72"/>
        <v>0</v>
      </c>
      <c r="BS190" s="200">
        <f t="shared" si="73"/>
        <v>0</v>
      </c>
      <c r="BT190" s="200">
        <f t="shared" si="74"/>
        <v>195</v>
      </c>
      <c r="BU190" s="200">
        <f t="shared" si="75"/>
        <v>195</v>
      </c>
      <c r="BV190" s="200">
        <v>1</v>
      </c>
      <c r="BW190" s="200">
        <v>0</v>
      </c>
      <c r="BX190" s="200">
        <f t="shared" si="76"/>
        <v>0</v>
      </c>
      <c r="CB190" s="381">
        <f>_xlfn.IFNA(VLOOKUP(A190,'Actuals Summer'!$A:$AG,23,FALSE),0)</f>
        <v>4875</v>
      </c>
      <c r="CC190" s="381">
        <f>_xlfn.IFNA(VLOOKUP(A190,'Actuals Summer'!$A:$AG,24,FALSE),0)</f>
        <v>0</v>
      </c>
      <c r="CD190" s="381">
        <f>_xlfn.IFNA(VLOOKUP(A190,'Actuals Summer'!$A:$AG,25,FALSE),0)</f>
        <v>0</v>
      </c>
      <c r="CE190" s="381">
        <f>_xlfn.IFNA(VLOOKUP(A190,'Actuals Summer'!$A:$AG,26,FALSE),0)</f>
        <v>0</v>
      </c>
      <c r="CF190" s="381">
        <f>_xlfn.IFNA(VLOOKUP(A190,'Actuals Summer'!$A:$AG,27,FALSE),0)</f>
        <v>0</v>
      </c>
      <c r="CG190" s="381">
        <f>_xlfn.IFNA(VLOOKUP(A190,'Actuals Dep Summer'!B:O,6,FALSE)*$BN$3,0)</f>
        <v>0</v>
      </c>
      <c r="CH190" s="381">
        <f>_xlfn.IFNA(VLOOKUP(A190,'Actuals Dep Summer'!B:O,7,FALSE)*$BN$3,0)</f>
        <v>0</v>
      </c>
      <c r="CI190" s="381">
        <f>_xlfn.IFNA(VLOOKUP(A190,'Actuals Dep Summer'!B:O,8,FALSE)*$BN$3,0)</f>
        <v>195</v>
      </c>
      <c r="CJ190" s="381">
        <f>_xlfn.IFNA(VLOOKUP(A190,'Actuals Summer'!$A:$AG,31,FALSE),0)*$BN$3</f>
        <v>12.992847973592518</v>
      </c>
      <c r="CK190" s="381"/>
      <c r="CL190" s="381">
        <f>_xlfn.IFNA(VLOOKUP(A190,'Actuals Summer'!$A:$AG,32,FALSE),0)*$BN$3</f>
        <v>2535</v>
      </c>
      <c r="CM190" s="381">
        <f>_xlfn.IFNA(VLOOKUP(A190,'Actuals Summer'!$A:$AG,33,FALSE),0)</f>
        <v>0</v>
      </c>
      <c r="CP190" s="458">
        <f t="shared" si="77"/>
        <v>0</v>
      </c>
      <c r="CQ190" s="458">
        <f t="shared" si="78"/>
        <v>0</v>
      </c>
      <c r="CR190" s="458">
        <f t="shared" si="90"/>
        <v>0</v>
      </c>
      <c r="CS190" s="458">
        <f t="shared" si="79"/>
        <v>27592.5</v>
      </c>
      <c r="CT190" s="458">
        <f t="shared" si="80"/>
        <v>0</v>
      </c>
      <c r="CU190" s="458">
        <f t="shared" si="81"/>
        <v>0</v>
      </c>
      <c r="CV190" s="458">
        <f t="shared" si="82"/>
        <v>0</v>
      </c>
      <c r="CW190" s="458">
        <f t="shared" si="83"/>
        <v>15.6</v>
      </c>
      <c r="CX190" s="458">
        <f t="shared" si="84"/>
        <v>195</v>
      </c>
      <c r="CY190" s="458">
        <f t="shared" si="85"/>
        <v>74.578947368421041</v>
      </c>
      <c r="CZ190" s="458">
        <f t="shared" si="86"/>
        <v>0</v>
      </c>
      <c r="DA190" s="458">
        <f t="shared" si="87"/>
        <v>0</v>
      </c>
      <c r="DB190" s="458">
        <f t="shared" si="88"/>
        <v>27877.678947368418</v>
      </c>
      <c r="DC190" s="452">
        <f>_xlfn.XLOOKUP($A190,'Actuals Summer'!$A:$A,'Actuals Summer'!L:L,0,0)</f>
        <v>0</v>
      </c>
      <c r="DD190" s="452">
        <f>_xlfn.XLOOKUP($A190,'Actuals Summer'!$A:$A,'Actuals Summer'!K:K,0,0)+_xlfn.XLOOKUP($A190,'Actuals Summer'!$A:$A,'Actuals Summer'!Q:Q,0,0)</f>
        <v>0</v>
      </c>
      <c r="DE190" s="452">
        <f>_xlfn.XLOOKUP($A190,'Actuals Summer'!$A:$A,'Actuals Summer'!I:I,0,0)+_xlfn.XLOOKUP($A190,'Actuals Summer'!$A:$A,'Actuals Summer'!R:R,0,0)</f>
        <v>27592.5</v>
      </c>
      <c r="DF190" s="452">
        <f>_xlfn.XLOOKUP($A190,'Actuals Summer'!$A:$A,'Actuals Summer'!J:J,0,0)</f>
        <v>0</v>
      </c>
      <c r="DG190" s="452">
        <f>_xlfn.XLOOKUP($A190,'Actuals Dep Summer'!$B:$B,'Actuals Dep Summer'!G:G,0,0)*'Actuals Dep Summer'!$F$2*'Actuals Dep Summer'!$C$2</f>
        <v>0</v>
      </c>
      <c r="DH190" s="452">
        <f>_xlfn.XLOOKUP($A190,'Actuals Dep Summer'!$B:$B,'Actuals Dep Summer'!H:H,0,0)*'Actuals Dep Summer'!$F$2*'Actuals Dep Summer'!$C$3</f>
        <v>0</v>
      </c>
      <c r="DI190" s="452">
        <f>_xlfn.XLOOKUP($A190,'Actuals Dep Summer'!$B:$B,'Actuals Dep Summer'!I:I,0,0)*'Actuals Dep Summer'!$F$2*'Actuals Dep Summer'!$C$4</f>
        <v>15.6</v>
      </c>
      <c r="DJ190" s="452">
        <f>_xlfn.XLOOKUP($A190,'Actuals Summer'!$A:$A,'Actuals Summer'!P:P,0,0)</f>
        <v>195</v>
      </c>
      <c r="DK190" s="452">
        <f>_xlfn.XLOOKUP($A190,'Actuals Summer'!$A:$A,'Actuals Summer'!O:O,0,0)</f>
        <v>74.578947368421055</v>
      </c>
      <c r="DL190" s="452"/>
      <c r="DM190" s="452">
        <f>_xlfn.XLOOKUP($A190,'Actuals Summer'!$A:$A,'Actuals Summer'!M:M,0,0)</f>
        <v>0</v>
      </c>
      <c r="DN190" s="453">
        <f t="shared" si="91"/>
        <v>27877.678947368418</v>
      </c>
      <c r="DO190" s="453">
        <f>_xlfn.XLOOKUP(A190,'Actuals Summer'!A:A,'Actuals Summer'!S:S,0,0)-'Summer data team '!DN190</f>
        <v>0</v>
      </c>
      <c r="DP190" s="463">
        <f t="shared" si="92"/>
        <v>0</v>
      </c>
    </row>
    <row r="191" spans="1:120" ht="13" x14ac:dyDescent="0.3">
      <c r="A191" s="364">
        <v>5203</v>
      </c>
      <c r="B191" s="364">
        <v>3305203</v>
      </c>
      <c r="C191" s="364" t="s">
        <v>159</v>
      </c>
      <c r="D191" s="506">
        <v>0</v>
      </c>
      <c r="E191" s="506">
        <v>0</v>
      </c>
      <c r="F191" s="506">
        <v>0</v>
      </c>
      <c r="G191" s="506">
        <v>22</v>
      </c>
      <c r="H191" s="506">
        <v>30</v>
      </c>
      <c r="I191" s="507">
        <v>0</v>
      </c>
      <c r="J191" s="507">
        <v>52</v>
      </c>
      <c r="K191" s="506">
        <v>20</v>
      </c>
      <c r="L191" s="506">
        <v>23</v>
      </c>
      <c r="M191" s="507">
        <v>43</v>
      </c>
      <c r="N191" s="506">
        <v>0</v>
      </c>
      <c r="O191" s="506">
        <v>0</v>
      </c>
      <c r="P191" s="506">
        <v>330</v>
      </c>
      <c r="Q191" s="506">
        <v>450</v>
      </c>
      <c r="R191" s="507">
        <v>780</v>
      </c>
      <c r="S191" s="506">
        <v>0</v>
      </c>
      <c r="T191" s="506">
        <v>0</v>
      </c>
      <c r="U191" s="506">
        <v>300</v>
      </c>
      <c r="V191" s="506">
        <v>345</v>
      </c>
      <c r="W191" s="507">
        <v>645</v>
      </c>
      <c r="X191" s="506">
        <v>0</v>
      </c>
      <c r="Y191" s="506">
        <v>0</v>
      </c>
      <c r="Z191" s="508">
        <v>0</v>
      </c>
      <c r="AA191" s="506">
        <v>0</v>
      </c>
      <c r="AB191" s="506">
        <v>0</v>
      </c>
      <c r="AC191" s="508">
        <v>0</v>
      </c>
      <c r="AD191" s="506">
        <v>2</v>
      </c>
      <c r="AE191" s="506">
        <v>30</v>
      </c>
      <c r="AF191" s="508">
        <v>30</v>
      </c>
      <c r="AG191" s="509">
        <v>0</v>
      </c>
      <c r="AH191" s="509">
        <v>0</v>
      </c>
      <c r="AI191" s="508">
        <v>0</v>
      </c>
      <c r="AJ191" s="509">
        <v>4</v>
      </c>
      <c r="AK191" s="509">
        <v>60</v>
      </c>
      <c r="AL191" s="508">
        <v>30</v>
      </c>
      <c r="AM191" s="506">
        <v>4</v>
      </c>
      <c r="AN191" s="506">
        <v>60</v>
      </c>
      <c r="AO191" s="508">
        <v>30</v>
      </c>
      <c r="AP191" s="508"/>
      <c r="AQ191" s="508">
        <f t="shared" si="66"/>
        <v>4</v>
      </c>
      <c r="AR191" s="509">
        <v>0</v>
      </c>
      <c r="AS191" s="509">
        <v>0</v>
      </c>
      <c r="AT191" s="508">
        <v>0</v>
      </c>
      <c r="AU191" s="509">
        <v>3</v>
      </c>
      <c r="AV191" s="509">
        <v>45</v>
      </c>
      <c r="AW191" s="508">
        <v>15</v>
      </c>
      <c r="AX191" s="506">
        <v>3</v>
      </c>
      <c r="AY191" s="506">
        <v>45</v>
      </c>
      <c r="AZ191" s="508">
        <v>15</v>
      </c>
      <c r="BA191" s="508"/>
      <c r="BB191" s="508">
        <f t="shared" si="67"/>
        <v>6</v>
      </c>
      <c r="BC191" s="509">
        <v>0</v>
      </c>
      <c r="BD191" s="509">
        <v>0</v>
      </c>
      <c r="BE191" s="506">
        <v>0</v>
      </c>
      <c r="BF191" s="200"/>
      <c r="BG191" s="200"/>
      <c r="BH191" s="200"/>
      <c r="BI191" s="200"/>
      <c r="BJ191" s="200"/>
      <c r="BK191" s="200"/>
      <c r="BL191" s="200"/>
      <c r="BM191" s="505">
        <f t="shared" si="68"/>
        <v>0</v>
      </c>
      <c r="BN191" s="200">
        <f t="shared" si="69"/>
        <v>0</v>
      </c>
      <c r="BO191" s="200">
        <f t="shared" si="89"/>
        <v>0</v>
      </c>
      <c r="BP191" s="200">
        <f t="shared" si="70"/>
        <v>10140</v>
      </c>
      <c r="BQ191" s="200">
        <f t="shared" si="71"/>
        <v>8385</v>
      </c>
      <c r="BR191" s="200">
        <f t="shared" si="72"/>
        <v>0</v>
      </c>
      <c r="BS191" s="200">
        <f t="shared" si="73"/>
        <v>0</v>
      </c>
      <c r="BT191" s="200">
        <f t="shared" si="74"/>
        <v>780</v>
      </c>
      <c r="BU191" s="200">
        <f t="shared" si="75"/>
        <v>780</v>
      </c>
      <c r="BV191" s="200">
        <v>2</v>
      </c>
      <c r="BW191" s="200">
        <v>1</v>
      </c>
      <c r="BX191" s="200">
        <f t="shared" si="76"/>
        <v>0</v>
      </c>
      <c r="CB191" s="381">
        <f>_xlfn.IFNA(VLOOKUP(A191,'Actuals Summer'!$A:$AG,23,FALSE),0)</f>
        <v>10140</v>
      </c>
      <c r="CC191" s="381">
        <f>_xlfn.IFNA(VLOOKUP(A191,'Actuals Summer'!$A:$AG,24,FALSE),0)</f>
        <v>8385</v>
      </c>
      <c r="CD191" s="381">
        <f>_xlfn.IFNA(VLOOKUP(A191,'Actuals Summer'!$A:$AG,25,FALSE),0)</f>
        <v>0</v>
      </c>
      <c r="CE191" s="381">
        <f>_xlfn.IFNA(VLOOKUP(A191,'Actuals Summer'!$A:$AG,26,FALSE),0)</f>
        <v>0</v>
      </c>
      <c r="CF191" s="381">
        <f>_xlfn.IFNA(VLOOKUP(A191,'Actuals Summer'!$A:$AG,27,FALSE),0)</f>
        <v>0</v>
      </c>
      <c r="CG191" s="381">
        <f>_xlfn.IFNA(VLOOKUP(A191,'Actuals Dep Summer'!B:O,6,FALSE)*$BN$3,0)</f>
        <v>0</v>
      </c>
      <c r="CH191" s="381">
        <f>_xlfn.IFNA(VLOOKUP(A191,'Actuals Dep Summer'!B:O,7,FALSE)*$BN$3,0)</f>
        <v>0</v>
      </c>
      <c r="CI191" s="381">
        <f>_xlfn.IFNA(VLOOKUP(A191,'Actuals Dep Summer'!B:O,8,FALSE)*$BN$3,0)</f>
        <v>390</v>
      </c>
      <c r="CJ191" s="381">
        <f>_xlfn.IFNA(VLOOKUP(A191,'Actuals Summer'!$A:$AG,31,FALSE),0)*$BN$3</f>
        <v>38.978543920777561</v>
      </c>
      <c r="CK191" s="381"/>
      <c r="CL191" s="381">
        <f>_xlfn.IFNA(VLOOKUP(A191,'Actuals Summer'!$A:$AG,32,FALSE),0)*$BN$3</f>
        <v>10140</v>
      </c>
      <c r="CM191" s="381">
        <f>_xlfn.IFNA(VLOOKUP(A191,'Actuals Summer'!$A:$AG,33,FALSE),0)</f>
        <v>0</v>
      </c>
      <c r="CP191" s="458">
        <f t="shared" si="77"/>
        <v>0</v>
      </c>
      <c r="CQ191" s="458">
        <f t="shared" si="78"/>
        <v>0</v>
      </c>
      <c r="CR191" s="458">
        <f t="shared" si="90"/>
        <v>0</v>
      </c>
      <c r="CS191" s="458">
        <f t="shared" si="79"/>
        <v>57392.4</v>
      </c>
      <c r="CT191" s="458">
        <f t="shared" si="80"/>
        <v>47459.1</v>
      </c>
      <c r="CU191" s="458">
        <f t="shared" si="81"/>
        <v>0</v>
      </c>
      <c r="CV191" s="458">
        <f t="shared" si="82"/>
        <v>0</v>
      </c>
      <c r="CW191" s="458">
        <f t="shared" si="83"/>
        <v>62.4</v>
      </c>
      <c r="CX191" s="458">
        <f t="shared" si="84"/>
        <v>780</v>
      </c>
      <c r="CY191" s="458">
        <f t="shared" si="85"/>
        <v>149.15789473684208</v>
      </c>
      <c r="CZ191" s="458">
        <f t="shared" si="86"/>
        <v>186.44736842105263</v>
      </c>
      <c r="DA191" s="458">
        <f t="shared" si="87"/>
        <v>0</v>
      </c>
      <c r="DB191" s="458">
        <f t="shared" si="88"/>
        <v>106029.50526315789</v>
      </c>
      <c r="DC191" s="452">
        <f>_xlfn.XLOOKUP($A191,'Actuals Summer'!$A:$A,'Actuals Summer'!L:L,0,0)</f>
        <v>0</v>
      </c>
      <c r="DD191" s="452">
        <f>_xlfn.XLOOKUP($A191,'Actuals Summer'!$A:$A,'Actuals Summer'!K:K,0,0)+_xlfn.XLOOKUP($A191,'Actuals Summer'!$A:$A,'Actuals Summer'!Q:Q,0,0)</f>
        <v>0</v>
      </c>
      <c r="DE191" s="452">
        <f>_xlfn.XLOOKUP($A191,'Actuals Summer'!$A:$A,'Actuals Summer'!I:I,0,0)+_xlfn.XLOOKUP($A191,'Actuals Summer'!$A:$A,'Actuals Summer'!R:R,0,0)</f>
        <v>57392.4</v>
      </c>
      <c r="DF191" s="452">
        <f>_xlfn.XLOOKUP($A191,'Actuals Summer'!$A:$A,'Actuals Summer'!J:J,0,0)</f>
        <v>47459.1</v>
      </c>
      <c r="DG191" s="452">
        <f>_xlfn.XLOOKUP($A191,'Actuals Dep Summer'!$B:$B,'Actuals Dep Summer'!G:G,0,0)*'Actuals Dep Summer'!$F$2*'Actuals Dep Summer'!$C$2</f>
        <v>0</v>
      </c>
      <c r="DH191" s="452">
        <f>_xlfn.XLOOKUP($A191,'Actuals Dep Summer'!$B:$B,'Actuals Dep Summer'!H:H,0,0)*'Actuals Dep Summer'!$F$2*'Actuals Dep Summer'!$C$3</f>
        <v>0</v>
      </c>
      <c r="DI191" s="452">
        <f>_xlfn.XLOOKUP($A191,'Actuals Dep Summer'!$B:$B,'Actuals Dep Summer'!I:I,0,0)*'Actuals Dep Summer'!$F$2*'Actuals Dep Summer'!$C$4</f>
        <v>31.2</v>
      </c>
      <c r="DJ191" s="452">
        <f>_xlfn.XLOOKUP($A191,'Actuals Summer'!$A:$A,'Actuals Summer'!P:P,0,0)</f>
        <v>780</v>
      </c>
      <c r="DK191" s="452">
        <f>_xlfn.XLOOKUP($A191,'Actuals Summer'!$A:$A,'Actuals Summer'!O:O,0,0)</f>
        <v>223.73684210526318</v>
      </c>
      <c r="DL191" s="452"/>
      <c r="DM191" s="452">
        <f>_xlfn.XLOOKUP($A191,'Actuals Summer'!$A:$A,'Actuals Summer'!M:M,0,0)</f>
        <v>0</v>
      </c>
      <c r="DN191" s="453">
        <f t="shared" si="91"/>
        <v>105886.43684210526</v>
      </c>
      <c r="DO191" s="453">
        <f>_xlfn.XLOOKUP(A191,'Actuals Summer'!A:A,'Actuals Summer'!S:S,0,0)-'Summer data team '!DN191</f>
        <v>0</v>
      </c>
      <c r="DP191" s="463">
        <f t="shared" si="92"/>
        <v>143.06842105262331</v>
      </c>
    </row>
    <row r="192" spans="1:120" ht="13" x14ac:dyDescent="0.3">
      <c r="A192" s="364">
        <v>5205</v>
      </c>
      <c r="B192" s="364">
        <v>3305205</v>
      </c>
      <c r="C192" s="364" t="s">
        <v>376</v>
      </c>
      <c r="D192" s="506">
        <v>0</v>
      </c>
      <c r="E192" s="506">
        <v>0</v>
      </c>
      <c r="F192" s="506">
        <v>0</v>
      </c>
      <c r="G192" s="506">
        <v>15</v>
      </c>
      <c r="H192" s="506">
        <v>9</v>
      </c>
      <c r="I192" s="507">
        <v>0</v>
      </c>
      <c r="J192" s="507">
        <v>24</v>
      </c>
      <c r="K192" s="506">
        <v>11</v>
      </c>
      <c r="L192" s="506">
        <v>5</v>
      </c>
      <c r="M192" s="507">
        <v>16</v>
      </c>
      <c r="N192" s="506">
        <v>0</v>
      </c>
      <c r="O192" s="506">
        <v>0</v>
      </c>
      <c r="P192" s="506">
        <v>225</v>
      </c>
      <c r="Q192" s="506">
        <v>133</v>
      </c>
      <c r="R192" s="507">
        <v>358</v>
      </c>
      <c r="S192" s="506">
        <v>0</v>
      </c>
      <c r="T192" s="506">
        <v>0</v>
      </c>
      <c r="U192" s="506">
        <v>165</v>
      </c>
      <c r="V192" s="506">
        <v>75</v>
      </c>
      <c r="W192" s="507">
        <v>240</v>
      </c>
      <c r="X192" s="506">
        <v>3</v>
      </c>
      <c r="Y192" s="506">
        <v>43</v>
      </c>
      <c r="Z192" s="508">
        <v>15</v>
      </c>
      <c r="AA192" s="506">
        <v>1</v>
      </c>
      <c r="AB192" s="506">
        <v>15</v>
      </c>
      <c r="AC192" s="508">
        <v>15</v>
      </c>
      <c r="AD192" s="506">
        <v>3</v>
      </c>
      <c r="AE192" s="506">
        <v>45</v>
      </c>
      <c r="AF192" s="508">
        <v>30</v>
      </c>
      <c r="AG192" s="509">
        <v>0</v>
      </c>
      <c r="AH192" s="509">
        <v>0</v>
      </c>
      <c r="AI192" s="508">
        <v>0</v>
      </c>
      <c r="AJ192" s="509">
        <v>2</v>
      </c>
      <c r="AK192" s="509">
        <v>30</v>
      </c>
      <c r="AL192" s="508">
        <v>15</v>
      </c>
      <c r="AM192" s="506">
        <v>2</v>
      </c>
      <c r="AN192" s="506">
        <v>30</v>
      </c>
      <c r="AO192" s="508">
        <v>15</v>
      </c>
      <c r="AP192" s="508"/>
      <c r="AQ192" s="508">
        <f t="shared" si="66"/>
        <v>2</v>
      </c>
      <c r="AR192" s="509">
        <v>0</v>
      </c>
      <c r="AS192" s="509">
        <v>0</v>
      </c>
      <c r="AT192" s="508">
        <v>0</v>
      </c>
      <c r="AU192" s="509">
        <v>2</v>
      </c>
      <c r="AV192" s="509">
        <v>30</v>
      </c>
      <c r="AW192" s="508">
        <v>15</v>
      </c>
      <c r="AX192" s="506">
        <v>2</v>
      </c>
      <c r="AY192" s="506">
        <v>30</v>
      </c>
      <c r="AZ192" s="508">
        <v>15</v>
      </c>
      <c r="BA192" s="508"/>
      <c r="BB192" s="508">
        <f t="shared" si="67"/>
        <v>4</v>
      </c>
      <c r="BC192" s="509">
        <v>0</v>
      </c>
      <c r="BD192" s="509">
        <v>0</v>
      </c>
      <c r="BE192" s="506">
        <v>0</v>
      </c>
      <c r="BF192" s="200"/>
      <c r="BG192" s="200"/>
      <c r="BH192" s="200"/>
      <c r="BI192" s="200"/>
      <c r="BJ192" s="200"/>
      <c r="BK192" s="200"/>
      <c r="BL192" s="200"/>
      <c r="BM192" s="505">
        <f t="shared" si="68"/>
        <v>0</v>
      </c>
      <c r="BN192" s="200">
        <f t="shared" si="69"/>
        <v>0</v>
      </c>
      <c r="BO192" s="200">
        <f t="shared" si="89"/>
        <v>0</v>
      </c>
      <c r="BP192" s="200">
        <f t="shared" si="70"/>
        <v>4654</v>
      </c>
      <c r="BQ192" s="200">
        <f t="shared" si="71"/>
        <v>3120</v>
      </c>
      <c r="BR192" s="200">
        <f t="shared" si="72"/>
        <v>754</v>
      </c>
      <c r="BS192" s="200">
        <f t="shared" si="73"/>
        <v>390</v>
      </c>
      <c r="BT192" s="200">
        <f t="shared" si="74"/>
        <v>975</v>
      </c>
      <c r="BU192" s="200">
        <f t="shared" si="75"/>
        <v>390</v>
      </c>
      <c r="BV192" s="200">
        <v>1</v>
      </c>
      <c r="BW192" s="200">
        <v>1</v>
      </c>
      <c r="BX192" s="200">
        <f t="shared" si="76"/>
        <v>0</v>
      </c>
      <c r="CB192" s="381">
        <f>_xlfn.IFNA(VLOOKUP(A192,'Actuals Summer'!$A:$AG,23,FALSE),0)</f>
        <v>4654</v>
      </c>
      <c r="CC192" s="381">
        <f>_xlfn.IFNA(VLOOKUP(A192,'Actuals Summer'!$A:$AG,24,FALSE),0)</f>
        <v>3120</v>
      </c>
      <c r="CD192" s="381">
        <f>_xlfn.IFNA(VLOOKUP(A192,'Actuals Summer'!$A:$AG,25,FALSE),0)</f>
        <v>0</v>
      </c>
      <c r="CE192" s="381">
        <f>_xlfn.IFNA(VLOOKUP(A192,'Actuals Summer'!$A:$AG,26,FALSE),0)</f>
        <v>0</v>
      </c>
      <c r="CF192" s="381">
        <f>_xlfn.IFNA(VLOOKUP(A192,'Actuals Summer'!$A:$AG,27,FALSE),0)</f>
        <v>0</v>
      </c>
      <c r="CG192" s="381">
        <f>_xlfn.IFNA(VLOOKUP(A192,'Actuals Dep Summer'!B:O,6,FALSE)*$BN$3,0)</f>
        <v>559</v>
      </c>
      <c r="CH192" s="381">
        <f>_xlfn.IFNA(VLOOKUP(A192,'Actuals Dep Summer'!B:O,7,FALSE)*$BN$3,0)</f>
        <v>195</v>
      </c>
      <c r="CI192" s="381">
        <f>_xlfn.IFNA(VLOOKUP(A192,'Actuals Dep Summer'!B:O,8,FALSE)*$BN$3,0)</f>
        <v>585</v>
      </c>
      <c r="CJ192" s="381">
        <f>_xlfn.IFNA(VLOOKUP(A192,'Actuals Summer'!$A:$AG,31,FALSE),0)*$BN$3</f>
        <v>25.985695947185036</v>
      </c>
      <c r="CK192" s="381"/>
      <c r="CL192" s="381">
        <f>_xlfn.IFNA(VLOOKUP(A192,'Actuals Summer'!$A:$AG,32,FALSE),0)*$BN$3</f>
        <v>5070</v>
      </c>
      <c r="CM192" s="381">
        <f>_xlfn.IFNA(VLOOKUP(A192,'Actuals Summer'!$A:$AG,33,FALSE),0)</f>
        <v>0</v>
      </c>
      <c r="CP192" s="458">
        <f t="shared" si="77"/>
        <v>0</v>
      </c>
      <c r="CQ192" s="458">
        <f t="shared" si="78"/>
        <v>0</v>
      </c>
      <c r="CR192" s="458">
        <f t="shared" si="90"/>
        <v>0</v>
      </c>
      <c r="CS192" s="458">
        <f t="shared" si="79"/>
        <v>26341.64</v>
      </c>
      <c r="CT192" s="458">
        <f t="shared" si="80"/>
        <v>17659.2</v>
      </c>
      <c r="CU192" s="458">
        <f t="shared" si="81"/>
        <v>459.94</v>
      </c>
      <c r="CV192" s="458">
        <f t="shared" si="82"/>
        <v>113.1</v>
      </c>
      <c r="CW192" s="458">
        <f t="shared" si="83"/>
        <v>78</v>
      </c>
      <c r="CX192" s="458">
        <f t="shared" si="84"/>
        <v>390</v>
      </c>
      <c r="CY192" s="458">
        <f t="shared" si="85"/>
        <v>74.578947368421041</v>
      </c>
      <c r="CZ192" s="458">
        <f t="shared" si="86"/>
        <v>186.44736842105263</v>
      </c>
      <c r="DA192" s="458">
        <f t="shared" si="87"/>
        <v>0</v>
      </c>
      <c r="DB192" s="458">
        <f t="shared" si="88"/>
        <v>45302.906315789471</v>
      </c>
      <c r="DC192" s="452">
        <f>_xlfn.XLOOKUP($A192,'Actuals Summer'!$A:$A,'Actuals Summer'!L:L,0,0)</f>
        <v>0</v>
      </c>
      <c r="DD192" s="452">
        <f>_xlfn.XLOOKUP($A192,'Actuals Summer'!$A:$A,'Actuals Summer'!K:K,0,0)+_xlfn.XLOOKUP($A192,'Actuals Summer'!$A:$A,'Actuals Summer'!Q:Q,0,0)</f>
        <v>0</v>
      </c>
      <c r="DE192" s="452">
        <f>_xlfn.XLOOKUP($A192,'Actuals Summer'!$A:$A,'Actuals Summer'!I:I,0,0)+_xlfn.XLOOKUP($A192,'Actuals Summer'!$A:$A,'Actuals Summer'!R:R,0,0)</f>
        <v>26341.64</v>
      </c>
      <c r="DF192" s="452">
        <f>_xlfn.XLOOKUP($A192,'Actuals Summer'!$A:$A,'Actuals Summer'!J:J,0,0)</f>
        <v>17659.2</v>
      </c>
      <c r="DG192" s="452">
        <f>_xlfn.XLOOKUP($A192,'Actuals Dep Summer'!$B:$B,'Actuals Dep Summer'!G:G,0,0)*'Actuals Dep Summer'!$F$2*'Actuals Dep Summer'!$C$2</f>
        <v>340.99</v>
      </c>
      <c r="DH192" s="452">
        <f>_xlfn.XLOOKUP($A192,'Actuals Dep Summer'!$B:$B,'Actuals Dep Summer'!H:H,0,0)*'Actuals Dep Summer'!$F$2*'Actuals Dep Summer'!$C$3</f>
        <v>56.55</v>
      </c>
      <c r="DI192" s="452">
        <f>_xlfn.XLOOKUP($A192,'Actuals Dep Summer'!$B:$B,'Actuals Dep Summer'!I:I,0,0)*'Actuals Dep Summer'!$F$2*'Actuals Dep Summer'!$C$4</f>
        <v>46.800000000000004</v>
      </c>
      <c r="DJ192" s="452">
        <f>_xlfn.XLOOKUP($A192,'Actuals Summer'!$A:$A,'Actuals Summer'!P:P,0,0)</f>
        <v>390</v>
      </c>
      <c r="DK192" s="452">
        <f>_xlfn.XLOOKUP($A192,'Actuals Summer'!$A:$A,'Actuals Summer'!O:O,0,0)</f>
        <v>149.15789473684211</v>
      </c>
      <c r="DL192" s="452"/>
      <c r="DM192" s="452">
        <f>_xlfn.XLOOKUP($A192,'Actuals Summer'!$A:$A,'Actuals Summer'!M:M,0,0)</f>
        <v>0</v>
      </c>
      <c r="DN192" s="453">
        <f t="shared" si="91"/>
        <v>44984.33789473684</v>
      </c>
      <c r="DO192" s="453">
        <f>_xlfn.XLOOKUP(A192,'Actuals Summer'!A:A,'Actuals Summer'!S:S,0,0)-'Summer data team '!DN192</f>
        <v>0</v>
      </c>
      <c r="DP192" s="463">
        <f t="shared" si="92"/>
        <v>318.56842105263058</v>
      </c>
    </row>
    <row r="193" spans="1:120" ht="13" x14ac:dyDescent="0.3">
      <c r="A193" s="364">
        <v>7009</v>
      </c>
      <c r="B193" s="364">
        <v>3307009</v>
      </c>
      <c r="C193" s="364" t="s">
        <v>379</v>
      </c>
      <c r="D193" s="506">
        <v>0</v>
      </c>
      <c r="E193" s="506">
        <v>0</v>
      </c>
      <c r="F193" s="506">
        <v>0</v>
      </c>
      <c r="G193" s="506">
        <v>2</v>
      </c>
      <c r="H193" s="506">
        <v>2</v>
      </c>
      <c r="I193" s="507">
        <v>0</v>
      </c>
      <c r="J193" s="507">
        <v>4</v>
      </c>
      <c r="K193" s="506">
        <v>0</v>
      </c>
      <c r="L193" s="506">
        <v>0</v>
      </c>
      <c r="M193" s="507">
        <v>0</v>
      </c>
      <c r="N193" s="506">
        <v>0</v>
      </c>
      <c r="O193" s="506">
        <v>0</v>
      </c>
      <c r="P193" s="506">
        <v>30</v>
      </c>
      <c r="Q193" s="506">
        <v>30</v>
      </c>
      <c r="R193" s="507">
        <v>60</v>
      </c>
      <c r="S193" s="506">
        <v>0</v>
      </c>
      <c r="T193" s="506">
        <v>0</v>
      </c>
      <c r="U193" s="506">
        <v>0</v>
      </c>
      <c r="V193" s="506">
        <v>0</v>
      </c>
      <c r="W193" s="507">
        <v>0</v>
      </c>
      <c r="X193" s="506">
        <v>3</v>
      </c>
      <c r="Y193" s="506">
        <v>45</v>
      </c>
      <c r="Z193" s="508">
        <v>0</v>
      </c>
      <c r="AA193" s="506">
        <v>0</v>
      </c>
      <c r="AB193" s="506">
        <v>0</v>
      </c>
      <c r="AC193" s="508">
        <v>0</v>
      </c>
      <c r="AD193" s="506">
        <v>0</v>
      </c>
      <c r="AE193" s="506">
        <v>0</v>
      </c>
      <c r="AF193" s="508">
        <v>0</v>
      </c>
      <c r="AG193" s="509">
        <v>0</v>
      </c>
      <c r="AH193" s="509">
        <v>0</v>
      </c>
      <c r="AI193" s="508">
        <v>0</v>
      </c>
      <c r="AJ193" s="509">
        <v>1</v>
      </c>
      <c r="AK193" s="509">
        <v>15</v>
      </c>
      <c r="AL193" s="508">
        <v>0</v>
      </c>
      <c r="AM193" s="506">
        <v>1</v>
      </c>
      <c r="AN193" s="506">
        <v>15</v>
      </c>
      <c r="AO193" s="508">
        <v>0</v>
      </c>
      <c r="AP193" s="508"/>
      <c r="AQ193" s="508">
        <f t="shared" si="66"/>
        <v>1</v>
      </c>
      <c r="AR193" s="509">
        <v>0</v>
      </c>
      <c r="AS193" s="509">
        <v>0</v>
      </c>
      <c r="AT193" s="508">
        <v>0</v>
      </c>
      <c r="AU193" s="509">
        <v>1</v>
      </c>
      <c r="AV193" s="509">
        <v>15</v>
      </c>
      <c r="AW193" s="508">
        <v>0</v>
      </c>
      <c r="AX193" s="506">
        <v>1</v>
      </c>
      <c r="AY193" s="506">
        <v>15</v>
      </c>
      <c r="AZ193" s="508">
        <v>0</v>
      </c>
      <c r="BA193" s="508"/>
      <c r="BB193" s="508">
        <f t="shared" si="67"/>
        <v>2</v>
      </c>
      <c r="BC193" s="509">
        <v>0</v>
      </c>
      <c r="BD193" s="509">
        <v>0</v>
      </c>
      <c r="BE193" s="506">
        <v>0</v>
      </c>
      <c r="BF193" s="200"/>
      <c r="BG193" s="200"/>
      <c r="BH193" s="200"/>
      <c r="BI193" s="200"/>
      <c r="BJ193" s="200"/>
      <c r="BK193" s="200"/>
      <c r="BL193" s="200"/>
      <c r="BM193" s="505">
        <f t="shared" si="68"/>
        <v>0</v>
      </c>
      <c r="BN193" s="200">
        <f t="shared" si="69"/>
        <v>0</v>
      </c>
      <c r="BO193" s="200">
        <f t="shared" si="89"/>
        <v>0</v>
      </c>
      <c r="BP193" s="200">
        <f t="shared" si="70"/>
        <v>780</v>
      </c>
      <c r="BQ193" s="200">
        <f t="shared" si="71"/>
        <v>0</v>
      </c>
      <c r="BR193" s="200">
        <f t="shared" si="72"/>
        <v>585</v>
      </c>
      <c r="BS193" s="200">
        <f t="shared" si="73"/>
        <v>0</v>
      </c>
      <c r="BT193" s="200">
        <f t="shared" si="74"/>
        <v>0</v>
      </c>
      <c r="BU193" s="200">
        <f t="shared" si="75"/>
        <v>195</v>
      </c>
      <c r="BV193" s="200">
        <v>1</v>
      </c>
      <c r="BW193" s="200">
        <v>0</v>
      </c>
      <c r="BX193" s="200">
        <f t="shared" si="76"/>
        <v>0</v>
      </c>
      <c r="CB193" s="381">
        <f>_xlfn.IFNA(VLOOKUP(A193,'Actuals Summer'!$A:$AG,23,FALSE),0)</f>
        <v>0</v>
      </c>
      <c r="CC193" s="381">
        <f>_xlfn.IFNA(VLOOKUP(A193,'Actuals Summer'!$A:$AG,24,FALSE),0)</f>
        <v>0</v>
      </c>
      <c r="CD193" s="381">
        <f>_xlfn.IFNA(VLOOKUP(A193,'Actuals Summer'!$A:$AG,25,FALSE),0)</f>
        <v>0</v>
      </c>
      <c r="CE193" s="381">
        <f>_xlfn.IFNA(VLOOKUP(A193,'Actuals Summer'!$A:$AG,26,FALSE),0)</f>
        <v>0</v>
      </c>
      <c r="CF193" s="381">
        <f>_xlfn.IFNA(VLOOKUP(A193,'Actuals Summer'!$A:$AG,27,FALSE),0)</f>
        <v>0</v>
      </c>
      <c r="CG193" s="381">
        <f>_xlfn.IFNA(VLOOKUP(A193,'Actuals Dep Summer'!B:O,6,FALSE)*$BN$3,0)</f>
        <v>0</v>
      </c>
      <c r="CH193" s="381">
        <f>_xlfn.IFNA(VLOOKUP(A193,'Actuals Dep Summer'!B:O,7,FALSE)*$BN$3,0)</f>
        <v>0</v>
      </c>
      <c r="CI193" s="381">
        <f>_xlfn.IFNA(VLOOKUP(A193,'Actuals Dep Summer'!B:O,8,FALSE)*$BN$3,0)</f>
        <v>0</v>
      </c>
      <c r="CJ193" s="381">
        <f>_xlfn.IFNA(VLOOKUP(A193,'Actuals Summer'!$A:$AG,31,FALSE),0)*$BN$3</f>
        <v>0</v>
      </c>
      <c r="CK193" s="381"/>
      <c r="CL193" s="381">
        <f>_xlfn.IFNA(VLOOKUP(A193,'Actuals Summer'!$A:$AG,32,FALSE),0)*$BN$3</f>
        <v>0</v>
      </c>
      <c r="CM193" s="381">
        <f>_xlfn.IFNA(VLOOKUP(A193,'Actuals Summer'!$A:$AG,33,FALSE),0)</f>
        <v>0</v>
      </c>
      <c r="CP193" s="458">
        <f t="shared" si="77"/>
        <v>0</v>
      </c>
      <c r="CQ193" s="458">
        <f t="shared" si="78"/>
        <v>0</v>
      </c>
      <c r="CR193" s="458">
        <f t="shared" si="90"/>
        <v>0</v>
      </c>
      <c r="CS193" s="458">
        <f t="shared" si="79"/>
        <v>4414.8</v>
      </c>
      <c r="CT193" s="458">
        <f t="shared" si="80"/>
        <v>0</v>
      </c>
      <c r="CU193" s="458">
        <f t="shared" si="81"/>
        <v>356.84999999999997</v>
      </c>
      <c r="CV193" s="458">
        <f t="shared" si="82"/>
        <v>0</v>
      </c>
      <c r="CW193" s="458">
        <f t="shared" si="83"/>
        <v>0</v>
      </c>
      <c r="CX193" s="458">
        <f t="shared" si="84"/>
        <v>195</v>
      </c>
      <c r="CY193" s="458">
        <f t="shared" si="85"/>
        <v>74.578947368421041</v>
      </c>
      <c r="CZ193" s="458">
        <f t="shared" si="86"/>
        <v>0</v>
      </c>
      <c r="DA193" s="458">
        <f t="shared" si="87"/>
        <v>0</v>
      </c>
      <c r="DB193" s="458">
        <f t="shared" si="88"/>
        <v>5041.2289473684214</v>
      </c>
      <c r="DC193" s="452">
        <f>_xlfn.XLOOKUP($A193,'Actuals Summer'!$A:$A,'Actuals Summer'!L:L,0,0)</f>
        <v>0</v>
      </c>
      <c r="DD193" s="452">
        <f>_xlfn.XLOOKUP($A193,'Actuals Summer'!$A:$A,'Actuals Summer'!K:K,0,0)+_xlfn.XLOOKUP($A193,'Actuals Summer'!$A:$A,'Actuals Summer'!Q:Q,0,0)</f>
        <v>0</v>
      </c>
      <c r="DE193" s="452">
        <f>_xlfn.XLOOKUP($A193,'Actuals Summer'!$A:$A,'Actuals Summer'!I:I,0,0)+_xlfn.XLOOKUP($A193,'Actuals Summer'!$A:$A,'Actuals Summer'!R:R,0,0)</f>
        <v>0</v>
      </c>
      <c r="DF193" s="452">
        <f>_xlfn.XLOOKUP($A193,'Actuals Summer'!$A:$A,'Actuals Summer'!J:J,0,0)</f>
        <v>0</v>
      </c>
      <c r="DG193" s="452">
        <f>_xlfn.XLOOKUP($A193,'Actuals Dep Summer'!$B:$B,'Actuals Dep Summer'!G:G,0,0)*'Actuals Dep Summer'!$F$2*'Actuals Dep Summer'!$C$2</f>
        <v>0</v>
      </c>
      <c r="DH193" s="452">
        <f>_xlfn.XLOOKUP($A193,'Actuals Dep Summer'!$B:$B,'Actuals Dep Summer'!H:H,0,0)*'Actuals Dep Summer'!$F$2*'Actuals Dep Summer'!$C$3</f>
        <v>0</v>
      </c>
      <c r="DI193" s="452">
        <f>_xlfn.XLOOKUP($A193,'Actuals Dep Summer'!$B:$B,'Actuals Dep Summer'!I:I,0,0)*'Actuals Dep Summer'!$F$2*'Actuals Dep Summer'!$C$4</f>
        <v>0</v>
      </c>
      <c r="DJ193" s="452">
        <f>_xlfn.XLOOKUP($A193,'Actuals Summer'!$A:$A,'Actuals Summer'!P:P,0,0)</f>
        <v>0</v>
      </c>
      <c r="DK193" s="452">
        <f>_xlfn.XLOOKUP($A193,'Actuals Summer'!$A:$A,'Actuals Summer'!O:O,0,0)</f>
        <v>0</v>
      </c>
      <c r="DL193" s="452"/>
      <c r="DM193" s="452">
        <f>_xlfn.XLOOKUP($A193,'Actuals Summer'!$A:$A,'Actuals Summer'!M:M,0,0)</f>
        <v>0</v>
      </c>
      <c r="DN193" s="453">
        <f t="shared" si="91"/>
        <v>0</v>
      </c>
      <c r="DO193" s="453">
        <f>_xlfn.XLOOKUP(A193,'Actuals Summer'!A:A,'Actuals Summer'!S:S,0,0)-'Summer data team '!DN193</f>
        <v>0</v>
      </c>
      <c r="DP193" s="463">
        <f t="shared" si="92"/>
        <v>5041.2289473684214</v>
      </c>
    </row>
    <row r="194" spans="1:120" ht="13" x14ac:dyDescent="0.3">
      <c r="A194" s="364">
        <v>7012</v>
      </c>
      <c r="B194" s="364">
        <v>3307012</v>
      </c>
      <c r="C194" s="364" t="s">
        <v>380</v>
      </c>
      <c r="D194" s="506">
        <v>0</v>
      </c>
      <c r="E194" s="506">
        <v>0</v>
      </c>
      <c r="F194" s="506">
        <v>0</v>
      </c>
      <c r="G194" s="506">
        <v>2</v>
      </c>
      <c r="H194" s="506">
        <v>2</v>
      </c>
      <c r="I194" s="507">
        <v>0</v>
      </c>
      <c r="J194" s="507">
        <v>4</v>
      </c>
      <c r="K194" s="506">
        <v>0</v>
      </c>
      <c r="L194" s="506">
        <v>0</v>
      </c>
      <c r="M194" s="507">
        <v>0</v>
      </c>
      <c r="N194" s="506">
        <v>0</v>
      </c>
      <c r="O194" s="506">
        <v>0</v>
      </c>
      <c r="P194" s="506">
        <v>30</v>
      </c>
      <c r="Q194" s="506">
        <v>30</v>
      </c>
      <c r="R194" s="507">
        <v>60</v>
      </c>
      <c r="S194" s="506">
        <v>0</v>
      </c>
      <c r="T194" s="506">
        <v>0</v>
      </c>
      <c r="U194" s="506">
        <v>0</v>
      </c>
      <c r="V194" s="506">
        <v>0</v>
      </c>
      <c r="W194" s="507">
        <v>0</v>
      </c>
      <c r="X194" s="506">
        <v>0</v>
      </c>
      <c r="Y194" s="506">
        <v>0</v>
      </c>
      <c r="Z194" s="508">
        <v>0</v>
      </c>
      <c r="AA194" s="506">
        <v>0</v>
      </c>
      <c r="AB194" s="506">
        <v>0</v>
      </c>
      <c r="AC194" s="508">
        <v>0</v>
      </c>
      <c r="AD194" s="506">
        <v>0</v>
      </c>
      <c r="AE194" s="506">
        <v>0</v>
      </c>
      <c r="AF194" s="508">
        <v>0</v>
      </c>
      <c r="AG194" s="509">
        <v>0</v>
      </c>
      <c r="AH194" s="509">
        <v>0</v>
      </c>
      <c r="AI194" s="508">
        <v>0</v>
      </c>
      <c r="AJ194" s="509">
        <v>1</v>
      </c>
      <c r="AK194" s="509">
        <v>15</v>
      </c>
      <c r="AL194" s="508">
        <v>0</v>
      </c>
      <c r="AM194" s="506">
        <v>1</v>
      </c>
      <c r="AN194" s="506">
        <v>15</v>
      </c>
      <c r="AO194" s="508">
        <v>0</v>
      </c>
      <c r="AP194" s="508"/>
      <c r="AQ194" s="508">
        <f t="shared" si="66"/>
        <v>1</v>
      </c>
      <c r="AR194" s="509">
        <v>0</v>
      </c>
      <c r="AS194" s="509">
        <v>0</v>
      </c>
      <c r="AT194" s="508">
        <v>0</v>
      </c>
      <c r="AU194" s="509">
        <v>1</v>
      </c>
      <c r="AV194" s="509">
        <v>15</v>
      </c>
      <c r="AW194" s="508">
        <v>0</v>
      </c>
      <c r="AX194" s="506">
        <v>1</v>
      </c>
      <c r="AY194" s="506">
        <v>15</v>
      </c>
      <c r="AZ194" s="508">
        <v>0</v>
      </c>
      <c r="BA194" s="508"/>
      <c r="BB194" s="508">
        <f t="shared" si="67"/>
        <v>2</v>
      </c>
      <c r="BC194" s="509">
        <v>0</v>
      </c>
      <c r="BD194" s="509">
        <v>0</v>
      </c>
      <c r="BE194" s="506">
        <v>0</v>
      </c>
      <c r="BF194" s="200"/>
      <c r="BG194" s="200"/>
      <c r="BH194" s="200"/>
      <c r="BI194" s="200"/>
      <c r="BJ194" s="200"/>
      <c r="BK194" s="200"/>
      <c r="BL194" s="200"/>
      <c r="BM194" s="505">
        <f t="shared" si="68"/>
        <v>0</v>
      </c>
      <c r="BN194" s="200">
        <f t="shared" si="69"/>
        <v>0</v>
      </c>
      <c r="BO194" s="200">
        <f t="shared" si="89"/>
        <v>0</v>
      </c>
      <c r="BP194" s="200">
        <f t="shared" si="70"/>
        <v>780</v>
      </c>
      <c r="BQ194" s="200">
        <f t="shared" si="71"/>
        <v>0</v>
      </c>
      <c r="BR194" s="200">
        <f t="shared" si="72"/>
        <v>0</v>
      </c>
      <c r="BS194" s="200">
        <f t="shared" si="73"/>
        <v>0</v>
      </c>
      <c r="BT194" s="200">
        <f t="shared" si="74"/>
        <v>0</v>
      </c>
      <c r="BU194" s="200">
        <f t="shared" si="75"/>
        <v>195</v>
      </c>
      <c r="BV194" s="200">
        <v>1</v>
      </c>
      <c r="BW194" s="200">
        <v>0</v>
      </c>
      <c r="BX194" s="200">
        <f t="shared" si="76"/>
        <v>0</v>
      </c>
      <c r="CB194" s="381">
        <f>_xlfn.IFNA(VLOOKUP(A194,'Actuals Summer'!$A:$AG,23,FALSE),0)</f>
        <v>0</v>
      </c>
      <c r="CC194" s="381">
        <f>_xlfn.IFNA(VLOOKUP(A194,'Actuals Summer'!$A:$AG,24,FALSE),0)</f>
        <v>0</v>
      </c>
      <c r="CD194" s="381">
        <f>_xlfn.IFNA(VLOOKUP(A194,'Actuals Summer'!$A:$AG,25,FALSE),0)</f>
        <v>0</v>
      </c>
      <c r="CE194" s="381">
        <f>_xlfn.IFNA(VLOOKUP(A194,'Actuals Summer'!$A:$AG,26,FALSE),0)</f>
        <v>0</v>
      </c>
      <c r="CF194" s="381">
        <f>_xlfn.IFNA(VLOOKUP(A194,'Actuals Summer'!$A:$AG,27,FALSE),0)</f>
        <v>0</v>
      </c>
      <c r="CG194" s="381">
        <f>_xlfn.IFNA(VLOOKUP(A194,'Actuals Dep Summer'!B:O,6,FALSE)*$BN$3,0)</f>
        <v>0</v>
      </c>
      <c r="CH194" s="381">
        <f>_xlfn.IFNA(VLOOKUP(A194,'Actuals Dep Summer'!B:O,7,FALSE)*$BN$3,0)</f>
        <v>0</v>
      </c>
      <c r="CI194" s="381">
        <f>_xlfn.IFNA(VLOOKUP(A194,'Actuals Dep Summer'!B:O,8,FALSE)*$BN$3,0)</f>
        <v>0</v>
      </c>
      <c r="CJ194" s="381">
        <f>_xlfn.IFNA(VLOOKUP(A194,'Actuals Summer'!$A:$AG,31,FALSE),0)*$BN$3</f>
        <v>0</v>
      </c>
      <c r="CK194" s="381"/>
      <c r="CL194" s="381">
        <f>_xlfn.IFNA(VLOOKUP(A194,'Actuals Summer'!$A:$AG,32,FALSE),0)*$BN$3</f>
        <v>0</v>
      </c>
      <c r="CM194" s="381">
        <f>_xlfn.IFNA(VLOOKUP(A194,'Actuals Summer'!$A:$AG,33,FALSE),0)</f>
        <v>0</v>
      </c>
      <c r="CP194" s="458">
        <f t="shared" si="77"/>
        <v>0</v>
      </c>
      <c r="CQ194" s="458">
        <f t="shared" si="78"/>
        <v>0</v>
      </c>
      <c r="CR194" s="458">
        <f t="shared" si="90"/>
        <v>0</v>
      </c>
      <c r="CS194" s="458">
        <f t="shared" si="79"/>
        <v>4414.8</v>
      </c>
      <c r="CT194" s="458">
        <f t="shared" si="80"/>
        <v>0</v>
      </c>
      <c r="CU194" s="458">
        <f t="shared" si="81"/>
        <v>0</v>
      </c>
      <c r="CV194" s="458">
        <f t="shared" si="82"/>
        <v>0</v>
      </c>
      <c r="CW194" s="458">
        <f t="shared" si="83"/>
        <v>0</v>
      </c>
      <c r="CX194" s="458">
        <f t="shared" si="84"/>
        <v>195</v>
      </c>
      <c r="CY194" s="458">
        <f t="shared" si="85"/>
        <v>74.578947368421041</v>
      </c>
      <c r="CZ194" s="458">
        <f t="shared" si="86"/>
        <v>0</v>
      </c>
      <c r="DA194" s="458">
        <f t="shared" si="87"/>
        <v>0</v>
      </c>
      <c r="DB194" s="458">
        <f t="shared" si="88"/>
        <v>4684.378947368421</v>
      </c>
      <c r="DC194" s="452">
        <f>_xlfn.XLOOKUP($A194,'Actuals Summer'!$A:$A,'Actuals Summer'!L:L,0,0)</f>
        <v>0</v>
      </c>
      <c r="DD194" s="452">
        <f>_xlfn.XLOOKUP($A194,'Actuals Summer'!$A:$A,'Actuals Summer'!K:K,0,0)+_xlfn.XLOOKUP($A194,'Actuals Summer'!$A:$A,'Actuals Summer'!Q:Q,0,0)</f>
        <v>0</v>
      </c>
      <c r="DE194" s="452">
        <f>_xlfn.XLOOKUP($A194,'Actuals Summer'!$A:$A,'Actuals Summer'!I:I,0,0)+_xlfn.XLOOKUP($A194,'Actuals Summer'!$A:$A,'Actuals Summer'!R:R,0,0)</f>
        <v>0</v>
      </c>
      <c r="DF194" s="452">
        <f>_xlfn.XLOOKUP($A194,'Actuals Summer'!$A:$A,'Actuals Summer'!J:J,0,0)</f>
        <v>0</v>
      </c>
      <c r="DG194" s="452">
        <f>_xlfn.XLOOKUP($A194,'Actuals Dep Summer'!$B:$B,'Actuals Dep Summer'!G:G,0,0)*'Actuals Dep Summer'!$F$2*'Actuals Dep Summer'!$C$2</f>
        <v>0</v>
      </c>
      <c r="DH194" s="452">
        <f>_xlfn.XLOOKUP($A194,'Actuals Dep Summer'!$B:$B,'Actuals Dep Summer'!H:H,0,0)*'Actuals Dep Summer'!$F$2*'Actuals Dep Summer'!$C$3</f>
        <v>0</v>
      </c>
      <c r="DI194" s="452">
        <f>_xlfn.XLOOKUP($A194,'Actuals Dep Summer'!$B:$B,'Actuals Dep Summer'!I:I,0,0)*'Actuals Dep Summer'!$F$2*'Actuals Dep Summer'!$C$4</f>
        <v>0</v>
      </c>
      <c r="DJ194" s="452">
        <f>_xlfn.XLOOKUP($A194,'Actuals Summer'!$A:$A,'Actuals Summer'!P:P,0,0)</f>
        <v>0</v>
      </c>
      <c r="DK194" s="452">
        <f>_xlfn.XLOOKUP($A194,'Actuals Summer'!$A:$A,'Actuals Summer'!O:O,0,0)</f>
        <v>0</v>
      </c>
      <c r="DL194" s="452"/>
      <c r="DM194" s="452">
        <f>_xlfn.XLOOKUP($A194,'Actuals Summer'!$A:$A,'Actuals Summer'!M:M,0,0)</f>
        <v>0</v>
      </c>
      <c r="DN194" s="453">
        <f t="shared" si="91"/>
        <v>0</v>
      </c>
      <c r="DO194" s="453">
        <f>_xlfn.XLOOKUP(A194,'Actuals Summer'!A:A,'Actuals Summer'!S:S,0,0)-'Summer data team '!DN194</f>
        <v>0</v>
      </c>
      <c r="DP194" s="463">
        <f t="shared" si="92"/>
        <v>4684.378947368421</v>
      </c>
    </row>
    <row r="195" spans="1:120" ht="13" x14ac:dyDescent="0.3">
      <c r="A195" s="364">
        <v>7013</v>
      </c>
      <c r="B195" s="364">
        <v>3307013</v>
      </c>
      <c r="C195" s="364" t="s">
        <v>420</v>
      </c>
      <c r="D195" s="506">
        <v>0</v>
      </c>
      <c r="E195" s="506">
        <v>0</v>
      </c>
      <c r="F195" s="506">
        <v>0</v>
      </c>
      <c r="G195" s="506">
        <v>2</v>
      </c>
      <c r="H195" s="506">
        <v>4</v>
      </c>
      <c r="I195" s="507">
        <v>0</v>
      </c>
      <c r="J195" s="507">
        <v>6</v>
      </c>
      <c r="K195" s="506">
        <v>0</v>
      </c>
      <c r="L195" s="506">
        <v>0</v>
      </c>
      <c r="M195" s="507">
        <v>0</v>
      </c>
      <c r="N195" s="506">
        <v>0</v>
      </c>
      <c r="O195" s="506">
        <v>0</v>
      </c>
      <c r="P195" s="506">
        <v>30</v>
      </c>
      <c r="Q195" s="506">
        <v>60</v>
      </c>
      <c r="R195" s="507">
        <v>90</v>
      </c>
      <c r="S195" s="506">
        <v>0</v>
      </c>
      <c r="T195" s="506">
        <v>0</v>
      </c>
      <c r="U195" s="506">
        <v>0</v>
      </c>
      <c r="V195" s="506">
        <v>0</v>
      </c>
      <c r="W195" s="507">
        <v>0</v>
      </c>
      <c r="X195" s="506">
        <v>0</v>
      </c>
      <c r="Y195" s="506">
        <v>0</v>
      </c>
      <c r="Z195" s="508">
        <v>0</v>
      </c>
      <c r="AA195" s="506">
        <v>2</v>
      </c>
      <c r="AB195" s="506">
        <v>30</v>
      </c>
      <c r="AC195" s="508">
        <v>0</v>
      </c>
      <c r="AD195" s="506">
        <v>1</v>
      </c>
      <c r="AE195" s="506">
        <v>15</v>
      </c>
      <c r="AF195" s="508">
        <v>0</v>
      </c>
      <c r="AG195" s="509">
        <v>0</v>
      </c>
      <c r="AH195" s="509">
        <v>0</v>
      </c>
      <c r="AI195" s="508">
        <v>0</v>
      </c>
      <c r="AJ195" s="509">
        <v>1</v>
      </c>
      <c r="AK195" s="509">
        <v>15</v>
      </c>
      <c r="AL195" s="508">
        <v>0</v>
      </c>
      <c r="AM195" s="506">
        <v>1</v>
      </c>
      <c r="AN195" s="506">
        <v>15</v>
      </c>
      <c r="AO195" s="508">
        <v>0</v>
      </c>
      <c r="AP195" s="508"/>
      <c r="AQ195" s="508">
        <f t="shared" si="66"/>
        <v>1</v>
      </c>
      <c r="AR195" s="509">
        <v>0</v>
      </c>
      <c r="AS195" s="509">
        <v>0</v>
      </c>
      <c r="AT195" s="508">
        <v>0</v>
      </c>
      <c r="AU195" s="509">
        <v>1</v>
      </c>
      <c r="AV195" s="509">
        <v>15</v>
      </c>
      <c r="AW195" s="508">
        <v>0</v>
      </c>
      <c r="AX195" s="506">
        <v>1</v>
      </c>
      <c r="AY195" s="506">
        <v>15</v>
      </c>
      <c r="AZ195" s="508">
        <v>0</v>
      </c>
      <c r="BA195" s="508"/>
      <c r="BB195" s="508">
        <f t="shared" si="67"/>
        <v>2</v>
      </c>
      <c r="BC195" s="509">
        <v>0</v>
      </c>
      <c r="BD195" s="509">
        <v>0</v>
      </c>
      <c r="BE195" s="506">
        <v>0</v>
      </c>
      <c r="BF195" s="200"/>
      <c r="BG195" s="200"/>
      <c r="BH195" s="200"/>
      <c r="BI195" s="200"/>
      <c r="BJ195" s="200"/>
      <c r="BK195" s="200"/>
      <c r="BL195" s="200"/>
      <c r="BM195" s="505">
        <f t="shared" si="68"/>
        <v>0</v>
      </c>
      <c r="BN195" s="200">
        <f t="shared" si="69"/>
        <v>0</v>
      </c>
      <c r="BO195" s="200">
        <f t="shared" si="89"/>
        <v>0</v>
      </c>
      <c r="BP195" s="200">
        <f t="shared" si="70"/>
        <v>1170</v>
      </c>
      <c r="BQ195" s="200">
        <f t="shared" si="71"/>
        <v>0</v>
      </c>
      <c r="BR195" s="200">
        <f t="shared" si="72"/>
        <v>0</v>
      </c>
      <c r="BS195" s="200">
        <f t="shared" si="73"/>
        <v>390</v>
      </c>
      <c r="BT195" s="200">
        <f t="shared" si="74"/>
        <v>195</v>
      </c>
      <c r="BU195" s="200">
        <f t="shared" si="75"/>
        <v>195</v>
      </c>
      <c r="BV195" s="200">
        <v>1</v>
      </c>
      <c r="BW195" s="200">
        <v>0</v>
      </c>
      <c r="BX195" s="200">
        <f t="shared" si="76"/>
        <v>0</v>
      </c>
      <c r="CB195" s="381">
        <f>_xlfn.IFNA(VLOOKUP(A195,'Actuals Summer'!$A:$AG,23,FALSE),0)</f>
        <v>0</v>
      </c>
      <c r="CC195" s="381">
        <f>_xlfn.IFNA(VLOOKUP(A195,'Actuals Summer'!$A:$AG,24,FALSE),0)</f>
        <v>0</v>
      </c>
      <c r="CD195" s="381">
        <f>_xlfn.IFNA(VLOOKUP(A195,'Actuals Summer'!$A:$AG,25,FALSE),0)</f>
        <v>0</v>
      </c>
      <c r="CE195" s="381">
        <f>_xlfn.IFNA(VLOOKUP(A195,'Actuals Summer'!$A:$AG,26,FALSE),0)</f>
        <v>0</v>
      </c>
      <c r="CF195" s="381">
        <f>_xlfn.IFNA(VLOOKUP(A195,'Actuals Summer'!$A:$AG,27,FALSE),0)</f>
        <v>0</v>
      </c>
      <c r="CG195" s="381">
        <f>_xlfn.IFNA(VLOOKUP(A195,'Actuals Dep Summer'!B:O,6,FALSE)*$BN$3,0)</f>
        <v>0</v>
      </c>
      <c r="CH195" s="381">
        <f>_xlfn.IFNA(VLOOKUP(A195,'Actuals Dep Summer'!B:O,7,FALSE)*$BN$3,0)</f>
        <v>0</v>
      </c>
      <c r="CI195" s="381">
        <f>_xlfn.IFNA(VLOOKUP(A195,'Actuals Dep Summer'!B:O,8,FALSE)*$BN$3,0)</f>
        <v>0</v>
      </c>
      <c r="CJ195" s="381">
        <f>_xlfn.IFNA(VLOOKUP(A195,'Actuals Summer'!$A:$AG,31,FALSE),0)*$BN$3</f>
        <v>0</v>
      </c>
      <c r="CK195" s="381"/>
      <c r="CL195" s="381">
        <f>_xlfn.IFNA(VLOOKUP(A195,'Actuals Summer'!$A:$AG,32,FALSE),0)*$BN$3</f>
        <v>0</v>
      </c>
      <c r="CM195" s="381">
        <f>_xlfn.IFNA(VLOOKUP(A195,'Actuals Summer'!$A:$AG,33,FALSE),0)</f>
        <v>0</v>
      </c>
      <c r="CP195" s="458">
        <f t="shared" si="77"/>
        <v>0</v>
      </c>
      <c r="CQ195" s="458">
        <f t="shared" si="78"/>
        <v>0</v>
      </c>
      <c r="CR195" s="458">
        <f t="shared" si="90"/>
        <v>0</v>
      </c>
      <c r="CS195" s="458">
        <f t="shared" si="79"/>
        <v>6622.2</v>
      </c>
      <c r="CT195" s="458">
        <f t="shared" si="80"/>
        <v>0</v>
      </c>
      <c r="CU195" s="458">
        <f t="shared" si="81"/>
        <v>0</v>
      </c>
      <c r="CV195" s="458">
        <f t="shared" si="82"/>
        <v>113.1</v>
      </c>
      <c r="CW195" s="458">
        <f t="shared" si="83"/>
        <v>15.6</v>
      </c>
      <c r="CX195" s="458">
        <f t="shared" si="84"/>
        <v>195</v>
      </c>
      <c r="CY195" s="458">
        <f t="shared" si="85"/>
        <v>74.578947368421041</v>
      </c>
      <c r="CZ195" s="458">
        <f t="shared" si="86"/>
        <v>0</v>
      </c>
      <c r="DA195" s="458">
        <f t="shared" si="87"/>
        <v>0</v>
      </c>
      <c r="DB195" s="458">
        <f t="shared" si="88"/>
        <v>7020.4789473684214</v>
      </c>
      <c r="DC195" s="452">
        <f>_xlfn.XLOOKUP($A195,'Actuals Summer'!$A:$A,'Actuals Summer'!L:L,0,0)</f>
        <v>0</v>
      </c>
      <c r="DD195" s="452">
        <f>_xlfn.XLOOKUP($A195,'Actuals Summer'!$A:$A,'Actuals Summer'!K:K,0,0)+_xlfn.XLOOKUP($A195,'Actuals Summer'!$A:$A,'Actuals Summer'!Q:Q,0,0)</f>
        <v>0</v>
      </c>
      <c r="DE195" s="452">
        <f>_xlfn.XLOOKUP($A195,'Actuals Summer'!$A:$A,'Actuals Summer'!I:I,0,0)+_xlfn.XLOOKUP($A195,'Actuals Summer'!$A:$A,'Actuals Summer'!R:R,0,0)</f>
        <v>0</v>
      </c>
      <c r="DF195" s="452">
        <f>_xlfn.XLOOKUP($A195,'Actuals Summer'!$A:$A,'Actuals Summer'!J:J,0,0)</f>
        <v>0</v>
      </c>
      <c r="DG195" s="452">
        <f>_xlfn.XLOOKUP($A195,'Actuals Dep Summer'!$B:$B,'Actuals Dep Summer'!G:G,0,0)*'Actuals Dep Summer'!$F$2*'Actuals Dep Summer'!$C$2</f>
        <v>0</v>
      </c>
      <c r="DH195" s="452">
        <f>_xlfn.XLOOKUP($A195,'Actuals Dep Summer'!$B:$B,'Actuals Dep Summer'!H:H,0,0)*'Actuals Dep Summer'!$F$2*'Actuals Dep Summer'!$C$3</f>
        <v>0</v>
      </c>
      <c r="DI195" s="452">
        <f>_xlfn.XLOOKUP($A195,'Actuals Dep Summer'!$B:$B,'Actuals Dep Summer'!I:I,0,0)*'Actuals Dep Summer'!$F$2*'Actuals Dep Summer'!$C$4</f>
        <v>0</v>
      </c>
      <c r="DJ195" s="452">
        <f>_xlfn.XLOOKUP($A195,'Actuals Summer'!$A:$A,'Actuals Summer'!P:P,0,0)</f>
        <v>0</v>
      </c>
      <c r="DK195" s="452">
        <f>_xlfn.XLOOKUP($A195,'Actuals Summer'!$A:$A,'Actuals Summer'!O:O,0,0)</f>
        <v>0</v>
      </c>
      <c r="DL195" s="452"/>
      <c r="DM195" s="452">
        <f>_xlfn.XLOOKUP($A195,'Actuals Summer'!$A:$A,'Actuals Summer'!M:M,0,0)</f>
        <v>0</v>
      </c>
      <c r="DN195" s="453">
        <f t="shared" si="91"/>
        <v>0</v>
      </c>
      <c r="DO195" s="453">
        <f>_xlfn.XLOOKUP(A195,'Actuals Summer'!A:A,'Actuals Summer'!S:S,0,0)-'Summer data team '!DN195</f>
        <v>0</v>
      </c>
      <c r="DP195" s="463">
        <f t="shared" si="92"/>
        <v>7020.4789473684214</v>
      </c>
    </row>
    <row r="196" spans="1:120" ht="13" x14ac:dyDescent="0.3">
      <c r="A196" s="364">
        <v>7014</v>
      </c>
      <c r="B196" s="364">
        <v>3307014</v>
      </c>
      <c r="C196" s="364" t="s">
        <v>860</v>
      </c>
      <c r="D196" s="506">
        <v>0</v>
      </c>
      <c r="E196" s="506">
        <v>0</v>
      </c>
      <c r="F196" s="506">
        <v>0</v>
      </c>
      <c r="G196" s="506">
        <v>0</v>
      </c>
      <c r="H196" s="506">
        <v>1</v>
      </c>
      <c r="I196" s="507">
        <v>0</v>
      </c>
      <c r="J196" s="507">
        <v>1</v>
      </c>
      <c r="K196" s="506">
        <v>0</v>
      </c>
      <c r="L196" s="506">
        <v>0</v>
      </c>
      <c r="M196" s="507">
        <v>0</v>
      </c>
      <c r="N196" s="506">
        <v>0</v>
      </c>
      <c r="O196" s="506">
        <v>0</v>
      </c>
      <c r="P196" s="506">
        <v>0</v>
      </c>
      <c r="Q196" s="506">
        <v>15</v>
      </c>
      <c r="R196" s="507">
        <v>15</v>
      </c>
      <c r="S196" s="506">
        <v>0</v>
      </c>
      <c r="T196" s="506">
        <v>0</v>
      </c>
      <c r="U196" s="506">
        <v>0</v>
      </c>
      <c r="V196" s="506">
        <v>0</v>
      </c>
      <c r="W196" s="507">
        <v>0</v>
      </c>
      <c r="X196" s="506">
        <v>0</v>
      </c>
      <c r="Y196" s="506">
        <v>0</v>
      </c>
      <c r="Z196" s="508">
        <v>0</v>
      </c>
      <c r="AA196" s="506">
        <v>0</v>
      </c>
      <c r="AB196" s="506">
        <v>0</v>
      </c>
      <c r="AC196" s="508">
        <v>0</v>
      </c>
      <c r="AD196" s="506">
        <v>0</v>
      </c>
      <c r="AE196" s="506">
        <v>0</v>
      </c>
      <c r="AF196" s="508">
        <v>0</v>
      </c>
      <c r="AG196" s="509">
        <v>0</v>
      </c>
      <c r="AH196" s="509">
        <v>0</v>
      </c>
      <c r="AI196" s="508">
        <v>0</v>
      </c>
      <c r="AJ196" s="509">
        <v>1</v>
      </c>
      <c r="AK196" s="509">
        <v>15</v>
      </c>
      <c r="AL196" s="508">
        <v>0</v>
      </c>
      <c r="AM196" s="506">
        <v>1</v>
      </c>
      <c r="AN196" s="506">
        <v>15</v>
      </c>
      <c r="AO196" s="508">
        <v>0</v>
      </c>
      <c r="AP196" s="508"/>
      <c r="AQ196" s="508">
        <f t="shared" si="66"/>
        <v>1</v>
      </c>
      <c r="AR196" s="509">
        <v>0</v>
      </c>
      <c r="AS196" s="509">
        <v>0</v>
      </c>
      <c r="AT196" s="508">
        <v>0</v>
      </c>
      <c r="AU196" s="509">
        <v>1</v>
      </c>
      <c r="AV196" s="509">
        <v>15</v>
      </c>
      <c r="AW196" s="508">
        <v>0</v>
      </c>
      <c r="AX196" s="506">
        <v>1</v>
      </c>
      <c r="AY196" s="506">
        <v>15</v>
      </c>
      <c r="AZ196" s="508">
        <v>0</v>
      </c>
      <c r="BA196" s="508"/>
      <c r="BB196" s="508">
        <f t="shared" si="67"/>
        <v>2</v>
      </c>
      <c r="BC196" s="509">
        <v>0</v>
      </c>
      <c r="BD196" s="509">
        <v>0</v>
      </c>
      <c r="BE196" s="506">
        <v>0</v>
      </c>
      <c r="BF196" s="200"/>
      <c r="BG196" s="200"/>
      <c r="BH196" s="200"/>
      <c r="BI196" s="200"/>
      <c r="BJ196" s="200"/>
      <c r="BK196" s="200"/>
      <c r="BL196" s="200"/>
      <c r="BM196" s="505">
        <f t="shared" si="68"/>
        <v>0</v>
      </c>
      <c r="BN196" s="200">
        <f t="shared" si="69"/>
        <v>0</v>
      </c>
      <c r="BO196" s="200">
        <f t="shared" si="89"/>
        <v>0</v>
      </c>
      <c r="BP196" s="200">
        <f t="shared" si="70"/>
        <v>195</v>
      </c>
      <c r="BQ196" s="200">
        <f t="shared" si="71"/>
        <v>0</v>
      </c>
      <c r="BR196" s="200">
        <f t="shared" si="72"/>
        <v>0</v>
      </c>
      <c r="BS196" s="200">
        <f t="shared" si="73"/>
        <v>0</v>
      </c>
      <c r="BT196" s="200">
        <f t="shared" si="74"/>
        <v>0</v>
      </c>
      <c r="BU196" s="200">
        <f t="shared" si="75"/>
        <v>195</v>
      </c>
      <c r="BV196" s="200">
        <v>1</v>
      </c>
      <c r="BW196" s="200">
        <v>0</v>
      </c>
      <c r="BX196" s="200">
        <f t="shared" si="76"/>
        <v>0</v>
      </c>
      <c r="CB196" s="381">
        <f>_xlfn.IFNA(VLOOKUP(A196,'Actuals Summer'!$A:$AG,23,FALSE),0)</f>
        <v>0</v>
      </c>
      <c r="CC196" s="381">
        <f>_xlfn.IFNA(VLOOKUP(A196,'Actuals Summer'!$A:$AG,24,FALSE),0)</f>
        <v>0</v>
      </c>
      <c r="CD196" s="381">
        <f>_xlfn.IFNA(VLOOKUP(A196,'Actuals Summer'!$A:$AG,25,FALSE),0)</f>
        <v>0</v>
      </c>
      <c r="CE196" s="381">
        <f>_xlfn.IFNA(VLOOKUP(A196,'Actuals Summer'!$A:$AG,26,FALSE),0)</f>
        <v>0</v>
      </c>
      <c r="CF196" s="381">
        <f>_xlfn.IFNA(VLOOKUP(A196,'Actuals Summer'!$A:$AG,27,FALSE),0)</f>
        <v>0</v>
      </c>
      <c r="CG196" s="381">
        <f>_xlfn.IFNA(VLOOKUP(A196,'Actuals Dep Summer'!B:O,6,FALSE)*$BN$3,0)</f>
        <v>0</v>
      </c>
      <c r="CH196" s="381">
        <f>_xlfn.IFNA(VLOOKUP(A196,'Actuals Dep Summer'!B:O,7,FALSE)*$BN$3,0)</f>
        <v>0</v>
      </c>
      <c r="CI196" s="381">
        <f>_xlfn.IFNA(VLOOKUP(A196,'Actuals Dep Summer'!B:O,8,FALSE)*$BN$3,0)</f>
        <v>0</v>
      </c>
      <c r="CJ196" s="381">
        <f>_xlfn.IFNA(VLOOKUP(A196,'Actuals Summer'!$A:$AG,31,FALSE),0)*$BN$3</f>
        <v>0</v>
      </c>
      <c r="CK196" s="381"/>
      <c r="CL196" s="381">
        <f>_xlfn.IFNA(VLOOKUP(A196,'Actuals Summer'!$A:$AG,32,FALSE),0)*$BN$3</f>
        <v>0</v>
      </c>
      <c r="CM196" s="381">
        <f>_xlfn.IFNA(VLOOKUP(A196,'Actuals Summer'!$A:$AG,33,FALSE),0)</f>
        <v>0</v>
      </c>
      <c r="CP196" s="458">
        <f t="shared" si="77"/>
        <v>0</v>
      </c>
      <c r="CQ196" s="458">
        <f t="shared" si="78"/>
        <v>0</v>
      </c>
      <c r="CR196" s="458">
        <f t="shared" si="90"/>
        <v>0</v>
      </c>
      <c r="CS196" s="458">
        <f t="shared" si="79"/>
        <v>1103.7</v>
      </c>
      <c r="CT196" s="458">
        <f t="shared" si="80"/>
        <v>0</v>
      </c>
      <c r="CU196" s="458">
        <f t="shared" si="81"/>
        <v>0</v>
      </c>
      <c r="CV196" s="458">
        <f t="shared" si="82"/>
        <v>0</v>
      </c>
      <c r="CW196" s="458">
        <f t="shared" si="83"/>
        <v>0</v>
      </c>
      <c r="CX196" s="458">
        <f t="shared" si="84"/>
        <v>195</v>
      </c>
      <c r="CY196" s="458">
        <f t="shared" si="85"/>
        <v>74.578947368421041</v>
      </c>
      <c r="CZ196" s="458">
        <f t="shared" si="86"/>
        <v>0</v>
      </c>
      <c r="DA196" s="458">
        <f t="shared" si="87"/>
        <v>0</v>
      </c>
      <c r="DB196" s="458">
        <f t="shared" si="88"/>
        <v>1373.2789473684211</v>
      </c>
      <c r="DC196" s="452">
        <f>_xlfn.XLOOKUP($A196,'Actuals Summer'!$A:$A,'Actuals Summer'!L:L,0,0)</f>
        <v>0</v>
      </c>
      <c r="DD196" s="452">
        <f>_xlfn.XLOOKUP($A196,'Actuals Summer'!$A:$A,'Actuals Summer'!K:K,0,0)+_xlfn.XLOOKUP($A196,'Actuals Summer'!$A:$A,'Actuals Summer'!Q:Q,0,0)</f>
        <v>0</v>
      </c>
      <c r="DE196" s="452">
        <f>_xlfn.XLOOKUP($A196,'Actuals Summer'!$A:$A,'Actuals Summer'!I:I,0,0)+_xlfn.XLOOKUP($A196,'Actuals Summer'!$A:$A,'Actuals Summer'!R:R,0,0)</f>
        <v>0</v>
      </c>
      <c r="DF196" s="452">
        <f>_xlfn.XLOOKUP($A196,'Actuals Summer'!$A:$A,'Actuals Summer'!J:J,0,0)</f>
        <v>0</v>
      </c>
      <c r="DG196" s="452">
        <f>_xlfn.XLOOKUP($A196,'Actuals Dep Summer'!$B:$B,'Actuals Dep Summer'!G:G,0,0)*'Actuals Dep Summer'!$F$2*'Actuals Dep Summer'!$C$2</f>
        <v>0</v>
      </c>
      <c r="DH196" s="452">
        <f>_xlfn.XLOOKUP($A196,'Actuals Dep Summer'!$B:$B,'Actuals Dep Summer'!H:H,0,0)*'Actuals Dep Summer'!$F$2*'Actuals Dep Summer'!$C$3</f>
        <v>0</v>
      </c>
      <c r="DI196" s="452">
        <f>_xlfn.XLOOKUP($A196,'Actuals Dep Summer'!$B:$B,'Actuals Dep Summer'!I:I,0,0)*'Actuals Dep Summer'!$F$2*'Actuals Dep Summer'!$C$4</f>
        <v>0</v>
      </c>
      <c r="DJ196" s="452">
        <f>_xlfn.XLOOKUP($A196,'Actuals Summer'!$A:$A,'Actuals Summer'!P:P,0,0)</f>
        <v>0</v>
      </c>
      <c r="DK196" s="452">
        <f>_xlfn.XLOOKUP($A196,'Actuals Summer'!$A:$A,'Actuals Summer'!O:O,0,0)</f>
        <v>0</v>
      </c>
      <c r="DL196" s="452"/>
      <c r="DM196" s="452">
        <f>_xlfn.XLOOKUP($A196,'Actuals Summer'!$A:$A,'Actuals Summer'!M:M,0,0)</f>
        <v>0</v>
      </c>
      <c r="DN196" s="453">
        <f t="shared" si="91"/>
        <v>0</v>
      </c>
      <c r="DO196" s="453">
        <f>_xlfn.XLOOKUP(A196,'Actuals Summer'!A:A,'Actuals Summer'!S:S,0,0)-'Summer data team '!DN196</f>
        <v>0</v>
      </c>
      <c r="DP196" s="463">
        <f t="shared" si="92"/>
        <v>1373.2789473684211</v>
      </c>
    </row>
    <row r="197" spans="1:120" ht="13" x14ac:dyDescent="0.3">
      <c r="A197" s="364">
        <v>7031</v>
      </c>
      <c r="B197" s="364">
        <v>3307031</v>
      </c>
      <c r="C197" s="364" t="s">
        <v>381</v>
      </c>
      <c r="D197" s="506">
        <v>0</v>
      </c>
      <c r="E197" s="506">
        <v>0</v>
      </c>
      <c r="F197" s="506">
        <v>0</v>
      </c>
      <c r="G197" s="506">
        <v>3</v>
      </c>
      <c r="H197" s="506">
        <v>2</v>
      </c>
      <c r="I197" s="507">
        <v>0</v>
      </c>
      <c r="J197" s="507">
        <v>5</v>
      </c>
      <c r="K197" s="506">
        <v>0</v>
      </c>
      <c r="L197" s="506">
        <v>0</v>
      </c>
      <c r="M197" s="507">
        <v>0</v>
      </c>
      <c r="N197" s="506">
        <v>0</v>
      </c>
      <c r="O197" s="506">
        <v>0</v>
      </c>
      <c r="P197" s="506">
        <v>45</v>
      </c>
      <c r="Q197" s="506">
        <v>30</v>
      </c>
      <c r="R197" s="507">
        <v>75</v>
      </c>
      <c r="S197" s="506">
        <v>0</v>
      </c>
      <c r="T197" s="506">
        <v>0</v>
      </c>
      <c r="U197" s="506">
        <v>0</v>
      </c>
      <c r="V197" s="506">
        <v>0</v>
      </c>
      <c r="W197" s="507">
        <v>0</v>
      </c>
      <c r="X197" s="506">
        <v>1</v>
      </c>
      <c r="Y197" s="506">
        <v>15</v>
      </c>
      <c r="Z197" s="508">
        <v>0</v>
      </c>
      <c r="AA197" s="506">
        <v>3</v>
      </c>
      <c r="AB197" s="506">
        <v>45</v>
      </c>
      <c r="AC197" s="508">
        <v>0</v>
      </c>
      <c r="AD197" s="506">
        <v>0</v>
      </c>
      <c r="AE197" s="506">
        <v>0</v>
      </c>
      <c r="AF197" s="508">
        <v>0</v>
      </c>
      <c r="AG197" s="509">
        <v>0</v>
      </c>
      <c r="AH197" s="509">
        <v>0</v>
      </c>
      <c r="AI197" s="508">
        <v>0</v>
      </c>
      <c r="AJ197" s="509">
        <v>1</v>
      </c>
      <c r="AK197" s="509">
        <v>15</v>
      </c>
      <c r="AL197" s="508">
        <v>0</v>
      </c>
      <c r="AM197" s="506">
        <v>1</v>
      </c>
      <c r="AN197" s="506">
        <v>15</v>
      </c>
      <c r="AO197" s="508">
        <v>0</v>
      </c>
      <c r="AP197" s="508"/>
      <c r="AQ197" s="508">
        <f t="shared" si="66"/>
        <v>1</v>
      </c>
      <c r="AR197" s="509">
        <v>0</v>
      </c>
      <c r="AS197" s="509">
        <v>0</v>
      </c>
      <c r="AT197" s="508">
        <v>0</v>
      </c>
      <c r="AU197" s="509">
        <v>1</v>
      </c>
      <c r="AV197" s="509">
        <v>15</v>
      </c>
      <c r="AW197" s="508">
        <v>0</v>
      </c>
      <c r="AX197" s="506">
        <v>1</v>
      </c>
      <c r="AY197" s="506">
        <v>15</v>
      </c>
      <c r="AZ197" s="508">
        <v>0</v>
      </c>
      <c r="BA197" s="508"/>
      <c r="BB197" s="508">
        <f t="shared" si="67"/>
        <v>2</v>
      </c>
      <c r="BC197" s="509">
        <v>0</v>
      </c>
      <c r="BD197" s="509">
        <v>5</v>
      </c>
      <c r="BE197" s="506">
        <v>5</v>
      </c>
      <c r="BF197" s="200"/>
      <c r="BG197" s="200"/>
      <c r="BH197" s="200"/>
      <c r="BI197" s="200"/>
      <c r="BJ197" s="200"/>
      <c r="BK197" s="200"/>
      <c r="BL197" s="200"/>
      <c r="BM197" s="505">
        <f t="shared" si="68"/>
        <v>0</v>
      </c>
      <c r="BN197" s="200">
        <f t="shared" si="69"/>
        <v>0</v>
      </c>
      <c r="BO197" s="200">
        <f t="shared" si="89"/>
        <v>0</v>
      </c>
      <c r="BP197" s="200">
        <f t="shared" si="70"/>
        <v>975</v>
      </c>
      <c r="BQ197" s="200">
        <f t="shared" si="71"/>
        <v>0</v>
      </c>
      <c r="BR197" s="200">
        <f t="shared" si="72"/>
        <v>195</v>
      </c>
      <c r="BS197" s="200">
        <f t="shared" si="73"/>
        <v>585</v>
      </c>
      <c r="BT197" s="200">
        <f t="shared" si="74"/>
        <v>0</v>
      </c>
      <c r="BU197" s="200">
        <f t="shared" si="75"/>
        <v>195</v>
      </c>
      <c r="BV197" s="200">
        <v>1</v>
      </c>
      <c r="BW197" s="200">
        <v>0</v>
      </c>
      <c r="BX197" s="200">
        <f t="shared" si="76"/>
        <v>5</v>
      </c>
      <c r="CB197" s="381">
        <f>_xlfn.IFNA(VLOOKUP(A197,'Actuals Summer'!$A:$AG,23,FALSE),0)</f>
        <v>0</v>
      </c>
      <c r="CC197" s="381">
        <f>_xlfn.IFNA(VLOOKUP(A197,'Actuals Summer'!$A:$AG,24,FALSE),0)</f>
        <v>0</v>
      </c>
      <c r="CD197" s="381">
        <f>_xlfn.IFNA(VLOOKUP(A197,'Actuals Summer'!$A:$AG,25,FALSE),0)</f>
        <v>0</v>
      </c>
      <c r="CE197" s="381">
        <f>_xlfn.IFNA(VLOOKUP(A197,'Actuals Summer'!$A:$AG,26,FALSE),0)</f>
        <v>0</v>
      </c>
      <c r="CF197" s="381">
        <f>_xlfn.IFNA(VLOOKUP(A197,'Actuals Summer'!$A:$AG,27,FALSE),0)</f>
        <v>0</v>
      </c>
      <c r="CG197" s="381">
        <f>_xlfn.IFNA(VLOOKUP(A197,'Actuals Dep Summer'!B:O,6,FALSE)*$BN$3,0)</f>
        <v>0</v>
      </c>
      <c r="CH197" s="381">
        <f>_xlfn.IFNA(VLOOKUP(A197,'Actuals Dep Summer'!B:O,7,FALSE)*$BN$3,0)</f>
        <v>0</v>
      </c>
      <c r="CI197" s="381">
        <f>_xlfn.IFNA(VLOOKUP(A197,'Actuals Dep Summer'!B:O,8,FALSE)*$BN$3,0)</f>
        <v>0</v>
      </c>
      <c r="CJ197" s="381">
        <f>_xlfn.IFNA(VLOOKUP(A197,'Actuals Summer'!$A:$AG,31,FALSE),0)*$BN$3</f>
        <v>0</v>
      </c>
      <c r="CK197" s="381"/>
      <c r="CL197" s="381">
        <f>_xlfn.IFNA(VLOOKUP(A197,'Actuals Summer'!$A:$AG,32,FALSE),0)*$BN$3</f>
        <v>0</v>
      </c>
      <c r="CM197" s="381">
        <f>_xlfn.IFNA(VLOOKUP(A197,'Actuals Summer'!$A:$AG,33,FALSE),0)</f>
        <v>0</v>
      </c>
      <c r="CP197" s="458">
        <f t="shared" si="77"/>
        <v>0</v>
      </c>
      <c r="CQ197" s="458">
        <f t="shared" si="78"/>
        <v>0</v>
      </c>
      <c r="CR197" s="458">
        <f t="shared" si="90"/>
        <v>0</v>
      </c>
      <c r="CS197" s="458">
        <f t="shared" si="79"/>
        <v>5518.5</v>
      </c>
      <c r="CT197" s="458">
        <f t="shared" si="80"/>
        <v>0</v>
      </c>
      <c r="CU197" s="458">
        <f t="shared" si="81"/>
        <v>118.95</v>
      </c>
      <c r="CV197" s="458">
        <f t="shared" si="82"/>
        <v>169.64999999999998</v>
      </c>
      <c r="CW197" s="458">
        <f t="shared" si="83"/>
        <v>0</v>
      </c>
      <c r="CX197" s="458">
        <f t="shared" si="84"/>
        <v>195</v>
      </c>
      <c r="CY197" s="458">
        <f t="shared" si="85"/>
        <v>74.578947368421041</v>
      </c>
      <c r="CZ197" s="458">
        <f t="shared" si="86"/>
        <v>0</v>
      </c>
      <c r="DA197" s="458">
        <f t="shared" si="87"/>
        <v>4690</v>
      </c>
      <c r="DB197" s="458">
        <f t="shared" si="88"/>
        <v>10766.67894736842</v>
      </c>
      <c r="DC197" s="452">
        <f>_xlfn.XLOOKUP($A197,'Actuals Summer'!$A:$A,'Actuals Summer'!L:L,0,0)</f>
        <v>0</v>
      </c>
      <c r="DD197" s="452">
        <f>_xlfn.XLOOKUP($A197,'Actuals Summer'!$A:$A,'Actuals Summer'!K:K,0,0)+_xlfn.XLOOKUP($A197,'Actuals Summer'!$A:$A,'Actuals Summer'!Q:Q,0,0)</f>
        <v>0</v>
      </c>
      <c r="DE197" s="452">
        <f>_xlfn.XLOOKUP($A197,'Actuals Summer'!$A:$A,'Actuals Summer'!I:I,0,0)+_xlfn.XLOOKUP($A197,'Actuals Summer'!$A:$A,'Actuals Summer'!R:R,0,0)</f>
        <v>0</v>
      </c>
      <c r="DF197" s="452">
        <f>_xlfn.XLOOKUP($A197,'Actuals Summer'!$A:$A,'Actuals Summer'!J:J,0,0)</f>
        <v>0</v>
      </c>
      <c r="DG197" s="452">
        <f>_xlfn.XLOOKUP($A197,'Actuals Dep Summer'!$B:$B,'Actuals Dep Summer'!G:G,0,0)*'Actuals Dep Summer'!$F$2*'Actuals Dep Summer'!$C$2</f>
        <v>0</v>
      </c>
      <c r="DH197" s="452">
        <f>_xlfn.XLOOKUP($A197,'Actuals Dep Summer'!$B:$B,'Actuals Dep Summer'!H:H,0,0)*'Actuals Dep Summer'!$F$2*'Actuals Dep Summer'!$C$3</f>
        <v>0</v>
      </c>
      <c r="DI197" s="452">
        <f>_xlfn.XLOOKUP($A197,'Actuals Dep Summer'!$B:$B,'Actuals Dep Summer'!I:I,0,0)*'Actuals Dep Summer'!$F$2*'Actuals Dep Summer'!$C$4</f>
        <v>0</v>
      </c>
      <c r="DJ197" s="452">
        <f>_xlfn.XLOOKUP($A197,'Actuals Summer'!$A:$A,'Actuals Summer'!P:P,0,0)</f>
        <v>0</v>
      </c>
      <c r="DK197" s="452">
        <f>_xlfn.XLOOKUP($A197,'Actuals Summer'!$A:$A,'Actuals Summer'!O:O,0,0)</f>
        <v>0</v>
      </c>
      <c r="DL197" s="452"/>
      <c r="DM197" s="452">
        <f>_xlfn.XLOOKUP($A197,'Actuals Summer'!$A:$A,'Actuals Summer'!M:M,0,0)</f>
        <v>0</v>
      </c>
      <c r="DN197" s="453">
        <f t="shared" ref="DN197:DN200" si="93">SUM(DC197:DM197)</f>
        <v>0</v>
      </c>
      <c r="DO197" s="453">
        <f>_xlfn.XLOOKUP(A197,'Actuals Summer'!A:A,'Actuals Summer'!S:S,0,0)-'Summer data team '!DN197</f>
        <v>0</v>
      </c>
      <c r="DP197" s="463">
        <f t="shared" si="92"/>
        <v>10766.67894736842</v>
      </c>
    </row>
    <row r="198" spans="1:120" ht="13" x14ac:dyDescent="0.3">
      <c r="A198" s="364">
        <v>7034</v>
      </c>
      <c r="B198" s="364">
        <v>3307034</v>
      </c>
      <c r="C198" s="364" t="s">
        <v>382</v>
      </c>
      <c r="D198" s="506">
        <v>0</v>
      </c>
      <c r="E198" s="506">
        <v>1</v>
      </c>
      <c r="F198" s="506">
        <v>0</v>
      </c>
      <c r="G198" s="506">
        <v>1</v>
      </c>
      <c r="H198" s="506">
        <v>2</v>
      </c>
      <c r="I198" s="507">
        <v>1</v>
      </c>
      <c r="J198" s="507">
        <v>3</v>
      </c>
      <c r="K198" s="506">
        <v>0</v>
      </c>
      <c r="L198" s="506">
        <v>0</v>
      </c>
      <c r="M198" s="507">
        <v>0</v>
      </c>
      <c r="N198" s="506">
        <v>0</v>
      </c>
      <c r="O198" s="506">
        <v>15</v>
      </c>
      <c r="P198" s="506">
        <v>15</v>
      </c>
      <c r="Q198" s="506">
        <v>30</v>
      </c>
      <c r="R198" s="507">
        <v>45</v>
      </c>
      <c r="S198" s="506">
        <v>0</v>
      </c>
      <c r="T198" s="506">
        <v>15</v>
      </c>
      <c r="U198" s="506">
        <v>0</v>
      </c>
      <c r="V198" s="506">
        <v>0</v>
      </c>
      <c r="W198" s="507">
        <v>0</v>
      </c>
      <c r="X198" s="506">
        <v>0</v>
      </c>
      <c r="Y198" s="506">
        <v>0</v>
      </c>
      <c r="Z198" s="508">
        <v>0</v>
      </c>
      <c r="AA198" s="506">
        <v>0</v>
      </c>
      <c r="AB198" s="506">
        <v>0</v>
      </c>
      <c r="AC198" s="508">
        <v>0</v>
      </c>
      <c r="AD198" s="506">
        <v>0</v>
      </c>
      <c r="AE198" s="506">
        <v>0</v>
      </c>
      <c r="AF198" s="508">
        <v>0</v>
      </c>
      <c r="AG198" s="509">
        <v>1</v>
      </c>
      <c r="AH198" s="509">
        <v>15</v>
      </c>
      <c r="AI198" s="508">
        <v>0</v>
      </c>
      <c r="AJ198" s="509">
        <v>2</v>
      </c>
      <c r="AK198" s="509">
        <v>30</v>
      </c>
      <c r="AL198" s="508">
        <v>0</v>
      </c>
      <c r="AM198" s="506">
        <v>3</v>
      </c>
      <c r="AN198" s="506">
        <v>45</v>
      </c>
      <c r="AO198" s="508">
        <v>0</v>
      </c>
      <c r="AP198" s="508"/>
      <c r="AQ198" s="508">
        <f t="shared" ref="AQ198:AQ200" si="94">AM198+AP198</f>
        <v>3</v>
      </c>
      <c r="AR198" s="509">
        <v>1</v>
      </c>
      <c r="AS198" s="509">
        <v>15</v>
      </c>
      <c r="AT198" s="508">
        <v>0</v>
      </c>
      <c r="AU198" s="509">
        <v>2</v>
      </c>
      <c r="AV198" s="509">
        <v>30</v>
      </c>
      <c r="AW198" s="508">
        <v>0</v>
      </c>
      <c r="AX198" s="506">
        <v>3</v>
      </c>
      <c r="AY198" s="506">
        <v>45</v>
      </c>
      <c r="AZ198" s="508">
        <v>0</v>
      </c>
      <c r="BA198" s="508"/>
      <c r="BB198" s="508">
        <f t="shared" ref="BB198:BB200" si="95">AU198+AX198</f>
        <v>5</v>
      </c>
      <c r="BC198" s="509">
        <v>1</v>
      </c>
      <c r="BD198" s="509">
        <v>3</v>
      </c>
      <c r="BE198" s="506">
        <v>4</v>
      </c>
      <c r="BF198" s="200"/>
      <c r="BG198" s="200"/>
      <c r="BH198" s="200"/>
      <c r="BI198" s="200"/>
      <c r="BJ198" s="200"/>
      <c r="BK198" s="200"/>
      <c r="BL198" s="200"/>
      <c r="BM198" s="505">
        <f t="shared" ref="BM198:BM200" si="96">N198*$BN$3</f>
        <v>0</v>
      </c>
      <c r="BN198" s="200">
        <f t="shared" ref="BN198:BN200" si="97">(O198*$BN$3)+BF198</f>
        <v>195</v>
      </c>
      <c r="BO198" s="200">
        <f t="shared" si="89"/>
        <v>0</v>
      </c>
      <c r="BP198" s="200">
        <f t="shared" ref="BP198:BP200" si="98">R198*$BN$3</f>
        <v>585</v>
      </c>
      <c r="BQ198" s="200">
        <f t="shared" ref="BQ198:BQ200" si="99">(W198*$BN$3)+BG198</f>
        <v>0</v>
      </c>
      <c r="BR198" s="200">
        <f t="shared" ref="BR198:BR200" si="100">(Y198+Z198)*$BN$3</f>
        <v>0</v>
      </c>
      <c r="BS198" s="200">
        <f t="shared" ref="BS198:BS200" si="101">(AB198+AC198)*$BN$3</f>
        <v>0</v>
      </c>
      <c r="BT198" s="200">
        <f t="shared" ref="BT198:BT200" si="102">(AE198+AF198)*$BN$3</f>
        <v>0</v>
      </c>
      <c r="BU198" s="200">
        <f t="shared" ref="BU198:BU200" si="103">AN198*$BN$3</f>
        <v>585</v>
      </c>
      <c r="BV198" s="200">
        <v>3</v>
      </c>
      <c r="BW198" s="200">
        <v>0</v>
      </c>
      <c r="BX198" s="200">
        <f t="shared" ref="BX198:BX200" si="104">BE198</f>
        <v>4</v>
      </c>
      <c r="CB198" s="381">
        <f>_xlfn.IFNA(VLOOKUP(A198,'Actuals Summer'!$A:$AG,23,FALSE),0)</f>
        <v>0</v>
      </c>
      <c r="CC198" s="381">
        <f>_xlfn.IFNA(VLOOKUP(A198,'Actuals Summer'!$A:$AG,24,FALSE),0)</f>
        <v>0</v>
      </c>
      <c r="CD198" s="381">
        <f>_xlfn.IFNA(VLOOKUP(A198,'Actuals Summer'!$A:$AG,25,FALSE),0)</f>
        <v>0</v>
      </c>
      <c r="CE198" s="381">
        <f>_xlfn.IFNA(VLOOKUP(A198,'Actuals Summer'!$A:$AG,26,FALSE),0)</f>
        <v>0</v>
      </c>
      <c r="CF198" s="381">
        <f>_xlfn.IFNA(VLOOKUP(A198,'Actuals Summer'!$A:$AG,27,FALSE),0)</f>
        <v>0</v>
      </c>
      <c r="CG198" s="381">
        <f>_xlfn.IFNA(VLOOKUP(A198,'Actuals Dep Summer'!B:O,6,FALSE)*$BN$3,0)</f>
        <v>0</v>
      </c>
      <c r="CH198" s="381">
        <f>_xlfn.IFNA(VLOOKUP(A198,'Actuals Dep Summer'!B:O,7,FALSE)*$BN$3,0)</f>
        <v>0</v>
      </c>
      <c r="CI198" s="381">
        <f>_xlfn.IFNA(VLOOKUP(A198,'Actuals Dep Summer'!B:O,8,FALSE)*$BN$3,0)</f>
        <v>0</v>
      </c>
      <c r="CJ198" s="381">
        <f>_xlfn.IFNA(VLOOKUP(A198,'Actuals Summer'!$A:$AG,31,FALSE),0)*$BN$3</f>
        <v>0</v>
      </c>
      <c r="CK198" s="381"/>
      <c r="CL198" s="381">
        <f>_xlfn.IFNA(VLOOKUP(A198,'Actuals Summer'!$A:$AG,32,FALSE),0)*$BN$3</f>
        <v>0</v>
      </c>
      <c r="CM198" s="381">
        <f>_xlfn.IFNA(VLOOKUP(A198,'Actuals Summer'!$A:$AG,33,FALSE),0)</f>
        <v>0</v>
      </c>
      <c r="CP198" s="458">
        <f t="shared" ref="CP198:CP200" si="105">BM198*$BM$2</f>
        <v>0</v>
      </c>
      <c r="CQ198" s="458">
        <f t="shared" ref="CQ198:CQ200" si="106">BN198*$BN$2</f>
        <v>1659.45</v>
      </c>
      <c r="CR198" s="458">
        <f t="shared" si="90"/>
        <v>0</v>
      </c>
      <c r="CS198" s="458">
        <f t="shared" ref="CS198:CS200" si="107">BP198*$BP$2</f>
        <v>3311.1</v>
      </c>
      <c r="CT198" s="458">
        <f t="shared" ref="CT198:CT200" si="108">BQ198*$BQ$2</f>
        <v>0</v>
      </c>
      <c r="CU198" s="458">
        <f t="shared" ref="CU198:CU200" si="109">BR198*$BR$2</f>
        <v>0</v>
      </c>
      <c r="CV198" s="458">
        <f t="shared" ref="CV198:CV200" si="110">BS198*$BS$2</f>
        <v>0</v>
      </c>
      <c r="CW198" s="458">
        <f t="shared" ref="CW198:CW200" si="111">BT198*$BT$2</f>
        <v>0</v>
      </c>
      <c r="CX198" s="458">
        <f t="shared" ref="CX198:CX200" si="112">BU198*$BU$2</f>
        <v>585</v>
      </c>
      <c r="CY198" s="458">
        <f t="shared" ref="CY198:CY200" si="113">BV198*$BV$2*$BN$3</f>
        <v>223.73684210526315</v>
      </c>
      <c r="CZ198" s="458">
        <f t="shared" ref="CZ198:CZ200" si="114">BW198*$BW$2*$BN$3</f>
        <v>0</v>
      </c>
      <c r="DA198" s="458">
        <f t="shared" ref="DA198:DA200" si="115">BX198*$BX$2</f>
        <v>3752</v>
      </c>
      <c r="DB198" s="458">
        <f t="shared" ref="DB198:DB200" si="116">SUM(CP198:DA198)</f>
        <v>9531.2868421052626</v>
      </c>
      <c r="DC198" s="452">
        <f>_xlfn.XLOOKUP($A198,'Actuals Summer'!$A:$A,'Actuals Summer'!L:L,0,0)</f>
        <v>0</v>
      </c>
      <c r="DD198" s="452">
        <f>_xlfn.XLOOKUP($A198,'Actuals Summer'!$A:$A,'Actuals Summer'!K:K,0,0)+_xlfn.XLOOKUP($A198,'Actuals Summer'!$A:$A,'Actuals Summer'!Q:Q,0,0)</f>
        <v>0</v>
      </c>
      <c r="DE198" s="452">
        <f>_xlfn.XLOOKUP($A198,'Actuals Summer'!$A:$A,'Actuals Summer'!I:I,0,0)+_xlfn.XLOOKUP($A198,'Actuals Summer'!$A:$A,'Actuals Summer'!R:R,0,0)</f>
        <v>0</v>
      </c>
      <c r="DF198" s="452">
        <f>_xlfn.XLOOKUP($A198,'Actuals Summer'!$A:$A,'Actuals Summer'!J:J,0,0)</f>
        <v>0</v>
      </c>
      <c r="DG198" s="452">
        <f>_xlfn.XLOOKUP($A198,'Actuals Dep Summer'!$B:$B,'Actuals Dep Summer'!G:G,0,0)*'Actuals Dep Summer'!$F$2*'Actuals Dep Summer'!$C$2</f>
        <v>0</v>
      </c>
      <c r="DH198" s="452">
        <f>_xlfn.XLOOKUP($A198,'Actuals Dep Summer'!$B:$B,'Actuals Dep Summer'!H:H,0,0)*'Actuals Dep Summer'!$F$2*'Actuals Dep Summer'!$C$3</f>
        <v>0</v>
      </c>
      <c r="DI198" s="452">
        <f>_xlfn.XLOOKUP($A198,'Actuals Dep Summer'!$B:$B,'Actuals Dep Summer'!I:I,0,0)*'Actuals Dep Summer'!$F$2*'Actuals Dep Summer'!$C$4</f>
        <v>0</v>
      </c>
      <c r="DJ198" s="452">
        <f>_xlfn.XLOOKUP($A198,'Actuals Summer'!$A:$A,'Actuals Summer'!P:P,0,0)</f>
        <v>0</v>
      </c>
      <c r="DK198" s="452">
        <f>_xlfn.XLOOKUP($A198,'Actuals Summer'!$A:$A,'Actuals Summer'!O:O,0,0)</f>
        <v>0</v>
      </c>
      <c r="DL198" s="452"/>
      <c r="DM198" s="452">
        <f>_xlfn.XLOOKUP($A198,'Actuals Summer'!$A:$A,'Actuals Summer'!M:M,0,0)</f>
        <v>0</v>
      </c>
      <c r="DN198" s="453">
        <f t="shared" si="93"/>
        <v>0</v>
      </c>
      <c r="DO198" s="453">
        <f>_xlfn.XLOOKUP(A198,'Actuals Summer'!A:A,'Actuals Summer'!S:S,0,0)-'Summer data team '!DN198</f>
        <v>0</v>
      </c>
      <c r="DP198" s="463">
        <f t="shared" si="92"/>
        <v>9531.2868421052626</v>
      </c>
    </row>
    <row r="199" spans="1:120" ht="13" x14ac:dyDescent="0.3">
      <c r="A199" s="364">
        <v>7038</v>
      </c>
      <c r="B199" s="364">
        <v>3307038</v>
      </c>
      <c r="C199" s="364" t="s">
        <v>421</v>
      </c>
      <c r="D199" s="506">
        <v>0</v>
      </c>
      <c r="E199" s="506">
        <v>0</v>
      </c>
      <c r="F199" s="506">
        <v>0</v>
      </c>
      <c r="G199" s="506">
        <v>1</v>
      </c>
      <c r="H199" s="506">
        <v>0</v>
      </c>
      <c r="I199" s="507">
        <v>0</v>
      </c>
      <c r="J199" s="507">
        <v>1</v>
      </c>
      <c r="K199" s="506">
        <v>0</v>
      </c>
      <c r="L199" s="506">
        <v>0</v>
      </c>
      <c r="M199" s="507">
        <v>0</v>
      </c>
      <c r="N199" s="506">
        <v>0</v>
      </c>
      <c r="O199" s="506">
        <v>0</v>
      </c>
      <c r="P199" s="506">
        <v>15</v>
      </c>
      <c r="Q199" s="506">
        <v>0</v>
      </c>
      <c r="R199" s="507">
        <v>15</v>
      </c>
      <c r="S199" s="506">
        <v>0</v>
      </c>
      <c r="T199" s="506">
        <v>0</v>
      </c>
      <c r="U199" s="506">
        <v>0</v>
      </c>
      <c r="V199" s="506">
        <v>0</v>
      </c>
      <c r="W199" s="507">
        <v>0</v>
      </c>
      <c r="X199" s="506">
        <v>0</v>
      </c>
      <c r="Y199" s="506">
        <v>0</v>
      </c>
      <c r="Z199" s="508">
        <v>0</v>
      </c>
      <c r="AA199" s="506">
        <v>0</v>
      </c>
      <c r="AB199" s="506">
        <v>0</v>
      </c>
      <c r="AC199" s="508">
        <v>0</v>
      </c>
      <c r="AD199" s="506">
        <v>0</v>
      </c>
      <c r="AE199" s="506">
        <v>0</v>
      </c>
      <c r="AF199" s="508">
        <v>0</v>
      </c>
      <c r="AG199" s="509">
        <v>0</v>
      </c>
      <c r="AH199" s="509">
        <v>0</v>
      </c>
      <c r="AI199" s="508">
        <v>0</v>
      </c>
      <c r="AJ199" s="509">
        <v>0</v>
      </c>
      <c r="AK199" s="509">
        <v>0</v>
      </c>
      <c r="AL199" s="508">
        <v>0</v>
      </c>
      <c r="AM199" s="506">
        <v>0</v>
      </c>
      <c r="AN199" s="506">
        <v>0</v>
      </c>
      <c r="AO199" s="508">
        <v>0</v>
      </c>
      <c r="AP199" s="508"/>
      <c r="AQ199" s="508">
        <f t="shared" si="94"/>
        <v>0</v>
      </c>
      <c r="AR199" s="509">
        <v>0</v>
      </c>
      <c r="AS199" s="509">
        <v>0</v>
      </c>
      <c r="AT199" s="508">
        <v>0</v>
      </c>
      <c r="AU199" s="509">
        <v>0</v>
      </c>
      <c r="AV199" s="509">
        <v>0</v>
      </c>
      <c r="AW199" s="508">
        <v>0</v>
      </c>
      <c r="AX199" s="506">
        <v>0</v>
      </c>
      <c r="AY199" s="506">
        <v>0</v>
      </c>
      <c r="AZ199" s="508">
        <v>0</v>
      </c>
      <c r="BA199" s="508"/>
      <c r="BB199" s="508">
        <f t="shared" si="95"/>
        <v>0</v>
      </c>
      <c r="BC199" s="509">
        <v>0</v>
      </c>
      <c r="BD199" s="509">
        <v>0</v>
      </c>
      <c r="BE199" s="506">
        <v>0</v>
      </c>
      <c r="BF199" s="200"/>
      <c r="BG199" s="200"/>
      <c r="BH199" s="200"/>
      <c r="BI199" s="200"/>
      <c r="BJ199" s="200"/>
      <c r="BK199" s="200"/>
      <c r="BL199" s="200"/>
      <c r="BM199" s="505">
        <f t="shared" si="96"/>
        <v>0</v>
      </c>
      <c r="BN199" s="200">
        <f t="shared" si="97"/>
        <v>0</v>
      </c>
      <c r="BO199" s="200">
        <f t="shared" si="89"/>
        <v>0</v>
      </c>
      <c r="BP199" s="200">
        <f t="shared" si="98"/>
        <v>195</v>
      </c>
      <c r="BQ199" s="200">
        <f t="shared" si="99"/>
        <v>0</v>
      </c>
      <c r="BR199" s="200">
        <f t="shared" si="100"/>
        <v>0</v>
      </c>
      <c r="BS199" s="200">
        <f t="shared" si="101"/>
        <v>0</v>
      </c>
      <c r="BT199" s="200">
        <f t="shared" si="102"/>
        <v>0</v>
      </c>
      <c r="BU199" s="200">
        <f t="shared" si="103"/>
        <v>0</v>
      </c>
      <c r="BV199" s="200">
        <v>0</v>
      </c>
      <c r="BW199" s="200">
        <v>0</v>
      </c>
      <c r="BX199" s="200">
        <f t="shared" si="104"/>
        <v>0</v>
      </c>
      <c r="CB199" s="381">
        <f>_xlfn.IFNA(VLOOKUP(A199,'Actuals Summer'!$A:$AG,23,FALSE),0)</f>
        <v>0</v>
      </c>
      <c r="CC199" s="381">
        <f>_xlfn.IFNA(VLOOKUP(A199,'Actuals Summer'!$A:$AG,24,FALSE),0)</f>
        <v>0</v>
      </c>
      <c r="CD199" s="381">
        <f>_xlfn.IFNA(VLOOKUP(A199,'Actuals Summer'!$A:$AG,25,FALSE),0)</f>
        <v>0</v>
      </c>
      <c r="CE199" s="381">
        <f>_xlfn.IFNA(VLOOKUP(A199,'Actuals Summer'!$A:$AG,26,FALSE),0)</f>
        <v>0</v>
      </c>
      <c r="CF199" s="381">
        <f>_xlfn.IFNA(VLOOKUP(A199,'Actuals Summer'!$A:$AG,27,FALSE),0)</f>
        <v>0</v>
      </c>
      <c r="CG199" s="381">
        <f>_xlfn.IFNA(VLOOKUP(A199,'Actuals Dep Summer'!B:O,6,FALSE)*$BN$3,0)</f>
        <v>0</v>
      </c>
      <c r="CH199" s="381">
        <f>_xlfn.IFNA(VLOOKUP(A199,'Actuals Dep Summer'!B:O,7,FALSE)*$BN$3,0)</f>
        <v>0</v>
      </c>
      <c r="CI199" s="381">
        <f>_xlfn.IFNA(VLOOKUP(A199,'Actuals Dep Summer'!B:O,8,FALSE)*$BN$3,0)</f>
        <v>0</v>
      </c>
      <c r="CJ199" s="381">
        <f>_xlfn.IFNA(VLOOKUP(A199,'Actuals Summer'!$A:$AG,31,FALSE),0)*$BN$3</f>
        <v>0</v>
      </c>
      <c r="CK199" s="381"/>
      <c r="CL199" s="381">
        <f>_xlfn.IFNA(VLOOKUP(A199,'Actuals Summer'!$A:$AG,32,FALSE),0)*$BN$3</f>
        <v>0</v>
      </c>
      <c r="CM199" s="381">
        <f>_xlfn.IFNA(VLOOKUP(A199,'Actuals Summer'!$A:$AG,33,FALSE),0)</f>
        <v>0</v>
      </c>
      <c r="CP199" s="458">
        <f t="shared" si="105"/>
        <v>0</v>
      </c>
      <c r="CQ199" s="458">
        <f t="shared" si="106"/>
        <v>0</v>
      </c>
      <c r="CR199" s="458">
        <f t="shared" si="90"/>
        <v>0</v>
      </c>
      <c r="CS199" s="458">
        <f t="shared" si="107"/>
        <v>1103.7</v>
      </c>
      <c r="CT199" s="458">
        <f t="shared" si="108"/>
        <v>0</v>
      </c>
      <c r="CU199" s="458">
        <f t="shared" si="109"/>
        <v>0</v>
      </c>
      <c r="CV199" s="458">
        <f t="shared" si="110"/>
        <v>0</v>
      </c>
      <c r="CW199" s="458">
        <f t="shared" si="111"/>
        <v>0</v>
      </c>
      <c r="CX199" s="458">
        <f t="shared" si="112"/>
        <v>0</v>
      </c>
      <c r="CY199" s="458">
        <f t="shared" si="113"/>
        <v>0</v>
      </c>
      <c r="CZ199" s="458">
        <f t="shared" si="114"/>
        <v>0</v>
      </c>
      <c r="DA199" s="458">
        <f t="shared" si="115"/>
        <v>0</v>
      </c>
      <c r="DB199" s="458">
        <f t="shared" si="116"/>
        <v>1103.7</v>
      </c>
      <c r="DC199" s="452">
        <f>_xlfn.XLOOKUP($A199,'Actuals Summer'!$A:$A,'Actuals Summer'!L:L,0,0)</f>
        <v>0</v>
      </c>
      <c r="DD199" s="452">
        <f>_xlfn.XLOOKUP($A199,'Actuals Summer'!$A:$A,'Actuals Summer'!K:K,0,0)+_xlfn.XLOOKUP($A199,'Actuals Summer'!$A:$A,'Actuals Summer'!Q:Q,0,0)</f>
        <v>0</v>
      </c>
      <c r="DE199" s="452">
        <f>_xlfn.XLOOKUP($A199,'Actuals Summer'!$A:$A,'Actuals Summer'!I:I,0,0)+_xlfn.XLOOKUP($A199,'Actuals Summer'!$A:$A,'Actuals Summer'!R:R,0,0)</f>
        <v>0</v>
      </c>
      <c r="DF199" s="452">
        <f>_xlfn.XLOOKUP($A199,'Actuals Summer'!$A:$A,'Actuals Summer'!J:J,0,0)</f>
        <v>0</v>
      </c>
      <c r="DG199" s="452">
        <f>_xlfn.XLOOKUP($A199,'Actuals Dep Summer'!$B:$B,'Actuals Dep Summer'!G:G,0,0)*'Actuals Dep Summer'!$F$2*'Actuals Dep Summer'!$C$2</f>
        <v>0</v>
      </c>
      <c r="DH199" s="452">
        <f>_xlfn.XLOOKUP($A199,'Actuals Dep Summer'!$B:$B,'Actuals Dep Summer'!H:H,0,0)*'Actuals Dep Summer'!$F$2*'Actuals Dep Summer'!$C$3</f>
        <v>0</v>
      </c>
      <c r="DI199" s="452">
        <f>_xlfn.XLOOKUP($A199,'Actuals Dep Summer'!$B:$B,'Actuals Dep Summer'!I:I,0,0)*'Actuals Dep Summer'!$F$2*'Actuals Dep Summer'!$C$4</f>
        <v>0</v>
      </c>
      <c r="DJ199" s="452">
        <f>_xlfn.XLOOKUP($A199,'Actuals Summer'!$A:$A,'Actuals Summer'!P:P,0,0)</f>
        <v>0</v>
      </c>
      <c r="DK199" s="452">
        <f>_xlfn.XLOOKUP($A199,'Actuals Summer'!$A:$A,'Actuals Summer'!O:O,0,0)</f>
        <v>0</v>
      </c>
      <c r="DL199" s="452"/>
      <c r="DM199" s="452">
        <f>_xlfn.XLOOKUP($A199,'Actuals Summer'!$A:$A,'Actuals Summer'!M:M,0,0)</f>
        <v>0</v>
      </c>
      <c r="DN199" s="453">
        <f t="shared" si="93"/>
        <v>0</v>
      </c>
      <c r="DO199" s="453">
        <f>_xlfn.XLOOKUP(A199,'Actuals Summer'!A:A,'Actuals Summer'!S:S,0,0)-'Summer data team '!DN199</f>
        <v>0</v>
      </c>
      <c r="DP199" s="463">
        <f t="shared" si="92"/>
        <v>1103.7</v>
      </c>
    </row>
    <row r="200" spans="1:120" ht="13" x14ac:dyDescent="0.3">
      <c r="A200" s="364">
        <v>7052</v>
      </c>
      <c r="B200" s="364">
        <v>3307052</v>
      </c>
      <c r="C200" s="364" t="s">
        <v>423</v>
      </c>
      <c r="D200" s="506">
        <v>0</v>
      </c>
      <c r="E200" s="506">
        <v>0</v>
      </c>
      <c r="F200" s="506">
        <v>0</v>
      </c>
      <c r="G200" s="506">
        <v>0</v>
      </c>
      <c r="H200" s="506">
        <v>1</v>
      </c>
      <c r="I200" s="507">
        <v>0</v>
      </c>
      <c r="J200" s="507">
        <v>1</v>
      </c>
      <c r="K200" s="506">
        <v>0</v>
      </c>
      <c r="L200" s="506">
        <v>0</v>
      </c>
      <c r="M200" s="507">
        <v>0</v>
      </c>
      <c r="N200" s="506">
        <v>0</v>
      </c>
      <c r="O200" s="506">
        <v>0</v>
      </c>
      <c r="P200" s="506">
        <v>0</v>
      </c>
      <c r="Q200" s="506">
        <v>15</v>
      </c>
      <c r="R200" s="507">
        <v>15</v>
      </c>
      <c r="S200" s="506">
        <v>0</v>
      </c>
      <c r="T200" s="506">
        <v>0</v>
      </c>
      <c r="U200" s="506">
        <v>0</v>
      </c>
      <c r="V200" s="506">
        <v>0</v>
      </c>
      <c r="W200" s="507">
        <v>0</v>
      </c>
      <c r="X200" s="506">
        <v>1</v>
      </c>
      <c r="Y200" s="506">
        <v>15</v>
      </c>
      <c r="Z200" s="508">
        <v>0</v>
      </c>
      <c r="AA200" s="506">
        <v>0</v>
      </c>
      <c r="AB200" s="506">
        <v>0</v>
      </c>
      <c r="AC200" s="508">
        <v>0</v>
      </c>
      <c r="AD200" s="506">
        <v>0</v>
      </c>
      <c r="AE200" s="506">
        <v>0</v>
      </c>
      <c r="AF200" s="508">
        <v>0</v>
      </c>
      <c r="AG200" s="509">
        <v>0</v>
      </c>
      <c r="AH200" s="509">
        <v>0</v>
      </c>
      <c r="AI200" s="508">
        <v>0</v>
      </c>
      <c r="AJ200" s="509">
        <v>0</v>
      </c>
      <c r="AK200" s="509">
        <v>0</v>
      </c>
      <c r="AL200" s="508">
        <v>0</v>
      </c>
      <c r="AM200" s="506">
        <v>0</v>
      </c>
      <c r="AN200" s="506">
        <v>0</v>
      </c>
      <c r="AO200" s="508">
        <v>0</v>
      </c>
      <c r="AP200" s="508"/>
      <c r="AQ200" s="508">
        <f t="shared" si="94"/>
        <v>0</v>
      </c>
      <c r="AR200" s="509">
        <v>0</v>
      </c>
      <c r="AS200" s="509">
        <v>0</v>
      </c>
      <c r="AT200" s="508">
        <v>0</v>
      </c>
      <c r="AU200" s="509">
        <v>0</v>
      </c>
      <c r="AV200" s="509">
        <v>0</v>
      </c>
      <c r="AW200" s="508">
        <v>0</v>
      </c>
      <c r="AX200" s="506">
        <v>0</v>
      </c>
      <c r="AY200" s="506">
        <v>0</v>
      </c>
      <c r="AZ200" s="508">
        <v>0</v>
      </c>
      <c r="BA200" s="508"/>
      <c r="BB200" s="508">
        <f t="shared" si="95"/>
        <v>0</v>
      </c>
      <c r="BC200" s="509">
        <v>0</v>
      </c>
      <c r="BD200" s="509">
        <v>0</v>
      </c>
      <c r="BE200" s="506">
        <v>0</v>
      </c>
      <c r="BF200" s="200"/>
      <c r="BG200" s="200"/>
      <c r="BH200" s="200"/>
      <c r="BI200" s="200"/>
      <c r="BJ200" s="200"/>
      <c r="BK200" s="200"/>
      <c r="BL200" s="200"/>
      <c r="BM200" s="505">
        <f t="shared" si="96"/>
        <v>0</v>
      </c>
      <c r="BN200" s="200">
        <f t="shared" si="97"/>
        <v>0</v>
      </c>
      <c r="BO200" s="200">
        <f t="shared" si="89"/>
        <v>0</v>
      </c>
      <c r="BP200" s="200">
        <f t="shared" si="98"/>
        <v>195</v>
      </c>
      <c r="BQ200" s="200">
        <f t="shared" si="99"/>
        <v>0</v>
      </c>
      <c r="BR200" s="200">
        <f t="shared" si="100"/>
        <v>195</v>
      </c>
      <c r="BS200" s="200">
        <f t="shared" si="101"/>
        <v>0</v>
      </c>
      <c r="BT200" s="200">
        <f t="shared" si="102"/>
        <v>0</v>
      </c>
      <c r="BU200" s="200">
        <f t="shared" si="103"/>
        <v>0</v>
      </c>
      <c r="BV200" s="200">
        <v>0</v>
      </c>
      <c r="BW200" s="200">
        <v>0</v>
      </c>
      <c r="BX200" s="200">
        <f t="shared" si="104"/>
        <v>0</v>
      </c>
      <c r="CB200" s="381">
        <f>_xlfn.IFNA(VLOOKUP(A200,'Actuals Summer'!$A:$AG,23,FALSE),0)</f>
        <v>0</v>
      </c>
      <c r="CC200" s="381">
        <f>_xlfn.IFNA(VLOOKUP(A200,'Actuals Summer'!$A:$AG,24,FALSE),0)</f>
        <v>0</v>
      </c>
      <c r="CD200" s="381">
        <f>_xlfn.IFNA(VLOOKUP(A200,'Actuals Summer'!$A:$AG,25,FALSE),0)</f>
        <v>0</v>
      </c>
      <c r="CE200" s="381">
        <f>_xlfn.IFNA(VLOOKUP(A200,'Actuals Summer'!$A:$AG,26,FALSE),0)</f>
        <v>0</v>
      </c>
      <c r="CF200" s="381">
        <f>_xlfn.IFNA(VLOOKUP(A200,'Actuals Summer'!$A:$AG,27,FALSE),0)</f>
        <v>0</v>
      </c>
      <c r="CG200" s="381">
        <f>_xlfn.IFNA(VLOOKUP(A200,'Actuals Dep Summer'!B:O,6,FALSE)*$BN$3,0)</f>
        <v>0</v>
      </c>
      <c r="CH200" s="381">
        <f>_xlfn.IFNA(VLOOKUP(A200,'Actuals Dep Summer'!B:O,7,FALSE)*$BN$3,0)</f>
        <v>0</v>
      </c>
      <c r="CI200" s="381">
        <f>_xlfn.IFNA(VLOOKUP(A200,'Actuals Dep Summer'!B:O,8,FALSE)*$BN$3,0)</f>
        <v>0</v>
      </c>
      <c r="CJ200" s="381">
        <f>_xlfn.IFNA(VLOOKUP(A200,'Actuals Summer'!$A:$AG,31,FALSE),0)*$BN$3</f>
        <v>0</v>
      </c>
      <c r="CK200" s="381"/>
      <c r="CL200" s="381">
        <f>_xlfn.IFNA(VLOOKUP(A200,'Actuals Summer'!$A:$AG,32,FALSE),0)*$BN$3</f>
        <v>0</v>
      </c>
      <c r="CM200" s="381">
        <f>_xlfn.IFNA(VLOOKUP(A200,'Actuals Summer'!$A:$AG,33,FALSE),0)</f>
        <v>0</v>
      </c>
      <c r="CP200" s="458">
        <f t="shared" si="105"/>
        <v>0</v>
      </c>
      <c r="CQ200" s="458">
        <f t="shared" si="106"/>
        <v>0</v>
      </c>
      <c r="CR200" s="458">
        <f t="shared" si="90"/>
        <v>0</v>
      </c>
      <c r="CS200" s="458">
        <f t="shared" si="107"/>
        <v>1103.7</v>
      </c>
      <c r="CT200" s="458">
        <f t="shared" si="108"/>
        <v>0</v>
      </c>
      <c r="CU200" s="458">
        <f t="shared" si="109"/>
        <v>118.95</v>
      </c>
      <c r="CV200" s="458">
        <f t="shared" si="110"/>
        <v>0</v>
      </c>
      <c r="CW200" s="458">
        <f t="shared" si="111"/>
        <v>0</v>
      </c>
      <c r="CX200" s="458">
        <f t="shared" si="112"/>
        <v>0</v>
      </c>
      <c r="CY200" s="458">
        <f t="shared" si="113"/>
        <v>0</v>
      </c>
      <c r="CZ200" s="458">
        <f t="shared" si="114"/>
        <v>0</v>
      </c>
      <c r="DA200" s="458">
        <f t="shared" si="115"/>
        <v>0</v>
      </c>
      <c r="DB200" s="458">
        <f t="shared" si="116"/>
        <v>1222.6500000000001</v>
      </c>
      <c r="DC200" s="452">
        <f>_xlfn.XLOOKUP($A200,'Actuals Summer'!$A:$A,'Actuals Summer'!L:L,0,0)</f>
        <v>0</v>
      </c>
      <c r="DD200" s="452">
        <f>_xlfn.XLOOKUP($A200,'Actuals Summer'!$A:$A,'Actuals Summer'!K:K,0,0)+_xlfn.XLOOKUP($A200,'Actuals Summer'!$A:$A,'Actuals Summer'!Q:Q,0,0)</f>
        <v>0</v>
      </c>
      <c r="DE200" s="452">
        <f>_xlfn.XLOOKUP($A200,'Actuals Summer'!$A:$A,'Actuals Summer'!I:I,0,0)+_xlfn.XLOOKUP($A200,'Actuals Summer'!$A:$A,'Actuals Summer'!R:R,0,0)</f>
        <v>0</v>
      </c>
      <c r="DF200" s="452">
        <f>_xlfn.XLOOKUP($A200,'Actuals Summer'!$A:$A,'Actuals Summer'!J:J,0,0)</f>
        <v>0</v>
      </c>
      <c r="DG200" s="452">
        <f>_xlfn.XLOOKUP($A200,'Actuals Dep Summer'!$B:$B,'Actuals Dep Summer'!G:G,0,0)*'Actuals Dep Summer'!$F$2*'Actuals Dep Summer'!$C$2</f>
        <v>0</v>
      </c>
      <c r="DH200" s="452">
        <f>_xlfn.XLOOKUP($A200,'Actuals Dep Summer'!$B:$B,'Actuals Dep Summer'!H:H,0,0)*'Actuals Dep Summer'!$F$2*'Actuals Dep Summer'!$C$3</f>
        <v>0</v>
      </c>
      <c r="DI200" s="452">
        <f>_xlfn.XLOOKUP($A200,'Actuals Dep Summer'!$B:$B,'Actuals Dep Summer'!I:I,0,0)*'Actuals Dep Summer'!$F$2*'Actuals Dep Summer'!$C$4</f>
        <v>0</v>
      </c>
      <c r="DJ200" s="452">
        <f>_xlfn.XLOOKUP($A200,'Actuals Summer'!$A:$A,'Actuals Summer'!P:P,0,0)</f>
        <v>0</v>
      </c>
      <c r="DK200" s="452">
        <f>_xlfn.XLOOKUP($A200,'Actuals Summer'!$A:$A,'Actuals Summer'!O:O,0,0)</f>
        <v>0</v>
      </c>
      <c r="DL200" s="452"/>
      <c r="DM200" s="452">
        <f>_xlfn.XLOOKUP($A200,'Actuals Summer'!$A:$A,'Actuals Summer'!M:M,0,0)</f>
        <v>0</v>
      </c>
      <c r="DN200" s="453">
        <f t="shared" si="93"/>
        <v>0</v>
      </c>
      <c r="DO200" s="453">
        <f>_xlfn.XLOOKUP(A200,'Actuals Summer'!A:A,'Actuals Summer'!S:S,0,0)-'Summer data team '!DN200</f>
        <v>0</v>
      </c>
      <c r="DP200" s="463">
        <f t="shared" si="92"/>
        <v>1222.6500000000001</v>
      </c>
    </row>
    <row r="201" spans="1:120" ht="13.5" thickBot="1" x14ac:dyDescent="0.35">
      <c r="D201" s="506"/>
      <c r="E201" s="506"/>
      <c r="F201" s="506"/>
      <c r="G201" s="506"/>
      <c r="H201" s="506"/>
      <c r="I201" s="507"/>
      <c r="J201" s="507"/>
      <c r="K201" s="506"/>
      <c r="L201" s="506"/>
      <c r="M201" s="507"/>
      <c r="N201" s="506"/>
      <c r="O201" s="506"/>
      <c r="P201" s="506"/>
      <c r="Q201" s="506"/>
      <c r="R201" s="507"/>
      <c r="S201" s="506"/>
      <c r="T201" s="506"/>
      <c r="U201" s="506"/>
      <c r="V201" s="506"/>
      <c r="W201" s="507"/>
      <c r="X201" s="506"/>
      <c r="Y201" s="506"/>
      <c r="Z201" s="508"/>
      <c r="AA201" s="506"/>
      <c r="AB201" s="506"/>
      <c r="AC201" s="508"/>
      <c r="AD201" s="506"/>
      <c r="AE201" s="506"/>
      <c r="AF201" s="508"/>
      <c r="AG201" s="509"/>
      <c r="AH201" s="509"/>
      <c r="AI201" s="508"/>
      <c r="AJ201" s="509"/>
      <c r="AK201" s="509"/>
      <c r="AL201" s="508"/>
      <c r="AM201" s="506"/>
      <c r="AN201" s="506"/>
      <c r="AO201" s="508"/>
      <c r="AP201" s="508"/>
      <c r="AQ201" s="508"/>
      <c r="AR201" s="509"/>
      <c r="AS201" s="509"/>
      <c r="AT201" s="508"/>
      <c r="AU201" s="509"/>
      <c r="AV201" s="509"/>
      <c r="AW201" s="508"/>
      <c r="AX201" s="506"/>
      <c r="AY201" s="506"/>
      <c r="AZ201" s="508"/>
      <c r="BA201" s="508"/>
      <c r="BB201" s="508"/>
      <c r="BC201" s="509"/>
      <c r="BD201" s="509"/>
      <c r="BE201" s="506"/>
      <c r="BF201" s="200"/>
      <c r="BG201" s="200"/>
      <c r="BH201" s="200"/>
      <c r="BI201" s="200"/>
      <c r="BJ201" s="200"/>
      <c r="BK201" s="200"/>
      <c r="BL201" s="200"/>
      <c r="CP201" s="459">
        <f>SUM(CP5:CP200)</f>
        <v>6973.2000000000007</v>
      </c>
      <c r="CQ201" s="459">
        <f t="shared" ref="CQ201:DB201" si="117">SUM(CQ5:CQ200)</f>
        <v>1025381.8139999998</v>
      </c>
      <c r="CR201" s="459">
        <f t="shared" si="117"/>
        <v>323592.75000000006</v>
      </c>
      <c r="CS201" s="459">
        <f t="shared" si="117"/>
        <v>9070000.5759999976</v>
      </c>
      <c r="CT201" s="459">
        <f t="shared" si="117"/>
        <v>1588420.7020000003</v>
      </c>
      <c r="CU201" s="459">
        <f t="shared" si="117"/>
        <v>271705.5900000002</v>
      </c>
      <c r="CV201" s="459">
        <f t="shared" si="117"/>
        <v>116214.77400000008</v>
      </c>
      <c r="CW201" s="459">
        <f t="shared" si="117"/>
        <v>40777.360000000001</v>
      </c>
      <c r="CX201" s="459">
        <f t="shared" si="117"/>
        <v>696306</v>
      </c>
      <c r="CY201" s="459">
        <f t="shared" si="117"/>
        <v>169965.42105263172</v>
      </c>
      <c r="CZ201" s="459">
        <f t="shared" si="117"/>
        <v>36916.578947368456</v>
      </c>
      <c r="DA201" s="459">
        <f t="shared" si="117"/>
        <v>163212</v>
      </c>
      <c r="DB201" s="459">
        <f t="shared" si="117"/>
        <v>13509466.765999999</v>
      </c>
      <c r="DC201" s="454">
        <f t="shared" ref="DC201" si="118">SUM(DC5:DC200)</f>
        <v>6973.2000000000007</v>
      </c>
      <c r="DD201" s="454">
        <f t="shared" ref="DD201" si="119">SUM(DD5:DD200)</f>
        <v>1345500.9</v>
      </c>
      <c r="DE201" s="454">
        <f t="shared" ref="DE201" si="120">SUM(DE5:DE200)</f>
        <v>9050690.9199999999</v>
      </c>
      <c r="DF201" s="454">
        <f t="shared" ref="DF201" si="121">SUM(DF5:DF200)</f>
        <v>1580137.858</v>
      </c>
      <c r="DG201" s="454">
        <f t="shared" ref="DG201" si="122">SUM(DG5:DG200)</f>
        <v>241769.84000000003</v>
      </c>
      <c r="DH201" s="454">
        <f t="shared" ref="DH201" si="123">SUM(DH5:DH200)</f>
        <v>103251.62900000013</v>
      </c>
      <c r="DI201" s="454">
        <f t="shared" ref="DI201" si="124">SUM(DI5:DI200)</f>
        <v>36722.400000000009</v>
      </c>
      <c r="DJ201" s="454">
        <f t="shared" ref="DJ201" si="125">SUM(DJ5:DJ200)</f>
        <v>691860</v>
      </c>
      <c r="DK201" s="454">
        <f t="shared" ref="DK201" si="126">SUM(DK5:DK200)</f>
        <v>183016.73684210522</v>
      </c>
      <c r="DL201" s="454">
        <f t="shared" ref="DL201" si="127">SUM(DL5:DL200)</f>
        <v>0</v>
      </c>
      <c r="DM201" s="454">
        <f t="shared" ref="DM201" si="128">SUM(DM5:DM200)</f>
        <v>50700.619999999988</v>
      </c>
      <c r="DN201" s="454">
        <f t="shared" ref="DN201" si="129">SUM(DN5:DN200)</f>
        <v>13290624.103842111</v>
      </c>
      <c r="DO201" s="460">
        <f t="shared" ref="DO201" si="130">SUM(DO5:DO200)</f>
        <v>0</v>
      </c>
      <c r="DP201" s="461">
        <f t="shared" ref="DP201" si="131">SUM(DP5:DP200)</f>
        <v>218842.66215789429</v>
      </c>
    </row>
    <row r="202" spans="1:120" ht="13" thickTop="1" x14ac:dyDescent="0.25">
      <c r="D202" s="506"/>
      <c r="E202" s="506"/>
      <c r="F202" s="506"/>
      <c r="G202" s="506"/>
      <c r="H202" s="506"/>
      <c r="I202" s="200"/>
      <c r="J202" s="200"/>
      <c r="K202" s="200"/>
      <c r="L202" s="200"/>
      <c r="M202" s="200"/>
      <c r="N202" s="200"/>
      <c r="O202" s="200"/>
      <c r="P202" s="200"/>
      <c r="Q202" s="200"/>
      <c r="R202" s="200"/>
      <c r="S202" s="200"/>
      <c r="T202" s="200"/>
      <c r="U202" s="200"/>
      <c r="V202" s="200"/>
      <c r="W202" s="200"/>
      <c r="X202" s="200"/>
      <c r="Y202" s="200"/>
      <c r="Z202" s="200"/>
      <c r="AA202" s="200"/>
      <c r="AB202" s="200"/>
      <c r="AC202" s="200"/>
      <c r="AD202" s="200"/>
      <c r="AE202" s="200"/>
      <c r="AF202" s="200"/>
      <c r="AG202" s="200"/>
      <c r="AH202" s="200"/>
      <c r="AI202" s="200"/>
      <c r="AJ202" s="200"/>
      <c r="AK202" s="200"/>
      <c r="AL202" s="200"/>
      <c r="AM202" s="200"/>
      <c r="AN202" s="200"/>
      <c r="AO202" s="200"/>
      <c r="AP202" s="200"/>
      <c r="AQ202" s="200"/>
      <c r="AR202" s="200"/>
      <c r="AS202" s="200"/>
      <c r="AT202" s="200"/>
      <c r="AU202" s="200"/>
      <c r="AV202" s="200"/>
      <c r="AW202" s="200"/>
      <c r="AX202" s="200"/>
      <c r="AY202" s="200"/>
      <c r="AZ202" s="510"/>
      <c r="BA202" s="510"/>
      <c r="BB202" s="510"/>
      <c r="BC202" s="200"/>
      <c r="BD202" s="200"/>
      <c r="BE202" s="200"/>
      <c r="BF202" s="200"/>
      <c r="BG202" s="200"/>
      <c r="BH202" s="200"/>
      <c r="BI202" s="200"/>
      <c r="BJ202" s="200"/>
      <c r="BK202" s="200"/>
      <c r="BL202" s="200"/>
    </row>
    <row r="203" spans="1:120" x14ac:dyDescent="0.25">
      <c r="D203" s="506"/>
      <c r="E203" s="506"/>
      <c r="F203" s="506"/>
      <c r="G203" s="506"/>
      <c r="H203" s="506"/>
      <c r="I203" s="200"/>
      <c r="J203" s="200"/>
      <c r="K203" s="200"/>
      <c r="L203" s="200"/>
      <c r="M203" s="200"/>
      <c r="N203" s="200"/>
      <c r="O203" s="200"/>
      <c r="P203" s="200"/>
      <c r="Q203" s="200"/>
      <c r="R203" s="200"/>
      <c r="S203" s="200"/>
      <c r="T203" s="200">
        <f>T30*13</f>
        <v>6825</v>
      </c>
      <c r="U203" s="200"/>
      <c r="V203" s="200"/>
      <c r="W203" s="200"/>
      <c r="X203" s="200"/>
      <c r="Y203" s="200"/>
      <c r="Z203" s="200"/>
      <c r="AA203" s="200"/>
      <c r="AB203" s="200"/>
      <c r="AC203" s="200"/>
      <c r="AD203" s="200"/>
      <c r="AE203" s="200"/>
      <c r="AF203" s="200"/>
      <c r="AG203" s="200"/>
      <c r="AH203" s="200"/>
      <c r="AI203" s="200"/>
      <c r="AJ203" s="200"/>
      <c r="AK203" s="200"/>
      <c r="AL203" s="200"/>
      <c r="AM203" s="200"/>
      <c r="AN203" s="200"/>
      <c r="AO203" s="200"/>
      <c r="AP203" s="200"/>
      <c r="AQ203" s="200"/>
      <c r="AR203" s="200"/>
      <c r="AS203" s="200"/>
      <c r="AT203" s="200"/>
      <c r="AU203" s="200"/>
      <c r="AV203" s="200"/>
      <c r="AW203" s="200"/>
      <c r="AX203" s="200"/>
      <c r="AY203" s="200"/>
      <c r="AZ203" s="510"/>
      <c r="BA203" s="510"/>
      <c r="BB203" s="510"/>
      <c r="BC203" s="200"/>
      <c r="BD203" s="200"/>
      <c r="BE203" s="200">
        <f>SUM(BE5:BE202)</f>
        <v>174</v>
      </c>
      <c r="BF203" s="200">
        <f>SUM(BF5:BF202)</f>
        <v>1346.4</v>
      </c>
      <c r="BG203" s="200">
        <f t="shared" ref="BG203:BL203" si="132">SUM(BG5:BG202)</f>
        <v>1463.3999999999999</v>
      </c>
      <c r="BH203" s="200">
        <f t="shared" si="132"/>
        <v>0</v>
      </c>
      <c r="BI203" s="200">
        <f t="shared" si="132"/>
        <v>0</v>
      </c>
      <c r="BJ203" s="200">
        <f t="shared" si="132"/>
        <v>0</v>
      </c>
      <c r="BK203" s="200">
        <f t="shared" si="132"/>
        <v>0</v>
      </c>
      <c r="BL203" s="200">
        <f t="shared" si="132"/>
        <v>0</v>
      </c>
    </row>
  </sheetData>
  <autoFilter ref="CP4:DP201" xr:uid="{B595561C-5A5E-4529-B277-A7EC57C78436}"/>
  <mergeCells count="7">
    <mergeCell ref="DC3:DM3"/>
    <mergeCell ref="B2:C2"/>
    <mergeCell ref="D2:M2"/>
    <mergeCell ref="N2:W2"/>
    <mergeCell ref="K3:L3"/>
    <mergeCell ref="U3:V3"/>
    <mergeCell ref="CP3:DA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2E791-F3EC-4E32-8B3E-F2E9769C0B98}">
  <sheetPr filterMode="1">
    <tabColor theme="8" tint="0.79998168889431442"/>
  </sheetPr>
  <dimension ref="A1:HX210"/>
  <sheetViews>
    <sheetView topLeftCell="S1" zoomScale="80" zoomScaleNormal="80" workbookViewId="0">
      <selection activeCell="CH29" sqref="CH29"/>
    </sheetView>
  </sheetViews>
  <sheetFormatPr defaultRowHeight="14.5" x14ac:dyDescent="0.35"/>
  <cols>
    <col min="1" max="1" width="6.54296875" customWidth="1"/>
    <col min="2" max="2" width="7.7265625" bestFit="1" customWidth="1"/>
    <col min="3" max="3" width="11" bestFit="1" customWidth="1"/>
    <col min="4" max="4" width="66.26953125" customWidth="1"/>
    <col min="5" max="5" width="17.453125" bestFit="1" customWidth="1"/>
    <col min="6" max="6" width="14.7265625" customWidth="1"/>
    <col min="7" max="7" width="14.26953125" bestFit="1" customWidth="1"/>
    <col min="8" max="8" width="18.54296875" bestFit="1" customWidth="1"/>
    <col min="9" max="9" width="3.26953125" style="382" customWidth="1"/>
    <col min="10" max="10" width="18.81640625" bestFit="1" customWidth="1"/>
    <col min="11" max="11" width="20" bestFit="1" customWidth="1"/>
    <col min="12" max="12" width="16.26953125" bestFit="1" customWidth="1"/>
    <col min="13" max="13" width="17.453125" bestFit="1" customWidth="1"/>
    <col min="14" max="14" width="11.453125" bestFit="1" customWidth="1"/>
    <col min="15" max="15" width="14" customWidth="1"/>
    <col min="16" max="16" width="21.26953125" customWidth="1"/>
    <col min="17" max="17" width="17.26953125" customWidth="1"/>
    <col min="18" max="18" width="2.54296875" style="382" customWidth="1"/>
    <col min="19" max="24" width="17.26953125" customWidth="1"/>
    <col min="25" max="25" width="22" customWidth="1"/>
    <col min="26" max="26" width="13" customWidth="1"/>
    <col min="27" max="27" width="3.26953125" style="382" customWidth="1"/>
    <col min="28" max="28" width="13.1796875" customWidth="1"/>
    <col min="29" max="29" width="13.81640625" customWidth="1"/>
    <col min="30" max="30" width="15" customWidth="1"/>
    <col min="31" max="31" width="13" customWidth="1"/>
    <col min="32" max="32" width="15.26953125" customWidth="1"/>
    <col min="33" max="33" width="14.26953125" customWidth="1"/>
    <col min="34" max="34" width="28.453125" customWidth="1"/>
    <col min="35" max="35" width="13" customWidth="1"/>
    <col min="36" max="36" width="3.26953125" style="382" customWidth="1"/>
    <col min="37" max="39" width="14.453125" customWidth="1"/>
    <col min="40" max="40" width="3.26953125" style="382" customWidth="1"/>
    <col min="41" max="42" width="14.453125" customWidth="1"/>
    <col min="43" max="43" width="16.7265625" customWidth="1"/>
    <col min="44" max="44" width="3.453125" bestFit="1" customWidth="1"/>
    <col min="45" max="45" width="15.54296875" customWidth="1"/>
    <col min="46" max="46" width="15.81640625" customWidth="1"/>
    <col min="47" max="47" width="6.26953125" customWidth="1"/>
    <col min="48" max="48" width="15.26953125" bestFit="1" customWidth="1"/>
    <col min="49" max="49" width="23.7265625" bestFit="1" customWidth="1"/>
    <col min="50" max="50" width="22.1796875" bestFit="1" customWidth="1"/>
    <col min="51" max="51" width="17.453125" bestFit="1" customWidth="1"/>
    <col min="52" max="52" width="20" bestFit="1" customWidth="1"/>
    <col min="53" max="53" width="13.453125" bestFit="1" customWidth="1"/>
    <col min="54" max="54" width="16.26953125" bestFit="1" customWidth="1"/>
    <col min="55" max="55" width="21.26953125" bestFit="1" customWidth="1"/>
    <col min="56" max="56" width="3.453125" customWidth="1"/>
    <col min="57" max="64" width="17.26953125" customWidth="1"/>
    <col min="65" max="65" width="7.453125" bestFit="1" customWidth="1"/>
    <col min="66" max="66" width="5.26953125" customWidth="1"/>
    <col min="67" max="67" width="26" customWidth="1"/>
    <col min="68" max="68" width="27.1796875" customWidth="1"/>
    <col min="69" max="70" width="14.81640625" customWidth="1"/>
    <col min="71" max="71" width="13" customWidth="1"/>
    <col min="72" max="72" width="25.7265625" customWidth="1"/>
    <col min="73" max="73" width="12" customWidth="1"/>
    <col min="74" max="74" width="20.81640625" customWidth="1"/>
    <col min="75" max="75" width="12.26953125" bestFit="1" customWidth="1"/>
    <col min="76" max="76" width="13.453125" bestFit="1" customWidth="1"/>
    <col min="77" max="77" width="14.81640625" bestFit="1" customWidth="1"/>
    <col min="78" max="78" width="9.26953125" customWidth="1"/>
    <col min="79" max="79" width="15.81640625" customWidth="1"/>
    <col min="80" max="80" width="3.453125" customWidth="1"/>
    <col min="81" max="81" width="26" hidden="1" customWidth="1"/>
    <col min="82" max="82" width="27.1796875" hidden="1" customWidth="1"/>
    <col min="83" max="84" width="14.81640625" hidden="1" customWidth="1"/>
    <col min="85" max="85" width="13" hidden="1" customWidth="1"/>
    <col min="86" max="86" width="25.7265625" hidden="1" customWidth="1"/>
    <col min="87" max="87" width="12" hidden="1" customWidth="1"/>
    <col min="88" max="88" width="20.81640625" hidden="1" customWidth="1"/>
    <col min="89" max="90" width="12.26953125" hidden="1" customWidth="1"/>
    <col min="91" max="91" width="9.54296875" hidden="1" customWidth="1"/>
    <col min="92" max="92" width="9.26953125" hidden="1" customWidth="1"/>
    <col min="93" max="93" width="15.81640625" hidden="1" customWidth="1"/>
    <col min="94" max="94" width="3.453125" hidden="1" customWidth="1"/>
    <col min="95" max="102" width="15.81640625" hidden="1" customWidth="1"/>
    <col min="103" max="103" width="4.453125" hidden="1" customWidth="1"/>
    <col min="104" max="111" width="15" hidden="1" customWidth="1"/>
    <col min="112" max="112" width="6.54296875" hidden="1" customWidth="1"/>
    <col min="113" max="113" width="11.7265625" bestFit="1" customWidth="1"/>
    <col min="114" max="121" width="15" customWidth="1"/>
    <col min="122" max="122" width="6.54296875" bestFit="1" customWidth="1"/>
    <col min="123" max="130" width="15" customWidth="1"/>
    <col min="131" max="131" width="4.453125" style="382" bestFit="1" customWidth="1"/>
    <col min="132" max="134" width="15.1796875" bestFit="1" customWidth="1"/>
  </cols>
  <sheetData>
    <row r="1" spans="1:232" x14ac:dyDescent="0.35">
      <c r="A1" s="5" t="s">
        <v>861</v>
      </c>
      <c r="B1" s="5"/>
    </row>
    <row r="2" spans="1:232" x14ac:dyDescent="0.35">
      <c r="A2">
        <v>1</v>
      </c>
      <c r="B2">
        <v>2</v>
      </c>
      <c r="C2">
        <v>3</v>
      </c>
      <c r="D2">
        <v>4</v>
      </c>
      <c r="E2">
        <v>5</v>
      </c>
      <c r="F2">
        <v>6</v>
      </c>
      <c r="G2">
        <v>7</v>
      </c>
      <c r="H2">
        <v>8</v>
      </c>
      <c r="I2">
        <v>9</v>
      </c>
      <c r="J2">
        <v>10</v>
      </c>
      <c r="K2">
        <v>11</v>
      </c>
      <c r="L2">
        <v>12</v>
      </c>
      <c r="M2">
        <v>13</v>
      </c>
      <c r="N2">
        <v>14</v>
      </c>
      <c r="O2">
        <v>15</v>
      </c>
      <c r="P2">
        <v>16</v>
      </c>
      <c r="Q2">
        <v>17</v>
      </c>
      <c r="R2">
        <v>18</v>
      </c>
      <c r="S2">
        <v>19</v>
      </c>
      <c r="T2">
        <v>20</v>
      </c>
      <c r="U2">
        <v>21</v>
      </c>
      <c r="V2">
        <v>22</v>
      </c>
      <c r="W2">
        <v>23</v>
      </c>
      <c r="X2">
        <v>24</v>
      </c>
      <c r="Y2">
        <v>25</v>
      </c>
      <c r="Z2">
        <v>26</v>
      </c>
      <c r="AA2">
        <v>27</v>
      </c>
      <c r="AB2">
        <v>28</v>
      </c>
      <c r="AC2">
        <v>29</v>
      </c>
      <c r="AD2">
        <v>30</v>
      </c>
      <c r="AE2">
        <v>31</v>
      </c>
      <c r="AF2">
        <v>32</v>
      </c>
      <c r="AG2">
        <v>33</v>
      </c>
      <c r="AH2">
        <v>34</v>
      </c>
      <c r="AI2">
        <v>35</v>
      </c>
      <c r="AJ2">
        <v>36</v>
      </c>
      <c r="AK2">
        <v>37</v>
      </c>
      <c r="AL2">
        <v>38</v>
      </c>
      <c r="AM2">
        <v>39</v>
      </c>
      <c r="AN2">
        <v>40</v>
      </c>
      <c r="AO2">
        <v>41</v>
      </c>
      <c r="AP2">
        <v>42</v>
      </c>
      <c r="AQ2">
        <v>43</v>
      </c>
      <c r="AR2">
        <v>44</v>
      </c>
      <c r="AS2">
        <v>45</v>
      </c>
      <c r="AT2">
        <v>46</v>
      </c>
      <c r="AU2">
        <v>47</v>
      </c>
      <c r="AV2">
        <v>48</v>
      </c>
      <c r="AW2">
        <v>49</v>
      </c>
      <c r="AX2">
        <v>50</v>
      </c>
      <c r="AY2">
        <v>51</v>
      </c>
      <c r="AZ2">
        <v>52</v>
      </c>
      <c r="BA2">
        <v>53</v>
      </c>
      <c r="BB2">
        <v>54</v>
      </c>
      <c r="BC2">
        <v>55</v>
      </c>
      <c r="BD2">
        <v>56</v>
      </c>
      <c r="BE2">
        <v>57</v>
      </c>
      <c r="BF2">
        <v>58</v>
      </c>
      <c r="BG2">
        <v>59</v>
      </c>
      <c r="BH2">
        <v>60</v>
      </c>
      <c r="BI2">
        <v>61</v>
      </c>
      <c r="BJ2">
        <v>62</v>
      </c>
      <c r="BK2">
        <v>63</v>
      </c>
      <c r="BL2">
        <v>64</v>
      </c>
      <c r="BM2">
        <v>65</v>
      </c>
      <c r="BN2">
        <v>66</v>
      </c>
      <c r="BO2">
        <v>67</v>
      </c>
      <c r="BP2">
        <v>68</v>
      </c>
      <c r="BQ2">
        <v>69</v>
      </c>
      <c r="BR2">
        <v>70</v>
      </c>
      <c r="BS2">
        <v>71</v>
      </c>
      <c r="BT2">
        <v>72</v>
      </c>
      <c r="BU2">
        <v>73</v>
      </c>
      <c r="BV2">
        <v>74</v>
      </c>
      <c r="BW2">
        <v>75</v>
      </c>
      <c r="BX2">
        <v>76</v>
      </c>
      <c r="BY2">
        <v>77</v>
      </c>
      <c r="BZ2">
        <v>78</v>
      </c>
      <c r="CA2">
        <v>79</v>
      </c>
      <c r="CB2">
        <v>80</v>
      </c>
      <c r="CC2">
        <v>81</v>
      </c>
      <c r="CD2">
        <v>82</v>
      </c>
      <c r="CE2">
        <v>83</v>
      </c>
      <c r="CF2">
        <v>84</v>
      </c>
      <c r="CG2">
        <v>85</v>
      </c>
      <c r="CH2">
        <v>86</v>
      </c>
      <c r="CI2">
        <v>87</v>
      </c>
      <c r="CJ2">
        <v>88</v>
      </c>
      <c r="CK2">
        <v>89</v>
      </c>
      <c r="CL2">
        <v>90</v>
      </c>
      <c r="CM2">
        <v>91</v>
      </c>
      <c r="CN2">
        <v>92</v>
      </c>
      <c r="CO2">
        <v>93</v>
      </c>
      <c r="CP2">
        <v>94</v>
      </c>
      <c r="CQ2">
        <v>95</v>
      </c>
      <c r="CR2">
        <v>96</v>
      </c>
      <c r="CS2">
        <v>97</v>
      </c>
      <c r="CT2">
        <v>98</v>
      </c>
      <c r="CU2">
        <v>99</v>
      </c>
      <c r="CV2">
        <v>100</v>
      </c>
      <c r="CW2">
        <v>101</v>
      </c>
      <c r="CX2">
        <v>102</v>
      </c>
      <c r="CY2">
        <v>103</v>
      </c>
      <c r="CZ2">
        <v>104</v>
      </c>
      <c r="DA2">
        <v>105</v>
      </c>
      <c r="DB2">
        <v>106</v>
      </c>
      <c r="DC2">
        <v>107</v>
      </c>
      <c r="DD2">
        <v>108</v>
      </c>
      <c r="DE2">
        <v>109</v>
      </c>
      <c r="DF2">
        <v>110</v>
      </c>
      <c r="DG2">
        <v>111</v>
      </c>
      <c r="DH2">
        <v>112</v>
      </c>
      <c r="DI2">
        <v>113</v>
      </c>
      <c r="DJ2">
        <v>114</v>
      </c>
      <c r="DK2">
        <v>115</v>
      </c>
      <c r="DL2">
        <v>116</v>
      </c>
      <c r="DM2">
        <v>117</v>
      </c>
      <c r="DN2">
        <v>118</v>
      </c>
      <c r="DO2">
        <v>119</v>
      </c>
      <c r="DP2">
        <v>120</v>
      </c>
      <c r="DQ2">
        <v>121</v>
      </c>
      <c r="DR2">
        <v>122</v>
      </c>
      <c r="DS2">
        <v>123</v>
      </c>
      <c r="DT2">
        <v>124</v>
      </c>
      <c r="DU2">
        <v>125</v>
      </c>
      <c r="DV2">
        <v>126</v>
      </c>
      <c r="DW2">
        <v>127</v>
      </c>
      <c r="DX2">
        <v>128</v>
      </c>
      <c r="DY2">
        <v>129</v>
      </c>
      <c r="DZ2">
        <v>130</v>
      </c>
      <c r="EA2">
        <v>131</v>
      </c>
      <c r="EB2">
        <v>132</v>
      </c>
      <c r="EC2">
        <v>133</v>
      </c>
      <c r="ED2">
        <v>134</v>
      </c>
      <c r="EE2">
        <v>135</v>
      </c>
      <c r="EF2">
        <v>136</v>
      </c>
      <c r="EG2">
        <v>137</v>
      </c>
      <c r="EH2">
        <v>138</v>
      </c>
      <c r="EI2">
        <v>139</v>
      </c>
      <c r="EJ2">
        <v>140</v>
      </c>
      <c r="EK2">
        <v>141</v>
      </c>
      <c r="EL2">
        <v>142</v>
      </c>
      <c r="EM2">
        <v>143</v>
      </c>
      <c r="EN2">
        <v>144</v>
      </c>
      <c r="EO2">
        <v>145</v>
      </c>
      <c r="EP2">
        <v>146</v>
      </c>
      <c r="EQ2">
        <v>147</v>
      </c>
      <c r="ER2">
        <v>148</v>
      </c>
      <c r="ES2">
        <v>149</v>
      </c>
      <c r="ET2">
        <v>150</v>
      </c>
      <c r="EU2">
        <v>151</v>
      </c>
      <c r="EV2">
        <v>152</v>
      </c>
      <c r="EW2">
        <v>153</v>
      </c>
      <c r="EX2">
        <v>154</v>
      </c>
      <c r="EY2">
        <v>155</v>
      </c>
      <c r="EZ2">
        <v>156</v>
      </c>
      <c r="FA2">
        <v>157</v>
      </c>
      <c r="FB2">
        <v>158</v>
      </c>
      <c r="FC2">
        <v>159</v>
      </c>
      <c r="FD2">
        <v>160</v>
      </c>
      <c r="FE2">
        <v>161</v>
      </c>
      <c r="FF2">
        <v>162</v>
      </c>
      <c r="FG2">
        <v>163</v>
      </c>
      <c r="FH2">
        <v>164</v>
      </c>
      <c r="FI2">
        <v>165</v>
      </c>
      <c r="FJ2">
        <v>166</v>
      </c>
      <c r="FK2">
        <v>167</v>
      </c>
      <c r="FL2">
        <v>168</v>
      </c>
      <c r="FM2">
        <v>169</v>
      </c>
      <c r="FN2">
        <v>170</v>
      </c>
      <c r="FO2">
        <v>171</v>
      </c>
      <c r="FP2">
        <v>172</v>
      </c>
      <c r="FQ2">
        <v>173</v>
      </c>
      <c r="FR2">
        <v>174</v>
      </c>
      <c r="FS2">
        <v>175</v>
      </c>
      <c r="FT2">
        <v>176</v>
      </c>
      <c r="FU2">
        <v>177</v>
      </c>
      <c r="FV2">
        <v>178</v>
      </c>
      <c r="FW2">
        <v>179</v>
      </c>
      <c r="FX2">
        <v>180</v>
      </c>
      <c r="FY2">
        <v>181</v>
      </c>
      <c r="FZ2">
        <v>182</v>
      </c>
      <c r="GA2">
        <v>183</v>
      </c>
      <c r="GB2">
        <v>184</v>
      </c>
      <c r="GC2">
        <v>185</v>
      </c>
      <c r="GD2">
        <v>186</v>
      </c>
      <c r="GE2">
        <v>187</v>
      </c>
      <c r="GF2">
        <v>188</v>
      </c>
      <c r="GG2">
        <v>189</v>
      </c>
      <c r="GH2">
        <v>190</v>
      </c>
      <c r="GI2">
        <v>191</v>
      </c>
      <c r="GJ2">
        <v>192</v>
      </c>
      <c r="GK2">
        <v>193</v>
      </c>
      <c r="GL2">
        <v>194</v>
      </c>
      <c r="GM2">
        <v>195</v>
      </c>
      <c r="GN2">
        <v>196</v>
      </c>
      <c r="GO2">
        <v>197</v>
      </c>
      <c r="GP2">
        <v>198</v>
      </c>
      <c r="GQ2">
        <v>199</v>
      </c>
      <c r="GR2">
        <v>200</v>
      </c>
      <c r="GS2">
        <v>201</v>
      </c>
      <c r="GT2">
        <v>202</v>
      </c>
      <c r="GU2">
        <v>203</v>
      </c>
      <c r="GV2">
        <v>204</v>
      </c>
      <c r="GW2">
        <v>205</v>
      </c>
      <c r="GX2">
        <v>206</v>
      </c>
      <c r="GY2">
        <v>207</v>
      </c>
      <c r="GZ2">
        <v>208</v>
      </c>
      <c r="HA2">
        <v>209</v>
      </c>
      <c r="HB2">
        <v>210</v>
      </c>
      <c r="HC2">
        <v>211</v>
      </c>
      <c r="HD2">
        <v>212</v>
      </c>
      <c r="HE2">
        <v>213</v>
      </c>
      <c r="HF2">
        <v>214</v>
      </c>
      <c r="HG2">
        <v>215</v>
      </c>
      <c r="HH2">
        <v>216</v>
      </c>
      <c r="HI2">
        <v>217</v>
      </c>
      <c r="HJ2">
        <v>218</v>
      </c>
      <c r="HK2">
        <v>219</v>
      </c>
      <c r="HL2">
        <v>220</v>
      </c>
      <c r="HM2">
        <v>221</v>
      </c>
      <c r="HN2">
        <v>222</v>
      </c>
      <c r="HO2">
        <v>223</v>
      </c>
      <c r="HP2">
        <v>224</v>
      </c>
      <c r="HQ2">
        <v>225</v>
      </c>
      <c r="HR2">
        <v>226</v>
      </c>
      <c r="HS2">
        <v>227</v>
      </c>
      <c r="HT2">
        <v>228</v>
      </c>
      <c r="HU2">
        <v>229</v>
      </c>
      <c r="HV2">
        <v>230</v>
      </c>
      <c r="HW2">
        <v>231</v>
      </c>
      <c r="HX2">
        <v>222</v>
      </c>
    </row>
    <row r="3" spans="1:232" ht="15" thickBot="1" x14ac:dyDescent="0.4">
      <c r="D3" s="383"/>
      <c r="G3" s="383" t="s">
        <v>862</v>
      </c>
      <c r="S3" t="s">
        <v>863</v>
      </c>
      <c r="T3" t="s">
        <v>863</v>
      </c>
      <c r="U3" t="s">
        <v>863</v>
      </c>
      <c r="V3" t="s">
        <v>863</v>
      </c>
      <c r="W3" t="s">
        <v>863</v>
      </c>
      <c r="X3" t="s">
        <v>864</v>
      </c>
      <c r="AB3" t="s">
        <v>863</v>
      </c>
      <c r="AC3" t="s">
        <v>863</v>
      </c>
      <c r="AD3" t="s">
        <v>863</v>
      </c>
      <c r="AE3" t="s">
        <v>863</v>
      </c>
      <c r="AF3" t="s">
        <v>863</v>
      </c>
      <c r="AG3" t="s">
        <v>864</v>
      </c>
      <c r="AL3" t="s">
        <v>863</v>
      </c>
      <c r="AM3" t="s">
        <v>863</v>
      </c>
      <c r="AS3" t="s">
        <v>863</v>
      </c>
      <c r="AV3" t="s">
        <v>863</v>
      </c>
      <c r="AW3" t="s">
        <v>863</v>
      </c>
      <c r="AX3" t="s">
        <v>863</v>
      </c>
      <c r="AY3" t="s">
        <v>863</v>
      </c>
      <c r="AZ3" t="s">
        <v>863</v>
      </c>
      <c r="BA3" t="s">
        <v>864</v>
      </c>
      <c r="BB3" t="s">
        <v>863</v>
      </c>
    </row>
    <row r="4" spans="1:232" s="5" customFormat="1" ht="15" thickBot="1" x14ac:dyDescent="0.4">
      <c r="A4" s="5" t="s">
        <v>865</v>
      </c>
      <c r="AV4" s="384" t="s">
        <v>866</v>
      </c>
      <c r="AW4" s="385"/>
      <c r="AX4" s="385"/>
      <c r="AY4" s="385"/>
      <c r="AZ4" s="385"/>
      <c r="BA4" s="385"/>
      <c r="BB4" s="385"/>
      <c r="BC4" s="385"/>
      <c r="BD4" s="385"/>
      <c r="BE4" s="385"/>
      <c r="BF4" s="385"/>
      <c r="BG4" s="385"/>
      <c r="BH4" s="385"/>
      <c r="BI4" s="385"/>
      <c r="BJ4" s="385"/>
      <c r="BK4" s="385"/>
      <c r="BL4" s="385"/>
      <c r="BM4" s="385"/>
      <c r="BN4" s="385"/>
      <c r="BO4" s="385"/>
      <c r="BP4" s="385"/>
      <c r="BQ4" s="385"/>
      <c r="BR4" s="385"/>
      <c r="BS4" s="385"/>
      <c r="BT4" s="385"/>
      <c r="BU4" s="385"/>
      <c r="BV4" s="386"/>
    </row>
    <row r="5" spans="1:232" ht="19" thickBot="1" x14ac:dyDescent="0.5">
      <c r="D5" s="383"/>
      <c r="G5" s="383"/>
      <c r="J5" s="387" t="s">
        <v>867</v>
      </c>
      <c r="K5" s="388"/>
      <c r="L5" s="388"/>
      <c r="M5" s="388"/>
      <c r="N5" s="388"/>
      <c r="O5" s="388"/>
      <c r="P5" s="388"/>
      <c r="Q5" s="388"/>
      <c r="R5" s="389"/>
      <c r="S5" s="388"/>
      <c r="T5" s="388"/>
      <c r="U5" s="388"/>
      <c r="V5" s="388"/>
      <c r="W5" s="388"/>
      <c r="X5" s="388"/>
      <c r="Y5" s="388"/>
      <c r="Z5" s="388"/>
      <c r="AA5" s="389"/>
      <c r="AB5" s="388"/>
      <c r="AC5" s="388"/>
      <c r="AD5" s="388"/>
      <c r="AE5" s="388"/>
      <c r="AF5" s="388"/>
      <c r="AG5" s="388"/>
      <c r="AH5" s="388"/>
      <c r="AI5" s="388"/>
      <c r="AJ5" s="389"/>
      <c r="AK5" s="390"/>
      <c r="AL5" s="390"/>
      <c r="AM5" s="391"/>
      <c r="AN5" s="389"/>
      <c r="AO5" s="390"/>
      <c r="AP5" s="390"/>
      <c r="AQ5" s="391"/>
      <c r="AR5" s="5"/>
      <c r="AV5" s="392" t="s">
        <v>868</v>
      </c>
      <c r="AW5" s="390"/>
      <c r="AX5" s="390"/>
      <c r="AY5" s="390"/>
      <c r="AZ5" s="390"/>
      <c r="BA5" s="390"/>
      <c r="BB5" s="390"/>
      <c r="BC5" s="391"/>
      <c r="BE5" s="392" t="s">
        <v>869</v>
      </c>
      <c r="BF5" s="390"/>
      <c r="BG5" s="390"/>
      <c r="BH5" s="390"/>
      <c r="BI5" s="390"/>
      <c r="BJ5" s="390"/>
      <c r="BK5" s="390"/>
      <c r="BL5" s="391"/>
      <c r="BO5" s="392" t="s">
        <v>870</v>
      </c>
      <c r="BP5" s="390"/>
      <c r="BQ5" s="390"/>
      <c r="BR5" s="390"/>
      <c r="BS5" s="390"/>
      <c r="BT5" s="390"/>
      <c r="BU5" s="390"/>
      <c r="BV5" s="391"/>
      <c r="CC5" s="5"/>
      <c r="CQ5" s="5"/>
    </row>
    <row r="6" spans="1:232" ht="15" thickBot="1" x14ac:dyDescent="0.4">
      <c r="A6" t="s">
        <v>871</v>
      </c>
      <c r="I6"/>
      <c r="R6"/>
      <c r="AA6"/>
      <c r="AJ6"/>
      <c r="AN6"/>
      <c r="EA6"/>
    </row>
    <row r="7" spans="1:232" ht="73" thickBot="1" x14ac:dyDescent="0.4">
      <c r="A7" s="11" t="s">
        <v>18</v>
      </c>
      <c r="B7" s="12" t="s">
        <v>19</v>
      </c>
      <c r="C7" s="13" t="s">
        <v>20</v>
      </c>
      <c r="D7" s="14" t="s">
        <v>21</v>
      </c>
      <c r="E7" s="13" t="s">
        <v>22</v>
      </c>
      <c r="F7" s="14" t="s">
        <v>23</v>
      </c>
      <c r="G7" s="393"/>
      <c r="H7" s="394" t="s">
        <v>872</v>
      </c>
      <c r="I7" s="395"/>
      <c r="J7" s="396" t="s">
        <v>873</v>
      </c>
      <c r="K7" s="396" t="s">
        <v>232</v>
      </c>
      <c r="L7" s="396" t="s">
        <v>237</v>
      </c>
      <c r="M7" s="396" t="s">
        <v>240</v>
      </c>
      <c r="N7" s="396" t="s">
        <v>242</v>
      </c>
      <c r="O7" s="396" t="s">
        <v>14</v>
      </c>
      <c r="P7" s="396" t="s">
        <v>243</v>
      </c>
      <c r="Q7" s="396" t="s">
        <v>874</v>
      </c>
      <c r="R7" s="395"/>
      <c r="S7" s="397" t="s">
        <v>873</v>
      </c>
      <c r="T7" s="397" t="s">
        <v>388</v>
      </c>
      <c r="U7" s="397" t="s">
        <v>393</v>
      </c>
      <c r="V7" s="397" t="s">
        <v>396</v>
      </c>
      <c r="W7" s="397" t="s">
        <v>398</v>
      </c>
      <c r="X7" s="397" t="s">
        <v>14</v>
      </c>
      <c r="Y7" s="397" t="s">
        <v>399</v>
      </c>
      <c r="Z7" s="397" t="s">
        <v>875</v>
      </c>
      <c r="AA7" s="395"/>
      <c r="AB7" s="398" t="s">
        <v>873</v>
      </c>
      <c r="AC7" s="398" t="s">
        <v>407</v>
      </c>
      <c r="AD7" s="398" t="s">
        <v>412</v>
      </c>
      <c r="AE7" s="398" t="s">
        <v>415</v>
      </c>
      <c r="AF7" s="398" t="s">
        <v>876</v>
      </c>
      <c r="AG7" s="398" t="s">
        <v>14</v>
      </c>
      <c r="AH7" s="398" t="s">
        <v>418</v>
      </c>
      <c r="AI7" s="398" t="s">
        <v>877</v>
      </c>
      <c r="AJ7" s="395"/>
      <c r="AK7" s="399" t="s">
        <v>878</v>
      </c>
      <c r="AL7" s="399" t="s">
        <v>879</v>
      </c>
      <c r="AM7" s="399" t="s">
        <v>880</v>
      </c>
      <c r="AN7" s="395"/>
      <c r="AO7" s="400" t="s">
        <v>531</v>
      </c>
      <c r="AP7" s="400" t="s">
        <v>532</v>
      </c>
      <c r="AQ7" s="400" t="s">
        <v>533</v>
      </c>
      <c r="AR7" s="401"/>
      <c r="AS7" s="394" t="s">
        <v>881</v>
      </c>
      <c r="AT7" s="394" t="s">
        <v>882</v>
      </c>
      <c r="AU7" s="401"/>
      <c r="AV7" s="396" t="s">
        <v>873</v>
      </c>
      <c r="AW7" s="396" t="s">
        <v>232</v>
      </c>
      <c r="AX7" s="396" t="s">
        <v>237</v>
      </c>
      <c r="AY7" s="396" t="s">
        <v>240</v>
      </c>
      <c r="AZ7" s="396" t="s">
        <v>242</v>
      </c>
      <c r="BA7" s="396" t="s">
        <v>14</v>
      </c>
      <c r="BB7" s="396" t="s">
        <v>883</v>
      </c>
      <c r="BC7" s="396" t="s">
        <v>884</v>
      </c>
      <c r="BE7" s="396" t="s">
        <v>873</v>
      </c>
      <c r="BF7" s="396" t="s">
        <v>232</v>
      </c>
      <c r="BG7" s="396" t="s">
        <v>237</v>
      </c>
      <c r="BH7" s="396" t="s">
        <v>240</v>
      </c>
      <c r="BI7" s="396" t="s">
        <v>242</v>
      </c>
      <c r="BJ7" s="396" t="s">
        <v>14</v>
      </c>
      <c r="BK7" s="396" t="s">
        <v>883</v>
      </c>
      <c r="BL7" s="396" t="s">
        <v>885</v>
      </c>
      <c r="BO7" s="396" t="s">
        <v>873</v>
      </c>
      <c r="BP7" s="396" t="s">
        <v>232</v>
      </c>
      <c r="BQ7" s="396" t="s">
        <v>237</v>
      </c>
      <c r="BR7" s="396" t="s">
        <v>240</v>
      </c>
      <c r="BS7" s="396" t="s">
        <v>242</v>
      </c>
      <c r="BT7" s="396" t="s">
        <v>14</v>
      </c>
      <c r="BU7" s="396" t="s">
        <v>883</v>
      </c>
      <c r="BV7" s="396" t="s">
        <v>886</v>
      </c>
      <c r="BW7" s="402"/>
      <c r="BX7" s="402"/>
      <c r="BY7" s="402"/>
      <c r="BZ7" s="402"/>
      <c r="CA7" s="403"/>
      <c r="CC7" s="401"/>
      <c r="CD7" s="401"/>
      <c r="CE7" s="401"/>
      <c r="CF7" s="401"/>
      <c r="CG7" s="401"/>
      <c r="CH7" s="401"/>
      <c r="CI7" s="401"/>
      <c r="CJ7" s="401"/>
      <c r="CK7" s="402"/>
      <c r="CL7" s="402"/>
      <c r="CM7" s="402"/>
      <c r="CN7" s="402"/>
      <c r="CO7" s="403"/>
      <c r="CQ7" s="393"/>
      <c r="CR7" s="393"/>
      <c r="CS7" s="393"/>
      <c r="CT7" s="393"/>
      <c r="CU7" s="393"/>
      <c r="CV7" s="393"/>
      <c r="CW7" s="393"/>
      <c r="CX7" s="393"/>
      <c r="CZ7" s="393"/>
      <c r="DA7" s="393"/>
      <c r="DB7" s="393"/>
      <c r="DC7" s="393"/>
      <c r="DD7" s="393"/>
      <c r="DE7" s="393"/>
      <c r="DF7" s="393"/>
      <c r="DG7" s="393"/>
      <c r="DI7" s="393"/>
      <c r="DJ7" s="393"/>
      <c r="DK7" s="393"/>
      <c r="DL7" s="393"/>
      <c r="DM7" s="393"/>
      <c r="DN7" s="393"/>
      <c r="DO7" s="393"/>
      <c r="DP7" s="393"/>
      <c r="DQ7" s="393"/>
      <c r="DS7" s="393"/>
      <c r="DT7" s="393"/>
      <c r="DU7" s="393"/>
      <c r="DV7" s="393"/>
      <c r="DW7" s="393"/>
      <c r="DX7" s="393"/>
      <c r="DY7" s="393"/>
      <c r="DZ7" s="393"/>
      <c r="EB7" s="404" t="s">
        <v>863</v>
      </c>
      <c r="EC7" s="405" t="s">
        <v>864</v>
      </c>
      <c r="ED7" s="406" t="s">
        <v>7</v>
      </c>
    </row>
    <row r="8" spans="1:232" hidden="1" x14ac:dyDescent="0.35">
      <c r="A8" s="407">
        <v>1027</v>
      </c>
      <c r="B8" s="408">
        <v>103140</v>
      </c>
      <c r="C8" s="408" t="s">
        <v>24</v>
      </c>
      <c r="D8" s="408" t="s">
        <v>25</v>
      </c>
      <c r="E8" s="15" t="s">
        <v>26</v>
      </c>
      <c r="F8" s="16" t="s">
        <v>27</v>
      </c>
      <c r="G8" s="409"/>
      <c r="H8" s="363">
        <v>238873.10056274381</v>
      </c>
      <c r="I8" s="410"/>
      <c r="J8" s="363">
        <v>0</v>
      </c>
      <c r="K8" s="363">
        <v>49783.5</v>
      </c>
      <c r="L8" s="363">
        <v>136858.79999999999</v>
      </c>
      <c r="M8" s="363">
        <v>7215</v>
      </c>
      <c r="N8" s="363">
        <v>223.73684210526318</v>
      </c>
      <c r="O8" s="363">
        <v>1925.3684210526317</v>
      </c>
      <c r="P8" s="215">
        <f>SUM(J8:O8)</f>
        <v>196006.40526315788</v>
      </c>
      <c r="Q8" s="363">
        <f>P8*80%</f>
        <v>156805.12421052632</v>
      </c>
      <c r="R8" s="410"/>
      <c r="S8" s="363">
        <v>0</v>
      </c>
      <c r="T8" s="363">
        <v>47128.38</v>
      </c>
      <c r="U8" s="363">
        <v>59599.8</v>
      </c>
      <c r="V8" s="363">
        <v>5070</v>
      </c>
      <c r="W8" s="363">
        <v>372.89473684210526</v>
      </c>
      <c r="X8" s="363">
        <v>641.78947368421052</v>
      </c>
      <c r="Y8" s="363">
        <f>SUM(S8:X8)</f>
        <v>112812.86421052631</v>
      </c>
      <c r="Z8" s="363">
        <f>Y8*80%</f>
        <v>90250.291368421051</v>
      </c>
      <c r="AA8" s="410"/>
      <c r="AB8" s="411">
        <v>0</v>
      </c>
      <c r="AC8" s="411">
        <v>36279.473684210519</v>
      </c>
      <c r="AD8" s="411">
        <v>92978.905263157896</v>
      </c>
      <c r="AE8" s="411">
        <v>4774.7368421052633</v>
      </c>
      <c r="AF8" s="411">
        <v>326.09418282548472</v>
      </c>
      <c r="AG8" s="411">
        <v>841.86149584487532</v>
      </c>
      <c r="AH8" s="363">
        <f>SUM(AB8:AG8)</f>
        <v>135201.07146814401</v>
      </c>
      <c r="AI8" s="411">
        <f>AH8*80%</f>
        <v>108160.85717451521</v>
      </c>
      <c r="AJ8" s="410"/>
      <c r="AK8" s="411">
        <v>5343</v>
      </c>
      <c r="AL8" s="411">
        <v>3018.5999999999995</v>
      </c>
      <c r="AM8" s="411">
        <v>3531.0315789473684</v>
      </c>
      <c r="AN8" s="410"/>
      <c r="AO8" s="411">
        <f>AK8*80%</f>
        <v>4274.4000000000005</v>
      </c>
      <c r="AP8" s="411">
        <f t="shared" ref="AP8:AQ23" si="0">AL8*80%</f>
        <v>2414.8799999999997</v>
      </c>
      <c r="AQ8" s="411">
        <f t="shared" si="0"/>
        <v>2824.8252631578948</v>
      </c>
      <c r="AR8" s="412"/>
      <c r="AS8" s="412">
        <v>230741.71200913202</v>
      </c>
      <c r="AT8" s="413">
        <f>AS8-H8</f>
        <v>-8131.3885536117887</v>
      </c>
      <c r="AU8" s="412"/>
      <c r="AV8" s="412">
        <v>2324.4</v>
      </c>
      <c r="AW8" s="412">
        <v>49783.5</v>
      </c>
      <c r="AX8" s="412">
        <v>109711.17600000001</v>
      </c>
      <c r="AY8" s="412">
        <v>9165</v>
      </c>
      <c r="AZ8" s="412">
        <v>3430.6315789473683</v>
      </c>
      <c r="BA8" s="412">
        <v>2888.0099999999998</v>
      </c>
      <c r="BB8" s="412">
        <v>4344.5999999999995</v>
      </c>
      <c r="BC8" s="412">
        <f>SUM(AV8:BB8)+AS8</f>
        <v>412389.02958807943</v>
      </c>
      <c r="BE8" s="205">
        <f>AV8-J8</f>
        <v>2324.4</v>
      </c>
      <c r="BF8" s="205">
        <f t="shared" ref="BF8:BJ23" si="1">AW8-K8</f>
        <v>0</v>
      </c>
      <c r="BG8" s="205">
        <f t="shared" si="1"/>
        <v>-27147.623999999982</v>
      </c>
      <c r="BH8" s="205">
        <f t="shared" si="1"/>
        <v>1950</v>
      </c>
      <c r="BI8" s="205">
        <f t="shared" si="1"/>
        <v>3206.894736842105</v>
      </c>
      <c r="BJ8" s="205">
        <f t="shared" si="1"/>
        <v>962.64157894736809</v>
      </c>
      <c r="BK8" s="205">
        <f>BB8-AK8</f>
        <v>-998.40000000000055</v>
      </c>
      <c r="BL8" s="205">
        <f>SUM(BE8:BK8)+AT8</f>
        <v>-27833.476237822295</v>
      </c>
      <c r="BM8" s="215">
        <f>BC8-(P8+H8+BL8+AK8)</f>
        <v>0</v>
      </c>
      <c r="BN8" s="215"/>
      <c r="BO8" s="412">
        <f t="shared" ref="BO8:BT29" si="2">AV8-(J8*80%)</f>
        <v>2324.4</v>
      </c>
      <c r="BP8" s="412">
        <f t="shared" si="2"/>
        <v>9956.6999999999971</v>
      </c>
      <c r="BQ8" s="412">
        <f t="shared" si="2"/>
        <v>224.13600000001315</v>
      </c>
      <c r="BR8" s="412">
        <f t="shared" si="2"/>
        <v>3393</v>
      </c>
      <c r="BS8" s="412">
        <f t="shared" si="2"/>
        <v>3251.6421052631576</v>
      </c>
      <c r="BT8" s="412">
        <f t="shared" si="2"/>
        <v>1347.7152631578942</v>
      </c>
      <c r="BU8" s="412">
        <f t="shared" ref="BU8:BU29" si="3">BB8-(AK8*80%)</f>
        <v>70.199999999998909</v>
      </c>
      <c r="BV8" s="412">
        <f>SUM(BO8:BU8)</f>
        <v>20567.793368421058</v>
      </c>
      <c r="BW8" s="412">
        <f t="shared" ref="BW8:BW71" si="4">(Q8+AO8+AS8+BV8)-BC8-AT8</f>
        <v>8131.3885536117887</v>
      </c>
      <c r="BX8" s="402"/>
      <c r="BY8" s="412">
        <f>(BV8+Q8+AO8)</f>
        <v>181647.31757894738</v>
      </c>
      <c r="BZ8" s="412"/>
      <c r="CA8" s="412">
        <f>IFERROR(VLOOKUP(A8,'Actuals Summer'!A:S,19,FALSE),0)</f>
        <v>181647.31757894738</v>
      </c>
      <c r="CC8" s="412"/>
      <c r="CD8" s="412"/>
      <c r="CE8" s="412"/>
      <c r="CF8" s="412"/>
      <c r="CG8" s="412"/>
      <c r="CH8" s="412"/>
      <c r="CI8" s="412"/>
      <c r="CJ8" s="412"/>
      <c r="CK8" s="412"/>
      <c r="CL8" s="412"/>
      <c r="CM8" s="412"/>
      <c r="CN8" s="412"/>
      <c r="CO8" s="412"/>
      <c r="CQ8" s="363"/>
      <c r="CR8" s="363"/>
      <c r="CS8" s="363"/>
      <c r="CT8" s="363"/>
      <c r="CU8" s="363"/>
      <c r="CV8" s="363"/>
      <c r="CW8" s="363"/>
      <c r="CX8" s="363"/>
      <c r="CZ8" s="414"/>
      <c r="DA8" s="414"/>
      <c r="DB8" s="414"/>
      <c r="DC8" s="414"/>
      <c r="DD8" s="414"/>
      <c r="DE8" s="414"/>
      <c r="DF8" s="414"/>
      <c r="DG8" s="414"/>
      <c r="DI8" s="414">
        <f>BY8-CA8</f>
        <v>0</v>
      </c>
      <c r="DJ8" s="414"/>
      <c r="DK8" s="414"/>
      <c r="DL8" s="414"/>
      <c r="DM8" s="414"/>
      <c r="DN8" s="414"/>
      <c r="DO8" s="414"/>
      <c r="DP8" s="414"/>
      <c r="DQ8" s="414"/>
      <c r="DS8" s="414"/>
      <c r="DT8" s="414"/>
      <c r="DU8" s="414"/>
      <c r="DV8" s="414"/>
      <c r="DW8" s="414"/>
      <c r="DX8" s="414"/>
      <c r="DY8" s="414"/>
      <c r="DZ8" s="414"/>
      <c r="EB8" s="415">
        <f t="shared" ref="EB8:EB71" si="5">((SUMIFS($J8:$AQ8,$J$3:$AQ$3,$EB$7)*80%))+SUMIFS($AS8:$AT8,$AS$3:$AT$3,$EB$7)+SUMIFS($AV8:$BC8,$AV$3:$BC$3,$EB$7)</f>
        <v>611964.95261855039</v>
      </c>
      <c r="EC8" s="415">
        <f t="shared" ref="EC8:EC71" si="6">(SUMIFS($J8:$AQ8,$J$3:$AQ$3,$EC$7)*80%)+SUMIFS($AV8:$BC8,$AV$3:$BC$3,$EC$7)</f>
        <v>4074.9307756232683</v>
      </c>
      <c r="ED8" s="416">
        <f>EB8+EC8</f>
        <v>616039.8833941737</v>
      </c>
    </row>
    <row r="9" spans="1:232" hidden="1" x14ac:dyDescent="0.35">
      <c r="A9" s="17">
        <v>2010</v>
      </c>
      <c r="B9" s="4">
        <v>103159</v>
      </c>
      <c r="C9" s="4" t="s">
        <v>887</v>
      </c>
      <c r="D9" s="4" t="s">
        <v>888</v>
      </c>
      <c r="E9" s="15" t="s">
        <v>32</v>
      </c>
      <c r="F9" s="16" t="s">
        <v>27</v>
      </c>
      <c r="G9" s="215"/>
      <c r="H9" s="363">
        <v>0</v>
      </c>
      <c r="I9" s="410"/>
      <c r="J9" s="363">
        <v>0</v>
      </c>
      <c r="K9" s="363">
        <v>0</v>
      </c>
      <c r="L9" s="363">
        <v>0</v>
      </c>
      <c r="M9" s="363">
        <v>0</v>
      </c>
      <c r="N9" s="363">
        <v>0</v>
      </c>
      <c r="O9" s="363">
        <v>0</v>
      </c>
      <c r="P9" s="215">
        <f t="shared" ref="P9:P72" si="7">SUM(J9:O9)</f>
        <v>0</v>
      </c>
      <c r="Q9" s="363">
        <f t="shared" ref="Q9:Q72" si="8">P9*80%</f>
        <v>0</v>
      </c>
      <c r="R9" s="410"/>
      <c r="S9" s="363">
        <v>0</v>
      </c>
      <c r="T9" s="363">
        <v>0</v>
      </c>
      <c r="U9" s="363">
        <v>0</v>
      </c>
      <c r="V9" s="363">
        <v>0</v>
      </c>
      <c r="W9" s="363">
        <v>0</v>
      </c>
      <c r="X9" s="363">
        <v>0</v>
      </c>
      <c r="Y9" s="363">
        <f t="shared" ref="Y9:Y72" si="9">SUM(S9:X9)</f>
        <v>0</v>
      </c>
      <c r="Z9" s="363">
        <f t="shared" ref="Z9:Z72" si="10">Y9*80%</f>
        <v>0</v>
      </c>
      <c r="AA9" s="410"/>
      <c r="AB9" s="411">
        <v>0</v>
      </c>
      <c r="AC9" s="411">
        <v>0</v>
      </c>
      <c r="AD9" s="411">
        <v>0</v>
      </c>
      <c r="AE9" s="411">
        <v>0</v>
      </c>
      <c r="AF9" s="411">
        <v>0</v>
      </c>
      <c r="AG9" s="411">
        <v>0</v>
      </c>
      <c r="AH9" s="363">
        <f t="shared" ref="AH9:AH72" si="11">SUM(AB9:AG9)</f>
        <v>0</v>
      </c>
      <c r="AI9" s="411">
        <f t="shared" ref="AI9:AI72" si="12">AH9*80%</f>
        <v>0</v>
      </c>
      <c r="AJ9" s="410"/>
      <c r="AK9" s="411">
        <v>0</v>
      </c>
      <c r="AL9" s="411">
        <v>0</v>
      </c>
      <c r="AM9" s="411">
        <v>0</v>
      </c>
      <c r="AN9" s="410"/>
      <c r="AO9" s="411">
        <f t="shared" ref="AO9:AQ72" si="13">AK9*80%</f>
        <v>0</v>
      </c>
      <c r="AP9" s="411">
        <f t="shared" si="0"/>
        <v>0</v>
      </c>
      <c r="AQ9" s="411">
        <f t="shared" si="0"/>
        <v>0</v>
      </c>
      <c r="AR9" s="412"/>
      <c r="AS9" s="412">
        <v>0</v>
      </c>
      <c r="AT9" s="413">
        <f t="shared" ref="AT9:AT72" si="14">AS9-H9</f>
        <v>0</v>
      </c>
      <c r="AU9" s="412"/>
      <c r="AV9" s="412">
        <v>0</v>
      </c>
      <c r="AW9" s="412">
        <v>0</v>
      </c>
      <c r="AX9" s="412">
        <v>0</v>
      </c>
      <c r="AY9" s="412">
        <v>0</v>
      </c>
      <c r="AZ9" s="412">
        <v>0</v>
      </c>
      <c r="BA9" s="412">
        <v>0</v>
      </c>
      <c r="BB9" s="412">
        <v>0</v>
      </c>
      <c r="BC9" s="412">
        <f t="shared" ref="BC9:BC72" si="15">SUM(AV9:BB9)+AS9</f>
        <v>0</v>
      </c>
      <c r="BE9" s="205">
        <f t="shared" ref="BE9:BJ64" si="16">AV9-J9</f>
        <v>0</v>
      </c>
      <c r="BF9" s="205">
        <f t="shared" si="1"/>
        <v>0</v>
      </c>
      <c r="BG9" s="205">
        <f t="shared" si="1"/>
        <v>0</v>
      </c>
      <c r="BH9" s="205">
        <f t="shared" si="1"/>
        <v>0</v>
      </c>
      <c r="BI9" s="205">
        <f t="shared" si="1"/>
        <v>0</v>
      </c>
      <c r="BJ9" s="205">
        <f t="shared" si="1"/>
        <v>0</v>
      </c>
      <c r="BK9" s="205">
        <f t="shared" ref="BK9:BK72" si="17">BB9-AK9</f>
        <v>0</v>
      </c>
      <c r="BL9" s="205">
        <f t="shared" ref="BL9:BL72" si="18">SUM(BE9:BK9)+AT9</f>
        <v>0</v>
      </c>
      <c r="BM9" s="215">
        <f t="shared" ref="BM9:BM72" si="19">BC9-(P9+H9+BL9+AK9)</f>
        <v>0</v>
      </c>
      <c r="BN9" s="215"/>
      <c r="BO9" s="412">
        <f t="shared" si="2"/>
        <v>0</v>
      </c>
      <c r="BP9" s="412">
        <f t="shared" si="2"/>
        <v>0</v>
      </c>
      <c r="BQ9" s="412">
        <f t="shared" si="2"/>
        <v>0</v>
      </c>
      <c r="BR9" s="412">
        <f t="shared" si="2"/>
        <v>0</v>
      </c>
      <c r="BS9" s="412">
        <f t="shared" si="2"/>
        <v>0</v>
      </c>
      <c r="BT9" s="412">
        <f t="shared" si="2"/>
        <v>0</v>
      </c>
      <c r="BU9" s="412">
        <f t="shared" si="3"/>
        <v>0</v>
      </c>
      <c r="BV9" s="412">
        <f t="shared" ref="BV9:BV72" si="20">SUM(BO9:BU9)</f>
        <v>0</v>
      </c>
      <c r="BW9" s="412">
        <f t="shared" si="4"/>
        <v>0</v>
      </c>
      <c r="BX9" s="412"/>
      <c r="BY9" s="412">
        <f t="shared" ref="BY9:BY72" si="21">(BV9+Q9+AO9)</f>
        <v>0</v>
      </c>
      <c r="BZ9" s="412"/>
      <c r="CA9" s="412">
        <f>IFERROR(VLOOKUP(A9,'Actuals Summer'!A:S,19,FALSE),0)</f>
        <v>0</v>
      </c>
      <c r="CC9" s="412"/>
      <c r="CD9" s="412"/>
      <c r="CE9" s="412"/>
      <c r="CF9" s="412"/>
      <c r="CG9" s="412"/>
      <c r="CH9" s="412"/>
      <c r="CI9" s="412"/>
      <c r="CJ9" s="412"/>
      <c r="CK9" s="412"/>
      <c r="CL9" s="412"/>
      <c r="CM9" s="412"/>
      <c r="CN9" s="412"/>
      <c r="CO9" s="412"/>
      <c r="CQ9" s="363"/>
      <c r="CR9" s="363"/>
      <c r="CS9" s="363"/>
      <c r="CT9" s="363"/>
      <c r="CU9" s="363"/>
      <c r="CV9" s="363"/>
      <c r="CW9" s="363"/>
      <c r="CX9" s="363"/>
      <c r="CZ9" s="414"/>
      <c r="DA9" s="414"/>
      <c r="DB9" s="414"/>
      <c r="DC9" s="414"/>
      <c r="DD9" s="414"/>
      <c r="DE9" s="414"/>
      <c r="DF9" s="414"/>
      <c r="DG9" s="414"/>
      <c r="DI9" s="414">
        <f t="shared" ref="DI9:DI72" si="22">BY9-CA9</f>
        <v>0</v>
      </c>
      <c r="DJ9" s="414"/>
      <c r="DK9" s="414"/>
      <c r="DL9" s="414"/>
      <c r="DM9" s="414"/>
      <c r="DN9" s="414"/>
      <c r="DO9" s="414"/>
      <c r="DP9" s="414"/>
      <c r="DQ9" s="414"/>
      <c r="DS9" s="414"/>
      <c r="DT9" s="414"/>
      <c r="DU9" s="414"/>
      <c r="DV9" s="414"/>
      <c r="DW9" s="414"/>
      <c r="DX9" s="414"/>
      <c r="DY9" s="414"/>
      <c r="DZ9" s="414"/>
      <c r="EB9" s="415">
        <f t="shared" si="5"/>
        <v>0</v>
      </c>
      <c r="EC9" s="415">
        <f t="shared" si="6"/>
        <v>0</v>
      </c>
      <c r="ED9" s="416">
        <f t="shared" ref="ED9:ED72" si="23">EB9+EC9</f>
        <v>0</v>
      </c>
    </row>
    <row r="10" spans="1:232" hidden="1" x14ac:dyDescent="0.35">
      <c r="A10" s="17">
        <v>5949</v>
      </c>
      <c r="B10" s="4">
        <v>131465</v>
      </c>
      <c r="C10" s="4" t="s">
        <v>889</v>
      </c>
      <c r="D10" s="4" t="s">
        <v>890</v>
      </c>
      <c r="E10" s="15" t="s">
        <v>32</v>
      </c>
      <c r="F10" s="16" t="s">
        <v>27</v>
      </c>
      <c r="G10" s="215"/>
      <c r="H10" s="363">
        <v>0</v>
      </c>
      <c r="I10" s="410"/>
      <c r="J10" s="363">
        <v>0</v>
      </c>
      <c r="K10" s="363">
        <v>0</v>
      </c>
      <c r="L10" s="363">
        <v>0</v>
      </c>
      <c r="M10" s="363">
        <v>0</v>
      </c>
      <c r="N10" s="363">
        <v>0</v>
      </c>
      <c r="O10" s="363">
        <v>0</v>
      </c>
      <c r="P10" s="215">
        <f t="shared" si="7"/>
        <v>0</v>
      </c>
      <c r="Q10" s="363">
        <f t="shared" si="8"/>
        <v>0</v>
      </c>
      <c r="R10" s="410"/>
      <c r="S10" s="363">
        <v>0</v>
      </c>
      <c r="T10" s="363">
        <v>0</v>
      </c>
      <c r="U10" s="363">
        <v>0</v>
      </c>
      <c r="V10" s="363">
        <v>0</v>
      </c>
      <c r="W10" s="363">
        <v>0</v>
      </c>
      <c r="X10" s="363">
        <v>0</v>
      </c>
      <c r="Y10" s="363">
        <f t="shared" si="9"/>
        <v>0</v>
      </c>
      <c r="Z10" s="363">
        <f t="shared" si="10"/>
        <v>0</v>
      </c>
      <c r="AA10" s="410"/>
      <c r="AB10" s="411">
        <v>0</v>
      </c>
      <c r="AC10" s="411">
        <v>0</v>
      </c>
      <c r="AD10" s="411">
        <v>0</v>
      </c>
      <c r="AE10" s="411">
        <v>0</v>
      </c>
      <c r="AF10" s="411">
        <v>0</v>
      </c>
      <c r="AG10" s="411">
        <v>0</v>
      </c>
      <c r="AH10" s="363">
        <f t="shared" si="11"/>
        <v>0</v>
      </c>
      <c r="AI10" s="411">
        <f t="shared" si="12"/>
        <v>0</v>
      </c>
      <c r="AJ10" s="410"/>
      <c r="AK10" s="411">
        <v>0</v>
      </c>
      <c r="AL10" s="411">
        <v>0</v>
      </c>
      <c r="AM10" s="411">
        <v>0</v>
      </c>
      <c r="AN10" s="410"/>
      <c r="AO10" s="411">
        <f t="shared" si="13"/>
        <v>0</v>
      </c>
      <c r="AP10" s="411">
        <f t="shared" si="0"/>
        <v>0</v>
      </c>
      <c r="AQ10" s="411">
        <f t="shared" si="0"/>
        <v>0</v>
      </c>
      <c r="AR10" s="412"/>
      <c r="AS10" s="412">
        <v>0</v>
      </c>
      <c r="AT10" s="413">
        <f t="shared" si="14"/>
        <v>0</v>
      </c>
      <c r="AU10" s="412"/>
      <c r="AV10" s="412">
        <v>0</v>
      </c>
      <c r="AW10" s="412">
        <v>0</v>
      </c>
      <c r="AX10" s="412">
        <v>0</v>
      </c>
      <c r="AY10" s="412">
        <v>0</v>
      </c>
      <c r="AZ10" s="412">
        <v>0</v>
      </c>
      <c r="BA10" s="412">
        <v>0</v>
      </c>
      <c r="BB10" s="412">
        <v>0</v>
      </c>
      <c r="BC10" s="412">
        <f t="shared" si="15"/>
        <v>0</v>
      </c>
      <c r="BE10" s="205">
        <f t="shared" si="16"/>
        <v>0</v>
      </c>
      <c r="BF10" s="205">
        <f t="shared" si="1"/>
        <v>0</v>
      </c>
      <c r="BG10" s="205">
        <f t="shared" si="1"/>
        <v>0</v>
      </c>
      <c r="BH10" s="205">
        <f t="shared" si="1"/>
        <v>0</v>
      </c>
      <c r="BI10" s="205">
        <f t="shared" si="1"/>
        <v>0</v>
      </c>
      <c r="BJ10" s="205">
        <f t="shared" si="1"/>
        <v>0</v>
      </c>
      <c r="BK10" s="205">
        <f t="shared" si="17"/>
        <v>0</v>
      </c>
      <c r="BL10" s="205">
        <f t="shared" si="18"/>
        <v>0</v>
      </c>
      <c r="BM10" s="215">
        <f t="shared" si="19"/>
        <v>0</v>
      </c>
      <c r="BN10" s="215"/>
      <c r="BO10" s="412">
        <f t="shared" si="2"/>
        <v>0</v>
      </c>
      <c r="BP10" s="412">
        <f t="shared" si="2"/>
        <v>0</v>
      </c>
      <c r="BQ10" s="412">
        <f t="shared" si="2"/>
        <v>0</v>
      </c>
      <c r="BR10" s="412">
        <f t="shared" si="2"/>
        <v>0</v>
      </c>
      <c r="BS10" s="412">
        <f t="shared" si="2"/>
        <v>0</v>
      </c>
      <c r="BT10" s="412">
        <f t="shared" si="2"/>
        <v>0</v>
      </c>
      <c r="BU10" s="412">
        <f t="shared" si="3"/>
        <v>0</v>
      </c>
      <c r="BV10" s="412">
        <f t="shared" si="20"/>
        <v>0</v>
      </c>
      <c r="BW10" s="412">
        <f t="shared" si="4"/>
        <v>0</v>
      </c>
      <c r="BX10" s="412"/>
      <c r="BY10" s="412">
        <f t="shared" si="21"/>
        <v>0</v>
      </c>
      <c r="BZ10" s="412"/>
      <c r="CA10" s="412">
        <f>IFERROR(VLOOKUP(A10,'Actuals Summer'!A:S,19,FALSE),0)</f>
        <v>0</v>
      </c>
      <c r="CC10" s="412"/>
      <c r="CD10" s="412"/>
      <c r="CE10" s="412"/>
      <c r="CF10" s="412"/>
      <c r="CG10" s="412"/>
      <c r="CH10" s="412"/>
      <c r="CI10" s="412"/>
      <c r="CJ10" s="412"/>
      <c r="CK10" s="412"/>
      <c r="CL10" s="412"/>
      <c r="CM10" s="412"/>
      <c r="CN10" s="412"/>
      <c r="CO10" s="412"/>
      <c r="CQ10" s="363"/>
      <c r="CR10" s="363"/>
      <c r="CS10" s="363"/>
      <c r="CT10" s="363"/>
      <c r="CU10" s="363"/>
      <c r="CV10" s="363"/>
      <c r="CW10" s="363"/>
      <c r="CX10" s="363"/>
      <c r="CZ10" s="414"/>
      <c r="DA10" s="414"/>
      <c r="DB10" s="414"/>
      <c r="DC10" s="414"/>
      <c r="DD10" s="414"/>
      <c r="DE10" s="414"/>
      <c r="DF10" s="414"/>
      <c r="DG10" s="414"/>
      <c r="DI10" s="414">
        <f t="shared" si="22"/>
        <v>0</v>
      </c>
      <c r="DJ10" s="414"/>
      <c r="DK10" s="414"/>
      <c r="DL10" s="414"/>
      <c r="DM10" s="414"/>
      <c r="DN10" s="414"/>
      <c r="DO10" s="414"/>
      <c r="DP10" s="414"/>
      <c r="DQ10" s="414"/>
      <c r="DS10" s="414"/>
      <c r="DT10" s="414"/>
      <c r="DU10" s="414"/>
      <c r="DV10" s="414"/>
      <c r="DW10" s="414"/>
      <c r="DX10" s="414"/>
      <c r="DY10" s="414"/>
      <c r="DZ10" s="414"/>
      <c r="EB10" s="415">
        <f t="shared" si="5"/>
        <v>0</v>
      </c>
      <c r="EC10" s="415">
        <f t="shared" si="6"/>
        <v>0</v>
      </c>
      <c r="ED10" s="416">
        <f t="shared" si="23"/>
        <v>0</v>
      </c>
    </row>
    <row r="11" spans="1:232" hidden="1" x14ac:dyDescent="0.35">
      <c r="A11" s="17">
        <v>1017</v>
      </c>
      <c r="B11" s="4">
        <v>103130</v>
      </c>
      <c r="C11" s="4" t="s">
        <v>28</v>
      </c>
      <c r="D11" s="4" t="s">
        <v>29</v>
      </c>
      <c r="E11" s="15" t="s">
        <v>26</v>
      </c>
      <c r="F11" s="16" t="s">
        <v>27</v>
      </c>
      <c r="G11" s="215"/>
      <c r="H11" s="363">
        <v>318791.29177519301</v>
      </c>
      <c r="I11" s="410"/>
      <c r="J11" s="363">
        <v>0</v>
      </c>
      <c r="K11" s="363">
        <v>66378</v>
      </c>
      <c r="L11" s="363">
        <v>192043.8</v>
      </c>
      <c r="M11" s="363">
        <v>14820</v>
      </c>
      <c r="N11" s="363">
        <v>5295.105263157895</v>
      </c>
      <c r="O11" s="363">
        <v>1604.4736842105262</v>
      </c>
      <c r="P11" s="215">
        <f t="shared" si="7"/>
        <v>280141.37894736842</v>
      </c>
      <c r="Q11" s="363">
        <f t="shared" si="8"/>
        <v>224113.10315789474</v>
      </c>
      <c r="R11" s="410"/>
      <c r="S11" s="363">
        <v>0</v>
      </c>
      <c r="T11" s="363">
        <v>84631.95</v>
      </c>
      <c r="U11" s="363">
        <v>126704.76000000001</v>
      </c>
      <c r="V11" s="363">
        <v>11505</v>
      </c>
      <c r="W11" s="363">
        <v>4325.5789473684208</v>
      </c>
      <c r="X11" s="363">
        <v>3529.8421052631579</v>
      </c>
      <c r="Y11" s="363">
        <f t="shared" si="9"/>
        <v>230697.13105263159</v>
      </c>
      <c r="Z11" s="363">
        <f t="shared" si="10"/>
        <v>184557.70484210528</v>
      </c>
      <c r="AA11" s="410"/>
      <c r="AB11" s="411">
        <v>0</v>
      </c>
      <c r="AC11" s="411">
        <v>45470.27368421053</v>
      </c>
      <c r="AD11" s="411">
        <v>140851.78105263159</v>
      </c>
      <c r="AE11" s="411">
        <v>10231.57894736842</v>
      </c>
      <c r="AF11" s="411">
        <v>3717.4736842105262</v>
      </c>
      <c r="AG11" s="411">
        <v>1870.8033240997231</v>
      </c>
      <c r="AH11" s="363">
        <f t="shared" si="11"/>
        <v>202141.91069252079</v>
      </c>
      <c r="AI11" s="411">
        <f t="shared" si="12"/>
        <v>161713.52855401664</v>
      </c>
      <c r="AJ11" s="410"/>
      <c r="AK11" s="411">
        <v>5461.95</v>
      </c>
      <c r="AL11" s="411">
        <v>4135.95</v>
      </c>
      <c r="AM11" s="411">
        <v>3785.1157894736843</v>
      </c>
      <c r="AN11" s="410"/>
      <c r="AO11" s="411">
        <f t="shared" si="13"/>
        <v>4369.5600000000004</v>
      </c>
      <c r="AP11" s="411">
        <f t="shared" si="0"/>
        <v>3308.76</v>
      </c>
      <c r="AQ11" s="411">
        <f t="shared" si="0"/>
        <v>3028.0926315789475</v>
      </c>
      <c r="AR11" s="412"/>
      <c r="AS11" s="412">
        <v>318574.29262591311</v>
      </c>
      <c r="AT11" s="413">
        <f t="shared" si="14"/>
        <v>-216.99914927990176</v>
      </c>
      <c r="AU11" s="412"/>
      <c r="AV11" s="412">
        <v>0</v>
      </c>
      <c r="AW11" s="412">
        <v>66378</v>
      </c>
      <c r="AX11" s="412">
        <v>180786.06</v>
      </c>
      <c r="AY11" s="412">
        <v>12285</v>
      </c>
      <c r="AZ11" s="412">
        <v>4549.3157894736842</v>
      </c>
      <c r="BA11" s="412">
        <v>3850.68</v>
      </c>
      <c r="BB11" s="412">
        <v>4502.55</v>
      </c>
      <c r="BC11" s="412">
        <f t="shared" si="15"/>
        <v>590925.89841538679</v>
      </c>
      <c r="BE11" s="205">
        <f t="shared" si="16"/>
        <v>0</v>
      </c>
      <c r="BF11" s="205">
        <f t="shared" si="1"/>
        <v>0</v>
      </c>
      <c r="BG11" s="205">
        <f t="shared" si="1"/>
        <v>-11257.739999999991</v>
      </c>
      <c r="BH11" s="205">
        <f t="shared" si="1"/>
        <v>-2535</v>
      </c>
      <c r="BI11" s="205">
        <f t="shared" si="1"/>
        <v>-745.78947368421086</v>
      </c>
      <c r="BJ11" s="205">
        <f t="shared" si="1"/>
        <v>2246.2063157894736</v>
      </c>
      <c r="BK11" s="205">
        <f t="shared" si="17"/>
        <v>-959.39999999999964</v>
      </c>
      <c r="BL11" s="205">
        <f t="shared" si="18"/>
        <v>-13468.722307174628</v>
      </c>
      <c r="BM11" s="215">
        <f t="shared" si="19"/>
        <v>0</v>
      </c>
      <c r="BN11" s="215"/>
      <c r="BO11" s="412">
        <f t="shared" si="2"/>
        <v>0</v>
      </c>
      <c r="BP11" s="412">
        <f t="shared" si="2"/>
        <v>13275.599999999999</v>
      </c>
      <c r="BQ11" s="412">
        <f t="shared" si="2"/>
        <v>27151.01999999999</v>
      </c>
      <c r="BR11" s="412">
        <f t="shared" si="2"/>
        <v>429</v>
      </c>
      <c r="BS11" s="412">
        <f t="shared" si="2"/>
        <v>313.23157894736778</v>
      </c>
      <c r="BT11" s="412">
        <f t="shared" si="2"/>
        <v>2567.1010526315786</v>
      </c>
      <c r="BU11" s="412">
        <f t="shared" si="3"/>
        <v>132.98999999999978</v>
      </c>
      <c r="BV11" s="412">
        <f t="shared" si="20"/>
        <v>43868.942631578931</v>
      </c>
      <c r="BW11" s="412">
        <f t="shared" si="4"/>
        <v>216.99914927990176</v>
      </c>
      <c r="BX11" s="412"/>
      <c r="BY11" s="412">
        <f t="shared" si="21"/>
        <v>272351.60578947369</v>
      </c>
      <c r="BZ11" s="412"/>
      <c r="CA11" s="412">
        <f>IFERROR(VLOOKUP(A11,'Actuals Summer'!A:S,19,FALSE),0)</f>
        <v>272351.60578947363</v>
      </c>
      <c r="CC11" s="412"/>
      <c r="CD11" s="412"/>
      <c r="CE11" s="412"/>
      <c r="CF11" s="412"/>
      <c r="CG11" s="412"/>
      <c r="CH11" s="412"/>
      <c r="CI11" s="412"/>
      <c r="CJ11" s="412"/>
      <c r="CK11" s="412"/>
      <c r="CL11" s="412"/>
      <c r="CM11" s="412"/>
      <c r="CN11" s="412"/>
      <c r="CO11" s="412"/>
      <c r="CQ11" s="363"/>
      <c r="CR11" s="363"/>
      <c r="CS11" s="363"/>
      <c r="CT11" s="363"/>
      <c r="CU11" s="363"/>
      <c r="CV11" s="363"/>
      <c r="CW11" s="363"/>
      <c r="CX11" s="363"/>
      <c r="CZ11" s="414"/>
      <c r="DA11" s="414"/>
      <c r="DB11" s="414"/>
      <c r="DC11" s="414"/>
      <c r="DD11" s="414"/>
      <c r="DE11" s="414"/>
      <c r="DF11" s="414"/>
      <c r="DG11" s="414"/>
      <c r="DI11" s="414">
        <f t="shared" si="22"/>
        <v>0</v>
      </c>
      <c r="DJ11" s="414"/>
      <c r="DK11" s="414"/>
      <c r="DL11" s="414"/>
      <c r="DM11" s="414"/>
      <c r="DN11" s="414"/>
      <c r="DO11" s="414"/>
      <c r="DP11" s="414"/>
      <c r="DQ11" s="414"/>
      <c r="DS11" s="414"/>
      <c r="DT11" s="414"/>
      <c r="DU11" s="414"/>
      <c r="DV11" s="414"/>
      <c r="DW11" s="414"/>
      <c r="DX11" s="414"/>
      <c r="DY11" s="414"/>
      <c r="DZ11" s="414"/>
      <c r="EB11" s="415">
        <f t="shared" si="5"/>
        <v>935362.78809959732</v>
      </c>
      <c r="EC11" s="415">
        <f t="shared" si="6"/>
        <v>8171.1963434903046</v>
      </c>
      <c r="ED11" s="416">
        <f t="shared" si="23"/>
        <v>943533.9844430876</v>
      </c>
    </row>
    <row r="12" spans="1:232" hidden="1" x14ac:dyDescent="0.35">
      <c r="A12" s="17">
        <v>2153</v>
      </c>
      <c r="B12" s="4">
        <v>103243</v>
      </c>
      <c r="C12" s="4" t="s">
        <v>891</v>
      </c>
      <c r="D12" s="4" t="s">
        <v>892</v>
      </c>
      <c r="E12" s="15" t="s">
        <v>32</v>
      </c>
      <c r="F12" s="16" t="s">
        <v>27</v>
      </c>
      <c r="G12" s="215"/>
      <c r="H12" s="363">
        <v>0</v>
      </c>
      <c r="I12" s="410"/>
      <c r="J12" s="363">
        <v>0</v>
      </c>
      <c r="K12" s="363">
        <v>0</v>
      </c>
      <c r="L12" s="363">
        <v>0</v>
      </c>
      <c r="M12" s="363">
        <v>0</v>
      </c>
      <c r="N12" s="363">
        <v>0</v>
      </c>
      <c r="O12" s="363">
        <v>0</v>
      </c>
      <c r="P12" s="215">
        <f t="shared" si="7"/>
        <v>0</v>
      </c>
      <c r="Q12" s="363">
        <f t="shared" si="8"/>
        <v>0</v>
      </c>
      <c r="R12" s="410"/>
      <c r="S12" s="363">
        <v>0</v>
      </c>
      <c r="T12" s="363">
        <v>0</v>
      </c>
      <c r="U12" s="363">
        <v>0</v>
      </c>
      <c r="V12" s="363">
        <v>0</v>
      </c>
      <c r="W12" s="363">
        <v>0</v>
      </c>
      <c r="X12" s="363">
        <v>0</v>
      </c>
      <c r="Y12" s="363">
        <f t="shared" si="9"/>
        <v>0</v>
      </c>
      <c r="Z12" s="363">
        <f t="shared" si="10"/>
        <v>0</v>
      </c>
      <c r="AA12" s="410"/>
      <c r="AB12" s="411">
        <v>0</v>
      </c>
      <c r="AC12" s="411">
        <v>0</v>
      </c>
      <c r="AD12" s="411">
        <v>0</v>
      </c>
      <c r="AE12" s="411">
        <v>0</v>
      </c>
      <c r="AF12" s="411">
        <v>0</v>
      </c>
      <c r="AG12" s="411">
        <v>0</v>
      </c>
      <c r="AH12" s="363">
        <f t="shared" si="11"/>
        <v>0</v>
      </c>
      <c r="AI12" s="411">
        <f t="shared" si="12"/>
        <v>0</v>
      </c>
      <c r="AJ12" s="410"/>
      <c r="AK12" s="411">
        <v>0</v>
      </c>
      <c r="AL12" s="411">
        <v>0</v>
      </c>
      <c r="AM12" s="411">
        <v>0</v>
      </c>
      <c r="AN12" s="410"/>
      <c r="AO12" s="411">
        <f t="shared" si="13"/>
        <v>0</v>
      </c>
      <c r="AP12" s="411">
        <f t="shared" si="0"/>
        <v>0</v>
      </c>
      <c r="AQ12" s="411">
        <f t="shared" si="0"/>
        <v>0</v>
      </c>
      <c r="AR12" s="412"/>
      <c r="AS12" s="412">
        <v>0</v>
      </c>
      <c r="AT12" s="413">
        <f t="shared" si="14"/>
        <v>0</v>
      </c>
      <c r="AU12" s="412"/>
      <c r="AV12" s="412">
        <v>0</v>
      </c>
      <c r="AW12" s="412">
        <v>0</v>
      </c>
      <c r="AX12" s="412">
        <v>0</v>
      </c>
      <c r="AY12" s="412">
        <v>0</v>
      </c>
      <c r="AZ12" s="412">
        <v>0</v>
      </c>
      <c r="BA12" s="412">
        <v>0</v>
      </c>
      <c r="BB12" s="412">
        <v>0</v>
      </c>
      <c r="BC12" s="412">
        <f t="shared" si="15"/>
        <v>0</v>
      </c>
      <c r="BE12" s="205">
        <f t="shared" si="16"/>
        <v>0</v>
      </c>
      <c r="BF12" s="205">
        <f t="shared" si="1"/>
        <v>0</v>
      </c>
      <c r="BG12" s="205">
        <f t="shared" si="1"/>
        <v>0</v>
      </c>
      <c r="BH12" s="205">
        <f t="shared" si="1"/>
        <v>0</v>
      </c>
      <c r="BI12" s="205">
        <f t="shared" si="1"/>
        <v>0</v>
      </c>
      <c r="BJ12" s="205">
        <f t="shared" si="1"/>
        <v>0</v>
      </c>
      <c r="BK12" s="205">
        <f t="shared" si="17"/>
        <v>0</v>
      </c>
      <c r="BL12" s="205">
        <f t="shared" si="18"/>
        <v>0</v>
      </c>
      <c r="BM12" s="215">
        <f t="shared" si="19"/>
        <v>0</v>
      </c>
      <c r="BN12" s="215"/>
      <c r="BO12" s="412">
        <f t="shared" si="2"/>
        <v>0</v>
      </c>
      <c r="BP12" s="412">
        <f t="shared" si="2"/>
        <v>0</v>
      </c>
      <c r="BQ12" s="412">
        <f t="shared" si="2"/>
        <v>0</v>
      </c>
      <c r="BR12" s="412">
        <f t="shared" si="2"/>
        <v>0</v>
      </c>
      <c r="BS12" s="412">
        <f t="shared" si="2"/>
        <v>0</v>
      </c>
      <c r="BT12" s="412">
        <f t="shared" si="2"/>
        <v>0</v>
      </c>
      <c r="BU12" s="412">
        <f t="shared" si="3"/>
        <v>0</v>
      </c>
      <c r="BV12" s="412">
        <f t="shared" si="20"/>
        <v>0</v>
      </c>
      <c r="BW12" s="412">
        <f t="shared" si="4"/>
        <v>0</v>
      </c>
      <c r="BX12" s="412"/>
      <c r="BY12" s="412">
        <f t="shared" si="21"/>
        <v>0</v>
      </c>
      <c r="BZ12" s="412"/>
      <c r="CA12" s="412">
        <f>IFERROR(VLOOKUP(A12,'Actuals Summer'!A:S,19,FALSE),0)</f>
        <v>0</v>
      </c>
      <c r="CC12" s="412"/>
      <c r="CD12" s="412"/>
      <c r="CE12" s="412"/>
      <c r="CF12" s="412"/>
      <c r="CG12" s="412"/>
      <c r="CH12" s="412"/>
      <c r="CI12" s="412"/>
      <c r="CJ12" s="412"/>
      <c r="CK12" s="412"/>
      <c r="CL12" s="412"/>
      <c r="CM12" s="412"/>
      <c r="CN12" s="412"/>
      <c r="CO12" s="412"/>
      <c r="CQ12" s="363"/>
      <c r="CR12" s="363"/>
      <c r="CS12" s="363"/>
      <c r="CT12" s="363"/>
      <c r="CU12" s="363"/>
      <c r="CV12" s="363"/>
      <c r="CW12" s="363"/>
      <c r="CX12" s="363"/>
      <c r="CZ12" s="414"/>
      <c r="DA12" s="414"/>
      <c r="DB12" s="414"/>
      <c r="DC12" s="414"/>
      <c r="DD12" s="414"/>
      <c r="DE12" s="414"/>
      <c r="DF12" s="414"/>
      <c r="DG12" s="414"/>
      <c r="DI12" s="414">
        <f t="shared" si="22"/>
        <v>0</v>
      </c>
      <c r="DJ12" s="414"/>
      <c r="DK12" s="414"/>
      <c r="DL12" s="414"/>
      <c r="DM12" s="414"/>
      <c r="DN12" s="414"/>
      <c r="DO12" s="414"/>
      <c r="DP12" s="414"/>
      <c r="DQ12" s="414"/>
      <c r="DS12" s="414"/>
      <c r="DT12" s="414"/>
      <c r="DU12" s="414"/>
      <c r="DV12" s="414"/>
      <c r="DW12" s="414"/>
      <c r="DX12" s="414"/>
      <c r="DY12" s="414"/>
      <c r="DZ12" s="414"/>
      <c r="EB12" s="415">
        <f t="shared" si="5"/>
        <v>0</v>
      </c>
      <c r="EC12" s="415">
        <f t="shared" si="6"/>
        <v>0</v>
      </c>
      <c r="ED12" s="416">
        <f t="shared" si="23"/>
        <v>0</v>
      </c>
    </row>
    <row r="13" spans="1:232" hidden="1" x14ac:dyDescent="0.35">
      <c r="A13" s="17">
        <v>2062</v>
      </c>
      <c r="B13" s="4">
        <v>103192</v>
      </c>
      <c r="C13" s="4" t="s">
        <v>30</v>
      </c>
      <c r="D13" s="4" t="s">
        <v>31</v>
      </c>
      <c r="E13" s="15" t="s">
        <v>32</v>
      </c>
      <c r="F13" s="16" t="s">
        <v>27</v>
      </c>
      <c r="G13" s="215"/>
      <c r="H13" s="363">
        <v>0</v>
      </c>
      <c r="I13" s="410"/>
      <c r="J13" s="363">
        <v>0</v>
      </c>
      <c r="K13" s="363">
        <v>0</v>
      </c>
      <c r="L13" s="363">
        <v>57392.4</v>
      </c>
      <c r="M13" s="363">
        <v>4290</v>
      </c>
      <c r="N13" s="363">
        <v>0</v>
      </c>
      <c r="O13" s="363">
        <v>0</v>
      </c>
      <c r="P13" s="215">
        <f t="shared" si="7"/>
        <v>61682.400000000001</v>
      </c>
      <c r="Q13" s="363">
        <f t="shared" si="8"/>
        <v>49345.920000000006</v>
      </c>
      <c r="R13" s="410"/>
      <c r="S13" s="363">
        <v>0</v>
      </c>
      <c r="T13" s="363">
        <v>0</v>
      </c>
      <c r="U13" s="363">
        <v>29799.9</v>
      </c>
      <c r="V13" s="363">
        <v>1950</v>
      </c>
      <c r="W13" s="363">
        <v>0</v>
      </c>
      <c r="X13" s="363">
        <v>0</v>
      </c>
      <c r="Y13" s="363">
        <f t="shared" si="9"/>
        <v>31749.9</v>
      </c>
      <c r="Z13" s="363">
        <f t="shared" si="10"/>
        <v>25399.920000000002</v>
      </c>
      <c r="AA13" s="410"/>
      <c r="AB13" s="411">
        <v>0</v>
      </c>
      <c r="AC13" s="411">
        <v>0</v>
      </c>
      <c r="AD13" s="411">
        <v>40859.242105263162</v>
      </c>
      <c r="AE13" s="411">
        <v>2557.894736842105</v>
      </c>
      <c r="AF13" s="411">
        <v>0</v>
      </c>
      <c r="AG13" s="411">
        <v>0</v>
      </c>
      <c r="AH13" s="363">
        <f t="shared" si="11"/>
        <v>43417.136842105268</v>
      </c>
      <c r="AI13" s="411">
        <f t="shared" si="12"/>
        <v>34733.709473684219</v>
      </c>
      <c r="AJ13" s="410"/>
      <c r="AK13" s="411">
        <v>1922.6999999999998</v>
      </c>
      <c r="AL13" s="411">
        <v>1068.5999999999999</v>
      </c>
      <c r="AM13" s="411">
        <v>1313.0526315789473</v>
      </c>
      <c r="AN13" s="410"/>
      <c r="AO13" s="411">
        <f t="shared" si="13"/>
        <v>1538.1599999999999</v>
      </c>
      <c r="AP13" s="411">
        <f t="shared" si="0"/>
        <v>854.88</v>
      </c>
      <c r="AQ13" s="411">
        <f t="shared" si="0"/>
        <v>1050.4421052631578</v>
      </c>
      <c r="AR13" s="412"/>
      <c r="AS13" s="412">
        <v>0</v>
      </c>
      <c r="AT13" s="413">
        <f t="shared" si="14"/>
        <v>0</v>
      </c>
      <c r="AU13" s="412"/>
      <c r="AV13" s="412">
        <v>0</v>
      </c>
      <c r="AW13" s="412">
        <v>0</v>
      </c>
      <c r="AX13" s="412">
        <v>41940.6</v>
      </c>
      <c r="AY13" s="412">
        <v>2925</v>
      </c>
      <c r="AZ13" s="412">
        <v>0</v>
      </c>
      <c r="BA13" s="412">
        <v>0</v>
      </c>
      <c r="BB13" s="412">
        <v>1688.7</v>
      </c>
      <c r="BC13" s="412">
        <f t="shared" si="15"/>
        <v>46554.299999999996</v>
      </c>
      <c r="BE13" s="205">
        <f t="shared" si="16"/>
        <v>0</v>
      </c>
      <c r="BF13" s="205">
        <f t="shared" si="1"/>
        <v>0</v>
      </c>
      <c r="BG13" s="205">
        <f t="shared" si="1"/>
        <v>-15451.800000000003</v>
      </c>
      <c r="BH13" s="205">
        <f t="shared" si="1"/>
        <v>-1365</v>
      </c>
      <c r="BI13" s="205">
        <f t="shared" si="1"/>
        <v>0</v>
      </c>
      <c r="BJ13" s="205">
        <f t="shared" si="1"/>
        <v>0</v>
      </c>
      <c r="BK13" s="205">
        <f t="shared" si="17"/>
        <v>-233.99999999999977</v>
      </c>
      <c r="BL13" s="205">
        <f t="shared" si="18"/>
        <v>-17050.800000000003</v>
      </c>
      <c r="BM13" s="215">
        <f t="shared" si="19"/>
        <v>0</v>
      </c>
      <c r="BN13" s="215"/>
      <c r="BO13" s="412">
        <f t="shared" si="2"/>
        <v>0</v>
      </c>
      <c r="BP13" s="412">
        <f t="shared" si="2"/>
        <v>0</v>
      </c>
      <c r="BQ13" s="412">
        <f t="shared" si="2"/>
        <v>-3973.320000000007</v>
      </c>
      <c r="BR13" s="412">
        <f t="shared" si="2"/>
        <v>-507</v>
      </c>
      <c r="BS13" s="412">
        <f t="shared" si="2"/>
        <v>0</v>
      </c>
      <c r="BT13" s="412">
        <f t="shared" si="2"/>
        <v>0</v>
      </c>
      <c r="BU13" s="412">
        <f t="shared" si="3"/>
        <v>150.54000000000019</v>
      </c>
      <c r="BV13" s="412">
        <f t="shared" si="20"/>
        <v>-4329.780000000007</v>
      </c>
      <c r="BW13" s="412">
        <f t="shared" si="4"/>
        <v>0</v>
      </c>
      <c r="BX13" s="412"/>
      <c r="BY13" s="412">
        <f t="shared" si="21"/>
        <v>46554.3</v>
      </c>
      <c r="BZ13" s="412"/>
      <c r="CA13" s="412">
        <f>IFERROR(VLOOKUP(A13,'Actuals Summer'!A:S,19,FALSE),0)</f>
        <v>46554.299999999996</v>
      </c>
      <c r="CC13" s="412"/>
      <c r="CD13" s="412"/>
      <c r="CE13" s="412"/>
      <c r="CF13" s="412"/>
      <c r="CG13" s="412"/>
      <c r="CH13" s="412"/>
      <c r="CI13" s="412"/>
      <c r="CJ13" s="412"/>
      <c r="CK13" s="412"/>
      <c r="CL13" s="412"/>
      <c r="CM13" s="412"/>
      <c r="CN13" s="412"/>
      <c r="CO13" s="412"/>
      <c r="CQ13" s="363"/>
      <c r="CR13" s="363"/>
      <c r="CS13" s="363"/>
      <c r="CT13" s="363"/>
      <c r="CU13" s="363"/>
      <c r="CV13" s="363"/>
      <c r="CW13" s="363"/>
      <c r="CX13" s="363"/>
      <c r="CZ13" s="414"/>
      <c r="DA13" s="414"/>
      <c r="DB13" s="414"/>
      <c r="DC13" s="414"/>
      <c r="DD13" s="414"/>
      <c r="DE13" s="414"/>
      <c r="DF13" s="414"/>
      <c r="DG13" s="414"/>
      <c r="DI13" s="414">
        <f t="shared" si="22"/>
        <v>0</v>
      </c>
      <c r="DJ13" s="414"/>
      <c r="DK13" s="414"/>
      <c r="DL13" s="414"/>
      <c r="DM13" s="414"/>
      <c r="DN13" s="414"/>
      <c r="DO13" s="414"/>
      <c r="DP13" s="414"/>
      <c r="DQ13" s="414"/>
      <c r="DS13" s="414"/>
      <c r="DT13" s="414"/>
      <c r="DU13" s="414"/>
      <c r="DV13" s="414"/>
      <c r="DW13" s="414"/>
      <c r="DX13" s="414"/>
      <c r="DY13" s="414"/>
      <c r="DZ13" s="414"/>
      <c r="EB13" s="415">
        <f t="shared" si="5"/>
        <v>108593.25157894738</v>
      </c>
      <c r="EC13" s="415">
        <f t="shared" si="6"/>
        <v>0</v>
      </c>
      <c r="ED13" s="416">
        <f t="shared" si="23"/>
        <v>108593.25157894738</v>
      </c>
    </row>
    <row r="14" spans="1:232" hidden="1" x14ac:dyDescent="0.35">
      <c r="A14" s="17">
        <v>2479</v>
      </c>
      <c r="B14" s="4">
        <v>132074</v>
      </c>
      <c r="C14" s="4" t="s">
        <v>33</v>
      </c>
      <c r="D14" s="4" t="s">
        <v>34</v>
      </c>
      <c r="E14" s="15" t="s">
        <v>32</v>
      </c>
      <c r="F14" s="16" t="s">
        <v>27</v>
      </c>
      <c r="G14" s="215"/>
      <c r="H14" s="363">
        <v>0</v>
      </c>
      <c r="I14" s="410"/>
      <c r="J14" s="363">
        <v>0</v>
      </c>
      <c r="K14" s="363">
        <v>0</v>
      </c>
      <c r="L14" s="363">
        <v>100436.7</v>
      </c>
      <c r="M14" s="363">
        <v>3510</v>
      </c>
      <c r="N14" s="363">
        <v>2162.7894736842104</v>
      </c>
      <c r="O14" s="363">
        <v>0</v>
      </c>
      <c r="P14" s="215">
        <f t="shared" si="7"/>
        <v>106109.48947368421</v>
      </c>
      <c r="Q14" s="363">
        <f t="shared" si="8"/>
        <v>84887.59157894738</v>
      </c>
      <c r="R14" s="410"/>
      <c r="S14" s="363">
        <v>0</v>
      </c>
      <c r="T14" s="363">
        <v>0</v>
      </c>
      <c r="U14" s="363">
        <v>67325.700000000012</v>
      </c>
      <c r="V14" s="363">
        <v>1950</v>
      </c>
      <c r="W14" s="363">
        <v>671.21052631578948</v>
      </c>
      <c r="X14" s="363">
        <v>0</v>
      </c>
      <c r="Y14" s="363">
        <f t="shared" si="9"/>
        <v>69946.910526315798</v>
      </c>
      <c r="Z14" s="363">
        <f t="shared" si="10"/>
        <v>55957.528421052644</v>
      </c>
      <c r="AA14" s="410"/>
      <c r="AB14" s="411">
        <v>0</v>
      </c>
      <c r="AC14" s="411">
        <v>0</v>
      </c>
      <c r="AD14" s="411">
        <v>78179.494736842113</v>
      </c>
      <c r="AE14" s="411">
        <v>2671.5789473684213</v>
      </c>
      <c r="AF14" s="411">
        <v>1239.1578947368421</v>
      </c>
      <c r="AG14" s="411">
        <v>0</v>
      </c>
      <c r="AH14" s="363">
        <f t="shared" si="11"/>
        <v>82090.23157894738</v>
      </c>
      <c r="AI14" s="411">
        <f t="shared" si="12"/>
        <v>65672.18526315791</v>
      </c>
      <c r="AJ14" s="410"/>
      <c r="AK14" s="411">
        <v>5832.45</v>
      </c>
      <c r="AL14" s="411">
        <v>3841.5</v>
      </c>
      <c r="AM14" s="411">
        <v>4479.7263157894731</v>
      </c>
      <c r="AN14" s="410"/>
      <c r="AO14" s="411">
        <f t="shared" si="13"/>
        <v>4665.96</v>
      </c>
      <c r="AP14" s="411">
        <f t="shared" si="0"/>
        <v>3073.2000000000003</v>
      </c>
      <c r="AQ14" s="411">
        <f t="shared" si="0"/>
        <v>3583.7810526315789</v>
      </c>
      <c r="AR14" s="412"/>
      <c r="AS14" s="412">
        <v>0</v>
      </c>
      <c r="AT14" s="413">
        <f t="shared" si="14"/>
        <v>0</v>
      </c>
      <c r="AU14" s="412"/>
      <c r="AV14" s="412">
        <v>0</v>
      </c>
      <c r="AW14" s="412">
        <v>0</v>
      </c>
      <c r="AX14" s="412">
        <v>97125.6</v>
      </c>
      <c r="AY14" s="412">
        <v>3315</v>
      </c>
      <c r="AZ14" s="412">
        <v>1267.8421052631579</v>
      </c>
      <c r="BA14" s="412">
        <v>0</v>
      </c>
      <c r="BB14" s="412">
        <v>4898.3999999999996</v>
      </c>
      <c r="BC14" s="412">
        <f t="shared" si="15"/>
        <v>106606.84210526316</v>
      </c>
      <c r="BE14" s="205">
        <f t="shared" si="16"/>
        <v>0</v>
      </c>
      <c r="BF14" s="205">
        <f t="shared" si="1"/>
        <v>0</v>
      </c>
      <c r="BG14" s="205">
        <f t="shared" si="1"/>
        <v>-3311.0999999999913</v>
      </c>
      <c r="BH14" s="205">
        <f t="shared" si="1"/>
        <v>-195</v>
      </c>
      <c r="BI14" s="205">
        <f t="shared" si="1"/>
        <v>-894.94736842105249</v>
      </c>
      <c r="BJ14" s="205">
        <f t="shared" si="1"/>
        <v>0</v>
      </c>
      <c r="BK14" s="205">
        <f t="shared" si="17"/>
        <v>-934.05000000000018</v>
      </c>
      <c r="BL14" s="205">
        <f t="shared" si="18"/>
        <v>-5335.0973684210439</v>
      </c>
      <c r="BM14" s="215">
        <f t="shared" si="19"/>
        <v>0</v>
      </c>
      <c r="BN14" s="215"/>
      <c r="BO14" s="412">
        <f t="shared" si="2"/>
        <v>0</v>
      </c>
      <c r="BP14" s="412">
        <f t="shared" si="2"/>
        <v>0</v>
      </c>
      <c r="BQ14" s="412">
        <f t="shared" si="2"/>
        <v>16776.240000000005</v>
      </c>
      <c r="BR14" s="412">
        <f t="shared" si="2"/>
        <v>507</v>
      </c>
      <c r="BS14" s="412">
        <f t="shared" si="2"/>
        <v>-462.38947368421054</v>
      </c>
      <c r="BT14" s="412">
        <f t="shared" si="2"/>
        <v>0</v>
      </c>
      <c r="BU14" s="412">
        <f t="shared" si="3"/>
        <v>232.4399999999996</v>
      </c>
      <c r="BV14" s="412">
        <f t="shared" si="20"/>
        <v>17053.290526315792</v>
      </c>
      <c r="BW14" s="412">
        <f t="shared" si="4"/>
        <v>1.4551915228366852E-11</v>
      </c>
      <c r="BX14" s="412"/>
      <c r="BY14" s="412">
        <f t="shared" si="21"/>
        <v>106606.84210526317</v>
      </c>
      <c r="BZ14" s="412"/>
      <c r="CA14" s="412">
        <f>IFERROR(VLOOKUP(A14,'Actuals Summer'!A:S,19,FALSE),0)</f>
        <v>106606.84210526316</v>
      </c>
      <c r="CC14" s="412"/>
      <c r="CD14" s="412"/>
      <c r="CE14" s="412"/>
      <c r="CF14" s="412"/>
      <c r="CG14" s="412"/>
      <c r="CH14" s="412"/>
      <c r="CI14" s="412"/>
      <c r="CJ14" s="412"/>
      <c r="CK14" s="412"/>
      <c r="CL14" s="412"/>
      <c r="CM14" s="412"/>
      <c r="CN14" s="412"/>
      <c r="CO14" s="412"/>
      <c r="CQ14" s="363"/>
      <c r="CR14" s="363"/>
      <c r="CS14" s="363"/>
      <c r="CT14" s="363"/>
      <c r="CU14" s="363"/>
      <c r="CV14" s="363"/>
      <c r="CW14" s="363"/>
      <c r="CX14" s="363"/>
      <c r="CZ14" s="414"/>
      <c r="DA14" s="414"/>
      <c r="DB14" s="414"/>
      <c r="DC14" s="414"/>
      <c r="DD14" s="414"/>
      <c r="DE14" s="414"/>
      <c r="DF14" s="414"/>
      <c r="DG14" s="414"/>
      <c r="DI14" s="414">
        <f t="shared" si="22"/>
        <v>0</v>
      </c>
      <c r="DJ14" s="414"/>
      <c r="DK14" s="414"/>
      <c r="DL14" s="414"/>
      <c r="DM14" s="414"/>
      <c r="DN14" s="414"/>
      <c r="DO14" s="414"/>
      <c r="DP14" s="414"/>
      <c r="DQ14" s="414"/>
      <c r="DS14" s="414"/>
      <c r="DT14" s="414"/>
      <c r="DU14" s="414"/>
      <c r="DV14" s="414"/>
      <c r="DW14" s="414"/>
      <c r="DX14" s="414"/>
      <c r="DY14" s="414"/>
      <c r="DZ14" s="414"/>
      <c r="EB14" s="415">
        <f t="shared" si="5"/>
        <v>234893.5368421053</v>
      </c>
      <c r="EC14" s="415">
        <f t="shared" si="6"/>
        <v>0</v>
      </c>
      <c r="ED14" s="416">
        <f t="shared" si="23"/>
        <v>234893.5368421053</v>
      </c>
    </row>
    <row r="15" spans="1:232" hidden="1" x14ac:dyDescent="0.35">
      <c r="A15" s="17">
        <v>2300</v>
      </c>
      <c r="B15" s="4">
        <v>103324</v>
      </c>
      <c r="C15" s="4" t="s">
        <v>35</v>
      </c>
      <c r="D15" s="4" t="s">
        <v>36</v>
      </c>
      <c r="E15" s="15" t="s">
        <v>32</v>
      </c>
      <c r="F15" s="16" t="s">
        <v>27</v>
      </c>
      <c r="G15" s="215"/>
      <c r="H15" s="363">
        <v>0</v>
      </c>
      <c r="I15" s="410"/>
      <c r="J15" s="363">
        <v>0</v>
      </c>
      <c r="K15" s="363">
        <v>0</v>
      </c>
      <c r="L15" s="363">
        <v>83881.200000000012</v>
      </c>
      <c r="M15" s="363">
        <v>4290</v>
      </c>
      <c r="N15" s="363">
        <v>0</v>
      </c>
      <c r="O15" s="363">
        <v>0</v>
      </c>
      <c r="P15" s="215">
        <f t="shared" si="7"/>
        <v>88171.200000000012</v>
      </c>
      <c r="Q15" s="363">
        <f t="shared" si="8"/>
        <v>70536.960000000006</v>
      </c>
      <c r="R15" s="410"/>
      <c r="S15" s="363">
        <v>0</v>
      </c>
      <c r="T15" s="363">
        <v>0</v>
      </c>
      <c r="U15" s="363">
        <v>75051.600000000006</v>
      </c>
      <c r="V15" s="363">
        <v>1365</v>
      </c>
      <c r="W15" s="363">
        <v>522.0526315789474</v>
      </c>
      <c r="X15" s="363">
        <v>0</v>
      </c>
      <c r="Y15" s="363">
        <f t="shared" si="9"/>
        <v>76938.652631578952</v>
      </c>
      <c r="Z15" s="363">
        <f t="shared" si="10"/>
        <v>61550.922105263162</v>
      </c>
      <c r="AA15" s="410"/>
      <c r="AB15" s="411">
        <v>0</v>
      </c>
      <c r="AC15" s="411">
        <v>0</v>
      </c>
      <c r="AD15" s="411">
        <v>71101.515789473691</v>
      </c>
      <c r="AE15" s="411">
        <v>2842.105263157895</v>
      </c>
      <c r="AF15" s="411">
        <v>608.70914127423816</v>
      </c>
      <c r="AG15" s="411">
        <v>0</v>
      </c>
      <c r="AH15" s="363">
        <f t="shared" si="11"/>
        <v>74552.330193905829</v>
      </c>
      <c r="AI15" s="411">
        <f t="shared" si="12"/>
        <v>59641.864155124669</v>
      </c>
      <c r="AJ15" s="410"/>
      <c r="AK15" s="411">
        <v>2683.2</v>
      </c>
      <c r="AL15" s="411">
        <v>2394.6</v>
      </c>
      <c r="AM15" s="411">
        <v>2245.8315789473686</v>
      </c>
      <c r="AN15" s="410"/>
      <c r="AO15" s="411">
        <f t="shared" si="13"/>
        <v>2146.56</v>
      </c>
      <c r="AP15" s="411">
        <f t="shared" si="0"/>
        <v>1915.68</v>
      </c>
      <c r="AQ15" s="411">
        <f t="shared" si="0"/>
        <v>1796.665263157895</v>
      </c>
      <c r="AR15" s="412"/>
      <c r="AS15" s="412">
        <v>0</v>
      </c>
      <c r="AT15" s="413">
        <f t="shared" si="14"/>
        <v>0</v>
      </c>
      <c r="AU15" s="412"/>
      <c r="AV15" s="412">
        <v>0</v>
      </c>
      <c r="AW15" s="412">
        <v>0</v>
      </c>
      <c r="AX15" s="412">
        <v>83881.2</v>
      </c>
      <c r="AY15" s="412">
        <v>5070</v>
      </c>
      <c r="AZ15" s="412">
        <v>1939.0526315789475</v>
      </c>
      <c r="BA15" s="412">
        <v>0</v>
      </c>
      <c r="BB15" s="412">
        <v>2689.0499999999997</v>
      </c>
      <c r="BC15" s="412">
        <f t="shared" si="15"/>
        <v>93579.302631578947</v>
      </c>
      <c r="BE15" s="205">
        <f t="shared" si="16"/>
        <v>0</v>
      </c>
      <c r="BF15" s="205">
        <f t="shared" si="1"/>
        <v>0</v>
      </c>
      <c r="BG15" s="205">
        <f t="shared" si="1"/>
        <v>0</v>
      </c>
      <c r="BH15" s="205">
        <f t="shared" si="1"/>
        <v>780</v>
      </c>
      <c r="BI15" s="205">
        <f t="shared" si="1"/>
        <v>1939.0526315789475</v>
      </c>
      <c r="BJ15" s="205">
        <f t="shared" si="1"/>
        <v>0</v>
      </c>
      <c r="BK15" s="205">
        <f t="shared" si="17"/>
        <v>5.8499999999999091</v>
      </c>
      <c r="BL15" s="205">
        <f t="shared" si="18"/>
        <v>2724.9026315789474</v>
      </c>
      <c r="BM15" s="215">
        <f t="shared" si="19"/>
        <v>0</v>
      </c>
      <c r="BN15" s="215"/>
      <c r="BO15" s="412">
        <f t="shared" si="2"/>
        <v>0</v>
      </c>
      <c r="BP15" s="412">
        <f t="shared" si="2"/>
        <v>0</v>
      </c>
      <c r="BQ15" s="412">
        <f t="shared" si="2"/>
        <v>16776.239999999991</v>
      </c>
      <c r="BR15" s="412">
        <f t="shared" si="2"/>
        <v>1638</v>
      </c>
      <c r="BS15" s="412">
        <f t="shared" si="2"/>
        <v>1939.0526315789475</v>
      </c>
      <c r="BT15" s="412">
        <f t="shared" si="2"/>
        <v>0</v>
      </c>
      <c r="BU15" s="412">
        <f t="shared" si="3"/>
        <v>542.48999999999978</v>
      </c>
      <c r="BV15" s="412">
        <f t="shared" si="20"/>
        <v>20895.782631578935</v>
      </c>
      <c r="BW15" s="412">
        <f t="shared" si="4"/>
        <v>-1.4551915228366852E-11</v>
      </c>
      <c r="BX15" s="412"/>
      <c r="BY15" s="412">
        <f t="shared" si="21"/>
        <v>93579.302631578932</v>
      </c>
      <c r="BZ15" s="412"/>
      <c r="CA15" s="412">
        <f>IFERROR(VLOOKUP(A15,'Actuals Summer'!A:S,19,FALSE),0)</f>
        <v>93579.302631578947</v>
      </c>
      <c r="CC15" s="412"/>
      <c r="CD15" s="412"/>
      <c r="CE15" s="412"/>
      <c r="CF15" s="412"/>
      <c r="CG15" s="412"/>
      <c r="CH15" s="412"/>
      <c r="CI15" s="412"/>
      <c r="CJ15" s="412"/>
      <c r="CK15" s="412"/>
      <c r="CL15" s="412"/>
      <c r="CM15" s="412"/>
      <c r="CN15" s="412"/>
      <c r="CO15" s="412"/>
      <c r="CQ15" s="363"/>
      <c r="CR15" s="363"/>
      <c r="CS15" s="363"/>
      <c r="CT15" s="363"/>
      <c r="CU15" s="363"/>
      <c r="CV15" s="363"/>
      <c r="CW15" s="363"/>
      <c r="CX15" s="363"/>
      <c r="CZ15" s="414"/>
      <c r="DA15" s="414"/>
      <c r="DB15" s="414"/>
      <c r="DC15" s="414"/>
      <c r="DD15" s="414"/>
      <c r="DE15" s="414"/>
      <c r="DF15" s="414"/>
      <c r="DG15" s="414"/>
      <c r="DI15" s="414">
        <f t="shared" si="22"/>
        <v>0</v>
      </c>
      <c r="DJ15" s="414"/>
      <c r="DK15" s="414"/>
      <c r="DL15" s="414"/>
      <c r="DM15" s="414"/>
      <c r="DN15" s="414"/>
      <c r="DO15" s="414"/>
      <c r="DP15" s="414"/>
      <c r="DQ15" s="414"/>
      <c r="DS15" s="414"/>
      <c r="DT15" s="414"/>
      <c r="DU15" s="414"/>
      <c r="DV15" s="414"/>
      <c r="DW15" s="414"/>
      <c r="DX15" s="414"/>
      <c r="DY15" s="414"/>
      <c r="DZ15" s="414"/>
      <c r="EB15" s="415">
        <f t="shared" si="5"/>
        <v>218484.43415512465</v>
      </c>
      <c r="EC15" s="415">
        <f t="shared" si="6"/>
        <v>0</v>
      </c>
      <c r="ED15" s="416">
        <f t="shared" si="23"/>
        <v>218484.43415512465</v>
      </c>
    </row>
    <row r="16" spans="1:232" hidden="1" x14ac:dyDescent="0.35">
      <c r="A16" s="17">
        <v>7016</v>
      </c>
      <c r="B16" s="4">
        <v>103606</v>
      </c>
      <c r="C16" s="4" t="s">
        <v>893</v>
      </c>
      <c r="D16" s="4" t="s">
        <v>894</v>
      </c>
      <c r="E16" s="15" t="s">
        <v>895</v>
      </c>
      <c r="F16" s="16" t="s">
        <v>27</v>
      </c>
      <c r="G16" s="215"/>
      <c r="H16" s="363">
        <v>0</v>
      </c>
      <c r="I16" s="410"/>
      <c r="J16" s="363">
        <v>0</v>
      </c>
      <c r="K16" s="363">
        <v>0</v>
      </c>
      <c r="L16" s="363">
        <v>0</v>
      </c>
      <c r="M16" s="363">
        <v>0</v>
      </c>
      <c r="N16" s="363">
        <v>0</v>
      </c>
      <c r="O16" s="363">
        <v>0</v>
      </c>
      <c r="P16" s="215">
        <f t="shared" si="7"/>
        <v>0</v>
      </c>
      <c r="Q16" s="363">
        <f t="shared" si="8"/>
        <v>0</v>
      </c>
      <c r="R16" s="410"/>
      <c r="S16" s="363">
        <v>0</v>
      </c>
      <c r="T16" s="363">
        <v>0</v>
      </c>
      <c r="U16" s="363">
        <v>0</v>
      </c>
      <c r="V16" s="363">
        <v>0</v>
      </c>
      <c r="W16" s="363">
        <v>0</v>
      </c>
      <c r="X16" s="363">
        <v>0</v>
      </c>
      <c r="Y16" s="363">
        <f t="shared" si="9"/>
        <v>0</v>
      </c>
      <c r="Z16" s="363">
        <f t="shared" si="10"/>
        <v>0</v>
      </c>
      <c r="AA16" s="410"/>
      <c r="AB16" s="411">
        <v>0</v>
      </c>
      <c r="AC16" s="411">
        <v>0</v>
      </c>
      <c r="AD16" s="411">
        <v>0</v>
      </c>
      <c r="AE16" s="411">
        <v>0</v>
      </c>
      <c r="AF16" s="411">
        <v>0</v>
      </c>
      <c r="AG16" s="411">
        <v>0</v>
      </c>
      <c r="AH16" s="363">
        <f t="shared" si="11"/>
        <v>0</v>
      </c>
      <c r="AI16" s="411">
        <f t="shared" si="12"/>
        <v>0</v>
      </c>
      <c r="AJ16" s="410"/>
      <c r="AK16" s="411">
        <v>0</v>
      </c>
      <c r="AL16" s="411">
        <v>0</v>
      </c>
      <c r="AM16" s="411">
        <v>0</v>
      </c>
      <c r="AN16" s="410"/>
      <c r="AO16" s="411">
        <f t="shared" si="13"/>
        <v>0</v>
      </c>
      <c r="AP16" s="411">
        <f t="shared" si="0"/>
        <v>0</v>
      </c>
      <c r="AQ16" s="411">
        <f t="shared" si="0"/>
        <v>0</v>
      </c>
      <c r="AR16" s="412"/>
      <c r="AS16" s="412">
        <v>0</v>
      </c>
      <c r="AT16" s="413">
        <f t="shared" si="14"/>
        <v>0</v>
      </c>
      <c r="AU16" s="412"/>
      <c r="AV16" s="412">
        <v>0</v>
      </c>
      <c r="AW16" s="412">
        <v>0</v>
      </c>
      <c r="AX16" s="412">
        <v>0</v>
      </c>
      <c r="AY16" s="412">
        <v>0</v>
      </c>
      <c r="AZ16" s="412">
        <v>0</v>
      </c>
      <c r="BA16" s="412">
        <v>0</v>
      </c>
      <c r="BB16" s="412">
        <v>0</v>
      </c>
      <c r="BC16" s="412">
        <f t="shared" si="15"/>
        <v>0</v>
      </c>
      <c r="BE16" s="205">
        <f t="shared" si="16"/>
        <v>0</v>
      </c>
      <c r="BF16" s="205">
        <f t="shared" si="1"/>
        <v>0</v>
      </c>
      <c r="BG16" s="205">
        <f t="shared" si="1"/>
        <v>0</v>
      </c>
      <c r="BH16" s="205">
        <f t="shared" si="1"/>
        <v>0</v>
      </c>
      <c r="BI16" s="205">
        <f t="shared" si="1"/>
        <v>0</v>
      </c>
      <c r="BJ16" s="205">
        <f t="shared" si="1"/>
        <v>0</v>
      </c>
      <c r="BK16" s="205">
        <f t="shared" si="17"/>
        <v>0</v>
      </c>
      <c r="BL16" s="205">
        <f t="shared" si="18"/>
        <v>0</v>
      </c>
      <c r="BM16" s="215">
        <f t="shared" si="19"/>
        <v>0</v>
      </c>
      <c r="BN16" s="215"/>
      <c r="BO16" s="412">
        <f t="shared" si="2"/>
        <v>0</v>
      </c>
      <c r="BP16" s="412">
        <f t="shared" si="2"/>
        <v>0</v>
      </c>
      <c r="BQ16" s="412">
        <f t="shared" si="2"/>
        <v>0</v>
      </c>
      <c r="BR16" s="412">
        <f t="shared" si="2"/>
        <v>0</v>
      </c>
      <c r="BS16" s="412">
        <f t="shared" si="2"/>
        <v>0</v>
      </c>
      <c r="BT16" s="412">
        <f t="shared" si="2"/>
        <v>0</v>
      </c>
      <c r="BU16" s="412">
        <f t="shared" si="3"/>
        <v>0</v>
      </c>
      <c r="BV16" s="412">
        <f t="shared" si="20"/>
        <v>0</v>
      </c>
      <c r="BW16" s="412">
        <f t="shared" si="4"/>
        <v>0</v>
      </c>
      <c r="BX16" s="412"/>
      <c r="BY16" s="412">
        <f t="shared" si="21"/>
        <v>0</v>
      </c>
      <c r="BZ16" s="412"/>
      <c r="CA16" s="412">
        <f>IFERROR(VLOOKUP(A16,'Actuals Summer'!A:S,19,FALSE),0)</f>
        <v>0</v>
      </c>
      <c r="CC16" s="412"/>
      <c r="CD16" s="412"/>
      <c r="CE16" s="412"/>
      <c r="CF16" s="412"/>
      <c r="CG16" s="412"/>
      <c r="CH16" s="412"/>
      <c r="CI16" s="412"/>
      <c r="CJ16" s="412"/>
      <c r="CK16" s="412"/>
      <c r="CL16" s="412"/>
      <c r="CM16" s="412"/>
      <c r="CN16" s="412"/>
      <c r="CO16" s="412"/>
      <c r="CQ16" s="363"/>
      <c r="CR16" s="363"/>
      <c r="CS16" s="363"/>
      <c r="CT16" s="363"/>
      <c r="CU16" s="363"/>
      <c r="CV16" s="363"/>
      <c r="CW16" s="363"/>
      <c r="CX16" s="363"/>
      <c r="CZ16" s="414"/>
      <c r="DA16" s="414"/>
      <c r="DB16" s="414"/>
      <c r="DC16" s="414"/>
      <c r="DD16" s="414"/>
      <c r="DE16" s="414"/>
      <c r="DF16" s="414"/>
      <c r="DG16" s="414"/>
      <c r="DI16" s="414">
        <f t="shared" si="22"/>
        <v>0</v>
      </c>
      <c r="DJ16" s="414"/>
      <c r="DK16" s="414"/>
      <c r="DL16" s="414"/>
      <c r="DM16" s="414"/>
      <c r="DN16" s="414"/>
      <c r="DO16" s="414"/>
      <c r="DP16" s="414"/>
      <c r="DQ16" s="414"/>
      <c r="DS16" s="414"/>
      <c r="DT16" s="414"/>
      <c r="DU16" s="414"/>
      <c r="DV16" s="414"/>
      <c r="DW16" s="414"/>
      <c r="DX16" s="414"/>
      <c r="DY16" s="414"/>
      <c r="DZ16" s="414"/>
      <c r="EB16" s="415">
        <f t="shared" si="5"/>
        <v>0</v>
      </c>
      <c r="EC16" s="415">
        <f t="shared" si="6"/>
        <v>0</v>
      </c>
      <c r="ED16" s="416">
        <f t="shared" si="23"/>
        <v>0</v>
      </c>
    </row>
    <row r="17" spans="1:134" hidden="1" x14ac:dyDescent="0.35">
      <c r="A17" s="17">
        <v>2017</v>
      </c>
      <c r="B17" s="4">
        <v>103164</v>
      </c>
      <c r="C17" s="4" t="s">
        <v>896</v>
      </c>
      <c r="D17" s="4" t="s">
        <v>897</v>
      </c>
      <c r="E17" s="15" t="s">
        <v>32</v>
      </c>
      <c r="F17" s="16" t="s">
        <v>27</v>
      </c>
      <c r="G17" s="215"/>
      <c r="H17" s="363">
        <v>0</v>
      </c>
      <c r="I17" s="410"/>
      <c r="J17" s="363">
        <v>0</v>
      </c>
      <c r="K17" s="363">
        <v>0</v>
      </c>
      <c r="L17" s="363">
        <v>0</v>
      </c>
      <c r="M17" s="363">
        <v>0</v>
      </c>
      <c r="N17" s="363">
        <v>0</v>
      </c>
      <c r="O17" s="363">
        <v>0</v>
      </c>
      <c r="P17" s="215">
        <f t="shared" si="7"/>
        <v>0</v>
      </c>
      <c r="Q17" s="363">
        <f t="shared" si="8"/>
        <v>0</v>
      </c>
      <c r="R17" s="410"/>
      <c r="S17" s="363">
        <v>0</v>
      </c>
      <c r="T17" s="363">
        <v>0</v>
      </c>
      <c r="U17" s="363">
        <v>0</v>
      </c>
      <c r="V17" s="363">
        <v>0</v>
      </c>
      <c r="W17" s="363">
        <v>0</v>
      </c>
      <c r="X17" s="363">
        <v>0</v>
      </c>
      <c r="Y17" s="363">
        <f t="shared" si="9"/>
        <v>0</v>
      </c>
      <c r="Z17" s="363">
        <f t="shared" si="10"/>
        <v>0</v>
      </c>
      <c r="AA17" s="410"/>
      <c r="AB17" s="411">
        <v>0</v>
      </c>
      <c r="AC17" s="411">
        <v>0</v>
      </c>
      <c r="AD17" s="411">
        <v>0</v>
      </c>
      <c r="AE17" s="411">
        <v>0</v>
      </c>
      <c r="AF17" s="411">
        <v>0</v>
      </c>
      <c r="AG17" s="411">
        <v>0</v>
      </c>
      <c r="AH17" s="363">
        <f t="shared" si="11"/>
        <v>0</v>
      </c>
      <c r="AI17" s="411">
        <f t="shared" si="12"/>
        <v>0</v>
      </c>
      <c r="AJ17" s="410"/>
      <c r="AK17" s="411">
        <v>0</v>
      </c>
      <c r="AL17" s="411">
        <v>0</v>
      </c>
      <c r="AM17" s="411">
        <v>0</v>
      </c>
      <c r="AN17" s="410"/>
      <c r="AO17" s="411">
        <f t="shared" si="13"/>
        <v>0</v>
      </c>
      <c r="AP17" s="411">
        <f t="shared" si="0"/>
        <v>0</v>
      </c>
      <c r="AQ17" s="411">
        <f t="shared" si="0"/>
        <v>0</v>
      </c>
      <c r="AR17" s="412"/>
      <c r="AS17" s="412">
        <v>0</v>
      </c>
      <c r="AT17" s="413">
        <f t="shared" si="14"/>
        <v>0</v>
      </c>
      <c r="AU17" s="412"/>
      <c r="AV17" s="412">
        <v>0</v>
      </c>
      <c r="AW17" s="412">
        <v>0</v>
      </c>
      <c r="AX17" s="412">
        <v>0</v>
      </c>
      <c r="AY17" s="412">
        <v>0</v>
      </c>
      <c r="AZ17" s="412">
        <v>0</v>
      </c>
      <c r="BA17" s="412">
        <v>0</v>
      </c>
      <c r="BB17" s="412">
        <v>0</v>
      </c>
      <c r="BC17" s="412">
        <f t="shared" si="15"/>
        <v>0</v>
      </c>
      <c r="BE17" s="205">
        <f t="shared" si="16"/>
        <v>0</v>
      </c>
      <c r="BF17" s="205">
        <f t="shared" si="1"/>
        <v>0</v>
      </c>
      <c r="BG17" s="205">
        <f t="shared" si="1"/>
        <v>0</v>
      </c>
      <c r="BH17" s="205">
        <f t="shared" si="1"/>
        <v>0</v>
      </c>
      <c r="BI17" s="205">
        <f t="shared" si="1"/>
        <v>0</v>
      </c>
      <c r="BJ17" s="205">
        <f t="shared" si="1"/>
        <v>0</v>
      </c>
      <c r="BK17" s="205">
        <f t="shared" si="17"/>
        <v>0</v>
      </c>
      <c r="BL17" s="205">
        <f t="shared" si="18"/>
        <v>0</v>
      </c>
      <c r="BM17" s="215">
        <f t="shared" si="19"/>
        <v>0</v>
      </c>
      <c r="BN17" s="215"/>
      <c r="BO17" s="412">
        <f t="shared" si="2"/>
        <v>0</v>
      </c>
      <c r="BP17" s="412">
        <f t="shared" si="2"/>
        <v>0</v>
      </c>
      <c r="BQ17" s="412">
        <f t="shared" si="2"/>
        <v>0</v>
      </c>
      <c r="BR17" s="412">
        <f t="shared" si="2"/>
        <v>0</v>
      </c>
      <c r="BS17" s="412">
        <f t="shared" si="2"/>
        <v>0</v>
      </c>
      <c r="BT17" s="412">
        <f t="shared" si="2"/>
        <v>0</v>
      </c>
      <c r="BU17" s="412">
        <f t="shared" si="3"/>
        <v>0</v>
      </c>
      <c r="BV17" s="412">
        <f t="shared" si="20"/>
        <v>0</v>
      </c>
      <c r="BW17" s="412">
        <f t="shared" si="4"/>
        <v>0</v>
      </c>
      <c r="BX17" s="412"/>
      <c r="BY17" s="412">
        <f t="shared" si="21"/>
        <v>0</v>
      </c>
      <c r="BZ17" s="412"/>
      <c r="CA17" s="412">
        <f>IFERROR(VLOOKUP(A17,'Actuals Summer'!A:S,19,FALSE),0)</f>
        <v>0</v>
      </c>
      <c r="CC17" s="412"/>
      <c r="CD17" s="412"/>
      <c r="CE17" s="412"/>
      <c r="CF17" s="412"/>
      <c r="CG17" s="412"/>
      <c r="CH17" s="412"/>
      <c r="CI17" s="412"/>
      <c r="CJ17" s="412"/>
      <c r="CK17" s="412"/>
      <c r="CL17" s="412"/>
      <c r="CM17" s="412"/>
      <c r="CN17" s="412"/>
      <c r="CO17" s="412"/>
      <c r="CQ17" s="363"/>
      <c r="CR17" s="363"/>
      <c r="CS17" s="363"/>
      <c r="CT17" s="363"/>
      <c r="CU17" s="363"/>
      <c r="CV17" s="363"/>
      <c r="CW17" s="363"/>
      <c r="CX17" s="363"/>
      <c r="CZ17" s="414"/>
      <c r="DA17" s="414"/>
      <c r="DB17" s="414"/>
      <c r="DC17" s="414"/>
      <c r="DD17" s="414"/>
      <c r="DE17" s="414"/>
      <c r="DF17" s="414"/>
      <c r="DG17" s="414"/>
      <c r="DI17" s="414">
        <f t="shared" si="22"/>
        <v>0</v>
      </c>
      <c r="DJ17" s="414"/>
      <c r="DK17" s="414"/>
      <c r="DL17" s="414"/>
      <c r="DM17" s="414"/>
      <c r="DN17" s="414"/>
      <c r="DO17" s="414"/>
      <c r="DP17" s="414"/>
      <c r="DQ17" s="414"/>
      <c r="DS17" s="414"/>
      <c r="DT17" s="414"/>
      <c r="DU17" s="414"/>
      <c r="DV17" s="414"/>
      <c r="DW17" s="414"/>
      <c r="DX17" s="414"/>
      <c r="DY17" s="414"/>
      <c r="DZ17" s="414"/>
      <c r="EB17" s="415">
        <f t="shared" si="5"/>
        <v>0</v>
      </c>
      <c r="EC17" s="415">
        <f t="shared" si="6"/>
        <v>0</v>
      </c>
      <c r="ED17" s="416">
        <f t="shared" si="23"/>
        <v>0</v>
      </c>
    </row>
    <row r="18" spans="1:134" hidden="1" x14ac:dyDescent="0.35">
      <c r="A18" s="17">
        <v>2016</v>
      </c>
      <c r="B18" s="4">
        <v>103163</v>
      </c>
      <c r="C18" s="4" t="s">
        <v>898</v>
      </c>
      <c r="D18" s="4" t="s">
        <v>899</v>
      </c>
      <c r="E18" s="15" t="s">
        <v>32</v>
      </c>
      <c r="F18" s="16" t="s">
        <v>27</v>
      </c>
      <c r="G18" s="215"/>
      <c r="H18" s="363">
        <v>0</v>
      </c>
      <c r="I18" s="410"/>
      <c r="J18" s="363">
        <v>0</v>
      </c>
      <c r="K18" s="363">
        <v>0</v>
      </c>
      <c r="L18" s="363">
        <v>0</v>
      </c>
      <c r="M18" s="363">
        <v>0</v>
      </c>
      <c r="N18" s="363">
        <v>0</v>
      </c>
      <c r="O18" s="363">
        <v>0</v>
      </c>
      <c r="P18" s="215">
        <f t="shared" si="7"/>
        <v>0</v>
      </c>
      <c r="Q18" s="363">
        <f t="shared" si="8"/>
        <v>0</v>
      </c>
      <c r="R18" s="410"/>
      <c r="S18" s="363">
        <v>0</v>
      </c>
      <c r="T18" s="363">
        <v>0</v>
      </c>
      <c r="U18" s="363">
        <v>0</v>
      </c>
      <c r="V18" s="363">
        <v>0</v>
      </c>
      <c r="W18" s="363">
        <v>0</v>
      </c>
      <c r="X18" s="363">
        <v>0</v>
      </c>
      <c r="Y18" s="363">
        <f t="shared" si="9"/>
        <v>0</v>
      </c>
      <c r="Z18" s="363">
        <f t="shared" si="10"/>
        <v>0</v>
      </c>
      <c r="AA18" s="410"/>
      <c r="AB18" s="411">
        <v>0</v>
      </c>
      <c r="AC18" s="411">
        <v>0</v>
      </c>
      <c r="AD18" s="411">
        <v>0</v>
      </c>
      <c r="AE18" s="411">
        <v>0</v>
      </c>
      <c r="AF18" s="411">
        <v>0</v>
      </c>
      <c r="AG18" s="411">
        <v>0</v>
      </c>
      <c r="AH18" s="363">
        <f t="shared" si="11"/>
        <v>0</v>
      </c>
      <c r="AI18" s="411">
        <f t="shared" si="12"/>
        <v>0</v>
      </c>
      <c r="AJ18" s="410"/>
      <c r="AK18" s="411">
        <v>0</v>
      </c>
      <c r="AL18" s="411">
        <v>0</v>
      </c>
      <c r="AM18" s="411">
        <v>0</v>
      </c>
      <c r="AN18" s="410"/>
      <c r="AO18" s="411">
        <f t="shared" si="13"/>
        <v>0</v>
      </c>
      <c r="AP18" s="411">
        <f t="shared" si="0"/>
        <v>0</v>
      </c>
      <c r="AQ18" s="411">
        <f t="shared" si="0"/>
        <v>0</v>
      </c>
      <c r="AR18" s="412"/>
      <c r="AS18" s="412">
        <v>0</v>
      </c>
      <c r="AT18" s="413">
        <f t="shared" si="14"/>
        <v>0</v>
      </c>
      <c r="AU18" s="412"/>
      <c r="AV18" s="412">
        <v>0</v>
      </c>
      <c r="AW18" s="412">
        <v>0</v>
      </c>
      <c r="AX18" s="412">
        <v>0</v>
      </c>
      <c r="AY18" s="412">
        <v>0</v>
      </c>
      <c r="AZ18" s="412">
        <v>0</v>
      </c>
      <c r="BA18" s="412">
        <v>0</v>
      </c>
      <c r="BB18" s="412">
        <v>0</v>
      </c>
      <c r="BC18" s="412">
        <f t="shared" si="15"/>
        <v>0</v>
      </c>
      <c r="BE18" s="205">
        <f t="shared" si="16"/>
        <v>0</v>
      </c>
      <c r="BF18" s="205">
        <f t="shared" si="1"/>
        <v>0</v>
      </c>
      <c r="BG18" s="205">
        <f t="shared" si="1"/>
        <v>0</v>
      </c>
      <c r="BH18" s="205">
        <f t="shared" si="1"/>
        <v>0</v>
      </c>
      <c r="BI18" s="205">
        <f t="shared" si="1"/>
        <v>0</v>
      </c>
      <c r="BJ18" s="205">
        <f t="shared" si="1"/>
        <v>0</v>
      </c>
      <c r="BK18" s="205">
        <f t="shared" si="17"/>
        <v>0</v>
      </c>
      <c r="BL18" s="205">
        <f t="shared" si="18"/>
        <v>0</v>
      </c>
      <c r="BM18" s="215">
        <f t="shared" si="19"/>
        <v>0</v>
      </c>
      <c r="BN18" s="215"/>
      <c r="BO18" s="412">
        <f t="shared" si="2"/>
        <v>0</v>
      </c>
      <c r="BP18" s="412">
        <f t="shared" si="2"/>
        <v>0</v>
      </c>
      <c r="BQ18" s="412">
        <f t="shared" si="2"/>
        <v>0</v>
      </c>
      <c r="BR18" s="412">
        <f t="shared" si="2"/>
        <v>0</v>
      </c>
      <c r="BS18" s="412">
        <f t="shared" si="2"/>
        <v>0</v>
      </c>
      <c r="BT18" s="412">
        <f t="shared" si="2"/>
        <v>0</v>
      </c>
      <c r="BU18" s="412">
        <f t="shared" si="3"/>
        <v>0</v>
      </c>
      <c r="BV18" s="412">
        <f t="shared" si="20"/>
        <v>0</v>
      </c>
      <c r="BW18" s="412">
        <f t="shared" si="4"/>
        <v>0</v>
      </c>
      <c r="BX18" s="412"/>
      <c r="BY18" s="412">
        <f t="shared" si="21"/>
        <v>0</v>
      </c>
      <c r="BZ18" s="412"/>
      <c r="CA18" s="412">
        <f>IFERROR(VLOOKUP(A18,'Actuals Summer'!A:S,19,FALSE),0)</f>
        <v>0</v>
      </c>
      <c r="CC18" s="412"/>
      <c r="CD18" s="412"/>
      <c r="CE18" s="412"/>
      <c r="CF18" s="412"/>
      <c r="CG18" s="412"/>
      <c r="CH18" s="412"/>
      <c r="CI18" s="412"/>
      <c r="CJ18" s="412"/>
      <c r="CK18" s="412"/>
      <c r="CL18" s="412"/>
      <c r="CM18" s="412"/>
      <c r="CN18" s="412"/>
      <c r="CO18" s="412"/>
      <c r="CQ18" s="363"/>
      <c r="CR18" s="363"/>
      <c r="CS18" s="363"/>
      <c r="CT18" s="363"/>
      <c r="CU18" s="363"/>
      <c r="CV18" s="363"/>
      <c r="CW18" s="363"/>
      <c r="CX18" s="363"/>
      <c r="CZ18" s="414"/>
      <c r="DA18" s="414"/>
      <c r="DB18" s="414"/>
      <c r="DC18" s="414"/>
      <c r="DD18" s="414"/>
      <c r="DE18" s="414"/>
      <c r="DF18" s="414"/>
      <c r="DG18" s="414"/>
      <c r="DI18" s="414">
        <f t="shared" si="22"/>
        <v>0</v>
      </c>
      <c r="DJ18" s="414"/>
      <c r="DK18" s="414"/>
      <c r="DL18" s="414"/>
      <c r="DM18" s="414"/>
      <c r="DN18" s="414"/>
      <c r="DO18" s="414"/>
      <c r="DP18" s="414"/>
      <c r="DQ18" s="414"/>
      <c r="DS18" s="414"/>
      <c r="DT18" s="414"/>
      <c r="DU18" s="414"/>
      <c r="DV18" s="414"/>
      <c r="DW18" s="414"/>
      <c r="DX18" s="414"/>
      <c r="DY18" s="414"/>
      <c r="DZ18" s="414"/>
      <c r="EB18" s="415">
        <f t="shared" si="5"/>
        <v>0</v>
      </c>
      <c r="EC18" s="415">
        <f t="shared" si="6"/>
        <v>0</v>
      </c>
      <c r="ED18" s="416">
        <f t="shared" si="23"/>
        <v>0</v>
      </c>
    </row>
    <row r="19" spans="1:134" hidden="1" x14ac:dyDescent="0.35">
      <c r="A19" s="17">
        <v>2239</v>
      </c>
      <c r="B19" s="4">
        <v>103289</v>
      </c>
      <c r="C19" s="4" t="s">
        <v>37</v>
      </c>
      <c r="D19" s="4" t="s">
        <v>38</v>
      </c>
      <c r="E19" s="15" t="s">
        <v>32</v>
      </c>
      <c r="F19" s="16" t="s">
        <v>27</v>
      </c>
      <c r="G19" s="215"/>
      <c r="H19" s="363">
        <v>0</v>
      </c>
      <c r="I19" s="410"/>
      <c r="J19" s="363">
        <v>0</v>
      </c>
      <c r="K19" s="363">
        <v>0</v>
      </c>
      <c r="L19" s="363">
        <v>51873.9</v>
      </c>
      <c r="M19" s="363">
        <v>0</v>
      </c>
      <c r="N19" s="363">
        <v>0</v>
      </c>
      <c r="O19" s="363">
        <v>320.89473684210526</v>
      </c>
      <c r="P19" s="215">
        <f t="shared" si="7"/>
        <v>52194.794736842108</v>
      </c>
      <c r="Q19" s="363">
        <f t="shared" si="8"/>
        <v>41755.835789473691</v>
      </c>
      <c r="R19" s="410"/>
      <c r="S19" s="363">
        <v>0</v>
      </c>
      <c r="T19" s="363">
        <v>0</v>
      </c>
      <c r="U19" s="363">
        <v>55185.000000000007</v>
      </c>
      <c r="V19" s="363">
        <v>2340</v>
      </c>
      <c r="W19" s="363">
        <v>894.94736842105272</v>
      </c>
      <c r="X19" s="363">
        <v>641.78947368421052</v>
      </c>
      <c r="Y19" s="363">
        <f t="shared" si="9"/>
        <v>59061.736842105274</v>
      </c>
      <c r="Z19" s="363">
        <f t="shared" si="10"/>
        <v>47249.389473684219</v>
      </c>
      <c r="AA19" s="410"/>
      <c r="AB19" s="411">
        <v>0</v>
      </c>
      <c r="AC19" s="411">
        <v>0</v>
      </c>
      <c r="AD19" s="411">
        <v>45041.684210526313</v>
      </c>
      <c r="AE19" s="411">
        <v>1364.2105263157894</v>
      </c>
      <c r="AF19" s="411">
        <v>521.7506925207756</v>
      </c>
      <c r="AG19" s="411">
        <v>280.62049861495842</v>
      </c>
      <c r="AH19" s="363">
        <f t="shared" si="11"/>
        <v>47208.265927977838</v>
      </c>
      <c r="AI19" s="411">
        <f t="shared" si="12"/>
        <v>37766.612742382269</v>
      </c>
      <c r="AJ19" s="410"/>
      <c r="AK19" s="411">
        <v>2341.9499999999998</v>
      </c>
      <c r="AL19" s="411">
        <v>2382.8999999999996</v>
      </c>
      <c r="AM19" s="411">
        <v>2025.2842105263157</v>
      </c>
      <c r="AN19" s="410"/>
      <c r="AO19" s="411">
        <f t="shared" si="13"/>
        <v>1873.56</v>
      </c>
      <c r="AP19" s="411">
        <f t="shared" si="0"/>
        <v>1906.3199999999997</v>
      </c>
      <c r="AQ19" s="411">
        <f t="shared" si="0"/>
        <v>1620.2273684210527</v>
      </c>
      <c r="AR19" s="412"/>
      <c r="AS19" s="412">
        <v>0</v>
      </c>
      <c r="AT19" s="413">
        <f t="shared" si="14"/>
        <v>0</v>
      </c>
      <c r="AU19" s="412"/>
      <c r="AV19" s="412">
        <v>0</v>
      </c>
      <c r="AW19" s="412">
        <v>0</v>
      </c>
      <c r="AX19" s="412">
        <v>61807.200000000004</v>
      </c>
      <c r="AY19" s="412">
        <v>3120</v>
      </c>
      <c r="AZ19" s="412">
        <v>1193.2631578947369</v>
      </c>
      <c r="BA19" s="412">
        <v>962.67</v>
      </c>
      <c r="BB19" s="412">
        <v>2573.9999999999995</v>
      </c>
      <c r="BC19" s="412">
        <f t="shared" si="15"/>
        <v>69657.133157894743</v>
      </c>
      <c r="BE19" s="205">
        <f t="shared" si="16"/>
        <v>0</v>
      </c>
      <c r="BF19" s="205">
        <f t="shared" si="1"/>
        <v>0</v>
      </c>
      <c r="BG19" s="205">
        <f t="shared" si="1"/>
        <v>9933.3000000000029</v>
      </c>
      <c r="BH19" s="205">
        <f t="shared" si="1"/>
        <v>3120</v>
      </c>
      <c r="BI19" s="205">
        <f t="shared" si="1"/>
        <v>1193.2631578947369</v>
      </c>
      <c r="BJ19" s="205">
        <f t="shared" si="1"/>
        <v>641.77526315789464</v>
      </c>
      <c r="BK19" s="205">
        <f t="shared" si="17"/>
        <v>232.04999999999973</v>
      </c>
      <c r="BL19" s="205">
        <f t="shared" si="18"/>
        <v>15120.388421052634</v>
      </c>
      <c r="BM19" s="215">
        <f t="shared" si="19"/>
        <v>0</v>
      </c>
      <c r="BN19" s="215"/>
      <c r="BO19" s="412">
        <f t="shared" si="2"/>
        <v>0</v>
      </c>
      <c r="BP19" s="412">
        <f t="shared" si="2"/>
        <v>0</v>
      </c>
      <c r="BQ19" s="412">
        <f t="shared" si="2"/>
        <v>20308.080000000002</v>
      </c>
      <c r="BR19" s="412">
        <f t="shared" si="2"/>
        <v>3120</v>
      </c>
      <c r="BS19" s="412">
        <f t="shared" si="2"/>
        <v>1193.2631578947369</v>
      </c>
      <c r="BT19" s="412">
        <f t="shared" si="2"/>
        <v>705.95421052631582</v>
      </c>
      <c r="BU19" s="412">
        <f t="shared" si="3"/>
        <v>700.4399999999996</v>
      </c>
      <c r="BV19" s="412">
        <f t="shared" si="20"/>
        <v>26027.737368421054</v>
      </c>
      <c r="BW19" s="412">
        <f t="shared" si="4"/>
        <v>0</v>
      </c>
      <c r="BX19" s="412"/>
      <c r="BY19" s="412">
        <f t="shared" si="21"/>
        <v>69657.133157894743</v>
      </c>
      <c r="BZ19" s="412"/>
      <c r="CA19" s="412">
        <f>IFERROR(VLOOKUP(A19,'Actuals Summer'!A:S,19,FALSE),0)</f>
        <v>69657.133157894743</v>
      </c>
      <c r="CC19" s="412"/>
      <c r="CD19" s="412"/>
      <c r="CE19" s="412"/>
      <c r="CF19" s="412"/>
      <c r="CG19" s="412"/>
      <c r="CH19" s="412"/>
      <c r="CI19" s="412"/>
      <c r="CJ19" s="412"/>
      <c r="CK19" s="412"/>
      <c r="CL19" s="412"/>
      <c r="CM19" s="412"/>
      <c r="CN19" s="412"/>
      <c r="CO19" s="412"/>
      <c r="CQ19" s="363"/>
      <c r="CR19" s="363"/>
      <c r="CS19" s="363"/>
      <c r="CT19" s="363"/>
      <c r="CU19" s="363"/>
      <c r="CV19" s="363"/>
      <c r="CW19" s="363"/>
      <c r="CX19" s="363"/>
      <c r="CZ19" s="414"/>
      <c r="DA19" s="414"/>
      <c r="DB19" s="414"/>
      <c r="DC19" s="414"/>
      <c r="DD19" s="414"/>
      <c r="DE19" s="414"/>
      <c r="DF19" s="414"/>
      <c r="DG19" s="414"/>
      <c r="DI19" s="414">
        <f t="shared" si="22"/>
        <v>0</v>
      </c>
      <c r="DJ19" s="414"/>
      <c r="DK19" s="414"/>
      <c r="DL19" s="414"/>
      <c r="DM19" s="414"/>
      <c r="DN19" s="414"/>
      <c r="DO19" s="414"/>
      <c r="DP19" s="414"/>
      <c r="DQ19" s="414"/>
      <c r="DS19" s="414"/>
      <c r="DT19" s="414"/>
      <c r="DU19" s="414"/>
      <c r="DV19" s="414"/>
      <c r="DW19" s="414"/>
      <c r="DX19" s="414"/>
      <c r="DY19" s="414"/>
      <c r="DZ19" s="414"/>
      <c r="EB19" s="415">
        <f t="shared" si="5"/>
        <v>156499.08476454293</v>
      </c>
      <c r="EC19" s="415">
        <f t="shared" si="6"/>
        <v>1700.5979778393353</v>
      </c>
      <c r="ED19" s="416">
        <f t="shared" si="23"/>
        <v>158199.68274238225</v>
      </c>
    </row>
    <row r="20" spans="1:134" hidden="1" x14ac:dyDescent="0.35">
      <c r="A20" s="17">
        <v>2241</v>
      </c>
      <c r="B20" s="4">
        <v>103291</v>
      </c>
      <c r="C20" s="4" t="s">
        <v>900</v>
      </c>
      <c r="D20" s="4" t="s">
        <v>901</v>
      </c>
      <c r="E20" s="15" t="s">
        <v>32</v>
      </c>
      <c r="F20" s="16" t="s">
        <v>27</v>
      </c>
      <c r="G20" s="215"/>
      <c r="H20" s="363">
        <v>0</v>
      </c>
      <c r="I20" s="410"/>
      <c r="J20" s="363">
        <v>0</v>
      </c>
      <c r="K20" s="363">
        <v>0</v>
      </c>
      <c r="L20" s="363">
        <v>0</v>
      </c>
      <c r="M20" s="363">
        <v>0</v>
      </c>
      <c r="N20" s="363">
        <v>0</v>
      </c>
      <c r="O20" s="363">
        <v>0</v>
      </c>
      <c r="P20" s="215">
        <f t="shared" si="7"/>
        <v>0</v>
      </c>
      <c r="Q20" s="363">
        <f t="shared" si="8"/>
        <v>0</v>
      </c>
      <c r="R20" s="410"/>
      <c r="S20" s="363">
        <v>0</v>
      </c>
      <c r="T20" s="363">
        <v>0</v>
      </c>
      <c r="U20" s="363">
        <v>0</v>
      </c>
      <c r="V20" s="363">
        <v>0</v>
      </c>
      <c r="W20" s="363">
        <v>0</v>
      </c>
      <c r="X20" s="363">
        <v>0</v>
      </c>
      <c r="Y20" s="363">
        <f t="shared" si="9"/>
        <v>0</v>
      </c>
      <c r="Z20" s="363">
        <f t="shared" si="10"/>
        <v>0</v>
      </c>
      <c r="AA20" s="410"/>
      <c r="AB20" s="411">
        <v>0</v>
      </c>
      <c r="AC20" s="411">
        <v>0</v>
      </c>
      <c r="AD20" s="411">
        <v>0</v>
      </c>
      <c r="AE20" s="411">
        <v>0</v>
      </c>
      <c r="AF20" s="411">
        <v>0</v>
      </c>
      <c r="AG20" s="411">
        <v>0</v>
      </c>
      <c r="AH20" s="363">
        <f t="shared" si="11"/>
        <v>0</v>
      </c>
      <c r="AI20" s="411">
        <f t="shared" si="12"/>
        <v>0</v>
      </c>
      <c r="AJ20" s="410"/>
      <c r="AK20" s="411">
        <v>0</v>
      </c>
      <c r="AL20" s="411">
        <v>0</v>
      </c>
      <c r="AM20" s="411">
        <v>0</v>
      </c>
      <c r="AN20" s="410"/>
      <c r="AO20" s="411">
        <f t="shared" si="13"/>
        <v>0</v>
      </c>
      <c r="AP20" s="411">
        <f t="shared" si="0"/>
        <v>0</v>
      </c>
      <c r="AQ20" s="411">
        <f t="shared" si="0"/>
        <v>0</v>
      </c>
      <c r="AR20" s="412"/>
      <c r="AS20" s="412">
        <v>0</v>
      </c>
      <c r="AT20" s="413">
        <f t="shared" si="14"/>
        <v>0</v>
      </c>
      <c r="AU20" s="412"/>
      <c r="AV20" s="412">
        <v>0</v>
      </c>
      <c r="AW20" s="412">
        <v>0</v>
      </c>
      <c r="AX20" s="412">
        <v>0</v>
      </c>
      <c r="AY20" s="412">
        <v>0</v>
      </c>
      <c r="AZ20" s="412">
        <v>0</v>
      </c>
      <c r="BA20" s="412">
        <v>0</v>
      </c>
      <c r="BB20" s="412">
        <v>0</v>
      </c>
      <c r="BC20" s="412">
        <f t="shared" si="15"/>
        <v>0</v>
      </c>
      <c r="BE20" s="205">
        <f t="shared" si="16"/>
        <v>0</v>
      </c>
      <c r="BF20" s="205">
        <f t="shared" si="1"/>
        <v>0</v>
      </c>
      <c r="BG20" s="205">
        <f t="shared" si="1"/>
        <v>0</v>
      </c>
      <c r="BH20" s="205">
        <f t="shared" si="1"/>
        <v>0</v>
      </c>
      <c r="BI20" s="205">
        <f t="shared" si="1"/>
        <v>0</v>
      </c>
      <c r="BJ20" s="205">
        <f t="shared" si="1"/>
        <v>0</v>
      </c>
      <c r="BK20" s="205">
        <f t="shared" si="17"/>
        <v>0</v>
      </c>
      <c r="BL20" s="205">
        <f t="shared" si="18"/>
        <v>0</v>
      </c>
      <c r="BM20" s="215">
        <f t="shared" si="19"/>
        <v>0</v>
      </c>
      <c r="BN20" s="215"/>
      <c r="BO20" s="412">
        <f t="shared" si="2"/>
        <v>0</v>
      </c>
      <c r="BP20" s="412">
        <f t="shared" si="2"/>
        <v>0</v>
      </c>
      <c r="BQ20" s="412">
        <f t="shared" si="2"/>
        <v>0</v>
      </c>
      <c r="BR20" s="412">
        <f t="shared" si="2"/>
        <v>0</v>
      </c>
      <c r="BS20" s="412">
        <f t="shared" si="2"/>
        <v>0</v>
      </c>
      <c r="BT20" s="412">
        <f t="shared" si="2"/>
        <v>0</v>
      </c>
      <c r="BU20" s="412">
        <f t="shared" si="3"/>
        <v>0</v>
      </c>
      <c r="BV20" s="412">
        <f t="shared" si="20"/>
        <v>0</v>
      </c>
      <c r="BW20" s="412">
        <f t="shared" si="4"/>
        <v>0</v>
      </c>
      <c r="BX20" s="412"/>
      <c r="BY20" s="412">
        <f t="shared" si="21"/>
        <v>0</v>
      </c>
      <c r="BZ20" s="412"/>
      <c r="CA20" s="412">
        <f>IFERROR(VLOOKUP(A20,'Actuals Summer'!A:S,19,FALSE),0)</f>
        <v>0</v>
      </c>
      <c r="CC20" s="412"/>
      <c r="CD20" s="412"/>
      <c r="CE20" s="412"/>
      <c r="CF20" s="412"/>
      <c r="CG20" s="412"/>
      <c r="CH20" s="412"/>
      <c r="CI20" s="412"/>
      <c r="CJ20" s="412"/>
      <c r="CK20" s="412"/>
      <c r="CL20" s="412"/>
      <c r="CM20" s="412"/>
      <c r="CN20" s="412"/>
      <c r="CO20" s="412"/>
      <c r="CQ20" s="363"/>
      <c r="CR20" s="363"/>
      <c r="CS20" s="363"/>
      <c r="CT20" s="363"/>
      <c r="CU20" s="363"/>
      <c r="CV20" s="363"/>
      <c r="CW20" s="363"/>
      <c r="CX20" s="363"/>
      <c r="CZ20" s="414"/>
      <c r="DA20" s="414"/>
      <c r="DB20" s="414"/>
      <c r="DC20" s="414"/>
      <c r="DD20" s="414"/>
      <c r="DE20" s="414"/>
      <c r="DF20" s="414"/>
      <c r="DG20" s="414"/>
      <c r="DI20" s="414">
        <f t="shared" si="22"/>
        <v>0</v>
      </c>
      <c r="DJ20" s="414"/>
      <c r="DK20" s="414"/>
      <c r="DL20" s="414"/>
      <c r="DM20" s="414"/>
      <c r="DN20" s="414"/>
      <c r="DO20" s="414"/>
      <c r="DP20" s="414"/>
      <c r="DQ20" s="414"/>
      <c r="DS20" s="414"/>
      <c r="DT20" s="414"/>
      <c r="DU20" s="414"/>
      <c r="DV20" s="414"/>
      <c r="DW20" s="414"/>
      <c r="DX20" s="414"/>
      <c r="DY20" s="414"/>
      <c r="DZ20" s="414"/>
      <c r="EB20" s="415">
        <f t="shared" si="5"/>
        <v>0</v>
      </c>
      <c r="EC20" s="415">
        <f t="shared" si="6"/>
        <v>0</v>
      </c>
      <c r="ED20" s="416">
        <f t="shared" si="23"/>
        <v>0</v>
      </c>
    </row>
    <row r="21" spans="1:134" hidden="1" x14ac:dyDescent="0.35">
      <c r="A21" s="17">
        <v>5413</v>
      </c>
      <c r="B21" s="4">
        <v>103560</v>
      </c>
      <c r="C21" s="4" t="s">
        <v>902</v>
      </c>
      <c r="D21" s="4" t="s">
        <v>903</v>
      </c>
      <c r="E21" s="15" t="s">
        <v>904</v>
      </c>
      <c r="F21" s="16" t="s">
        <v>27</v>
      </c>
      <c r="G21" s="215"/>
      <c r="H21" s="363">
        <v>0</v>
      </c>
      <c r="I21" s="410"/>
      <c r="J21" s="363">
        <v>0</v>
      </c>
      <c r="K21" s="363">
        <v>0</v>
      </c>
      <c r="L21" s="363">
        <v>0</v>
      </c>
      <c r="M21" s="363">
        <v>0</v>
      </c>
      <c r="N21" s="363">
        <v>0</v>
      </c>
      <c r="O21" s="363">
        <v>0</v>
      </c>
      <c r="P21" s="215">
        <f t="shared" si="7"/>
        <v>0</v>
      </c>
      <c r="Q21" s="363">
        <f t="shared" si="8"/>
        <v>0</v>
      </c>
      <c r="R21" s="410"/>
      <c r="S21" s="363">
        <v>0</v>
      </c>
      <c r="T21" s="363">
        <v>0</v>
      </c>
      <c r="U21" s="363">
        <v>0</v>
      </c>
      <c r="V21" s="363">
        <v>0</v>
      </c>
      <c r="W21" s="363">
        <v>0</v>
      </c>
      <c r="X21" s="363">
        <v>0</v>
      </c>
      <c r="Y21" s="363">
        <f t="shared" si="9"/>
        <v>0</v>
      </c>
      <c r="Z21" s="363">
        <f t="shared" si="10"/>
        <v>0</v>
      </c>
      <c r="AA21" s="410"/>
      <c r="AB21" s="411">
        <v>0</v>
      </c>
      <c r="AC21" s="411">
        <v>0</v>
      </c>
      <c r="AD21" s="411">
        <v>0</v>
      </c>
      <c r="AE21" s="411">
        <v>0</v>
      </c>
      <c r="AF21" s="411">
        <v>0</v>
      </c>
      <c r="AG21" s="411">
        <v>0</v>
      </c>
      <c r="AH21" s="363">
        <f t="shared" si="11"/>
        <v>0</v>
      </c>
      <c r="AI21" s="411">
        <f t="shared" si="12"/>
        <v>0</v>
      </c>
      <c r="AJ21" s="410"/>
      <c r="AK21" s="411">
        <v>0</v>
      </c>
      <c r="AL21" s="411">
        <v>0</v>
      </c>
      <c r="AM21" s="411">
        <v>0</v>
      </c>
      <c r="AN21" s="410"/>
      <c r="AO21" s="411">
        <f t="shared" si="13"/>
        <v>0</v>
      </c>
      <c r="AP21" s="411">
        <f t="shared" si="0"/>
        <v>0</v>
      </c>
      <c r="AQ21" s="411">
        <f t="shared" si="0"/>
        <v>0</v>
      </c>
      <c r="AR21" s="412"/>
      <c r="AS21" s="412">
        <v>0</v>
      </c>
      <c r="AT21" s="413">
        <f t="shared" si="14"/>
        <v>0</v>
      </c>
      <c r="AU21" s="412"/>
      <c r="AV21" s="412">
        <v>0</v>
      </c>
      <c r="AW21" s="412">
        <v>0</v>
      </c>
      <c r="AX21" s="412">
        <v>0</v>
      </c>
      <c r="AY21" s="412">
        <v>0</v>
      </c>
      <c r="AZ21" s="412">
        <v>0</v>
      </c>
      <c r="BA21" s="412">
        <v>0</v>
      </c>
      <c r="BB21" s="412">
        <v>0</v>
      </c>
      <c r="BC21" s="412">
        <f t="shared" si="15"/>
        <v>0</v>
      </c>
      <c r="BE21" s="205">
        <f t="shared" si="16"/>
        <v>0</v>
      </c>
      <c r="BF21" s="205">
        <f t="shared" si="1"/>
        <v>0</v>
      </c>
      <c r="BG21" s="205">
        <f t="shared" si="1"/>
        <v>0</v>
      </c>
      <c r="BH21" s="205">
        <f t="shared" si="1"/>
        <v>0</v>
      </c>
      <c r="BI21" s="205">
        <f t="shared" si="1"/>
        <v>0</v>
      </c>
      <c r="BJ21" s="205">
        <f t="shared" si="1"/>
        <v>0</v>
      </c>
      <c r="BK21" s="205">
        <f t="shared" si="17"/>
        <v>0</v>
      </c>
      <c r="BL21" s="205">
        <f t="shared" si="18"/>
        <v>0</v>
      </c>
      <c r="BM21" s="215">
        <f t="shared" si="19"/>
        <v>0</v>
      </c>
      <c r="BN21" s="215"/>
      <c r="BO21" s="412">
        <f t="shared" si="2"/>
        <v>0</v>
      </c>
      <c r="BP21" s="412">
        <f t="shared" si="2"/>
        <v>0</v>
      </c>
      <c r="BQ21" s="412">
        <f t="shared" si="2"/>
        <v>0</v>
      </c>
      <c r="BR21" s="412">
        <f t="shared" si="2"/>
        <v>0</v>
      </c>
      <c r="BS21" s="412">
        <f t="shared" si="2"/>
        <v>0</v>
      </c>
      <c r="BT21" s="412">
        <f t="shared" si="2"/>
        <v>0</v>
      </c>
      <c r="BU21" s="412">
        <f t="shared" si="3"/>
        <v>0</v>
      </c>
      <c r="BV21" s="412">
        <f t="shared" si="20"/>
        <v>0</v>
      </c>
      <c r="BW21" s="412">
        <f t="shared" si="4"/>
        <v>0</v>
      </c>
      <c r="BX21" s="412"/>
      <c r="BY21" s="412">
        <f t="shared" si="21"/>
        <v>0</v>
      </c>
      <c r="BZ21" s="412"/>
      <c r="CA21" s="412">
        <f>IFERROR(VLOOKUP(A21,'Actuals Summer'!A:S,19,FALSE),0)</f>
        <v>0</v>
      </c>
      <c r="CC21" s="412"/>
      <c r="CD21" s="412"/>
      <c r="CE21" s="412"/>
      <c r="CF21" s="412"/>
      <c r="CG21" s="412"/>
      <c r="CH21" s="412"/>
      <c r="CI21" s="412"/>
      <c r="CJ21" s="412"/>
      <c r="CK21" s="412"/>
      <c r="CL21" s="412"/>
      <c r="CM21" s="412"/>
      <c r="CN21" s="412"/>
      <c r="CO21" s="412"/>
      <c r="CQ21" s="363"/>
      <c r="CR21" s="363"/>
      <c r="CS21" s="363"/>
      <c r="CT21" s="363"/>
      <c r="CU21" s="363"/>
      <c r="CV21" s="363"/>
      <c r="CW21" s="363"/>
      <c r="CX21" s="363"/>
      <c r="CZ21" s="414"/>
      <c r="DA21" s="414"/>
      <c r="DB21" s="414"/>
      <c r="DC21" s="414"/>
      <c r="DD21" s="414"/>
      <c r="DE21" s="414"/>
      <c r="DF21" s="414"/>
      <c r="DG21" s="414"/>
      <c r="DI21" s="414">
        <f t="shared" si="22"/>
        <v>0</v>
      </c>
      <c r="DJ21" s="414"/>
      <c r="DK21" s="414"/>
      <c r="DL21" s="414"/>
      <c r="DM21" s="414"/>
      <c r="DN21" s="414"/>
      <c r="DO21" s="414"/>
      <c r="DP21" s="414"/>
      <c r="DQ21" s="414"/>
      <c r="DS21" s="414"/>
      <c r="DT21" s="414"/>
      <c r="DU21" s="414"/>
      <c r="DV21" s="414"/>
      <c r="DW21" s="414"/>
      <c r="DX21" s="414"/>
      <c r="DY21" s="414"/>
      <c r="DZ21" s="414"/>
      <c r="EB21" s="415">
        <f t="shared" si="5"/>
        <v>0</v>
      </c>
      <c r="EC21" s="415">
        <f t="shared" si="6"/>
        <v>0</v>
      </c>
      <c r="ED21" s="416">
        <f t="shared" si="23"/>
        <v>0</v>
      </c>
    </row>
    <row r="22" spans="1:134" hidden="1" x14ac:dyDescent="0.35">
      <c r="A22" s="17">
        <v>1025</v>
      </c>
      <c r="B22" s="4">
        <v>103138</v>
      </c>
      <c r="C22" s="4" t="s">
        <v>39</v>
      </c>
      <c r="D22" s="4" t="s">
        <v>40</v>
      </c>
      <c r="E22" s="15" t="s">
        <v>26</v>
      </c>
      <c r="F22" s="16" t="s">
        <v>27</v>
      </c>
      <c r="G22" s="215"/>
      <c r="H22" s="363">
        <v>297176.81517682609</v>
      </c>
      <c r="I22" s="410"/>
      <c r="J22" s="363">
        <v>0</v>
      </c>
      <c r="K22" s="363">
        <v>84631.95</v>
      </c>
      <c r="L22" s="363">
        <v>122510.7</v>
      </c>
      <c r="M22" s="363">
        <v>19890</v>
      </c>
      <c r="N22" s="363">
        <v>5295.105263157895</v>
      </c>
      <c r="O22" s="363">
        <v>1283.578947368421</v>
      </c>
      <c r="P22" s="215">
        <f t="shared" si="7"/>
        <v>233611.33421052631</v>
      </c>
      <c r="Q22" s="363">
        <f t="shared" si="8"/>
        <v>186889.06736842106</v>
      </c>
      <c r="R22" s="410"/>
      <c r="S22" s="363">
        <v>0</v>
      </c>
      <c r="T22" s="363">
        <v>77994.149999999994</v>
      </c>
      <c r="U22" s="363">
        <v>81673.8</v>
      </c>
      <c r="V22" s="363">
        <v>15405</v>
      </c>
      <c r="W22" s="363">
        <v>3505.2105263157896</v>
      </c>
      <c r="X22" s="363">
        <v>962.68421052631584</v>
      </c>
      <c r="Y22" s="363">
        <f t="shared" si="9"/>
        <v>179540.84473684212</v>
      </c>
      <c r="Z22" s="363">
        <f t="shared" si="10"/>
        <v>143632.67578947369</v>
      </c>
      <c r="AA22" s="410"/>
      <c r="AB22" s="411">
        <v>0</v>
      </c>
      <c r="AC22" s="411">
        <v>67237.957894736843</v>
      </c>
      <c r="AD22" s="411">
        <v>89118.189473684222</v>
      </c>
      <c r="AE22" s="411">
        <v>13187.368421052633</v>
      </c>
      <c r="AF22" s="411">
        <v>3652.2548476454294</v>
      </c>
      <c r="AG22" s="411">
        <v>935.40166204986156</v>
      </c>
      <c r="AH22" s="363">
        <f t="shared" si="11"/>
        <v>174131.17229916903</v>
      </c>
      <c r="AI22" s="411">
        <f t="shared" si="12"/>
        <v>139304.93783933524</v>
      </c>
      <c r="AJ22" s="410"/>
      <c r="AK22" s="411">
        <v>12409.799999999997</v>
      </c>
      <c r="AL22" s="411">
        <v>8944.65</v>
      </c>
      <c r="AM22" s="411">
        <v>8235.8526315789477</v>
      </c>
      <c r="AN22" s="410"/>
      <c r="AO22" s="411">
        <f t="shared" si="13"/>
        <v>9927.8399999999983</v>
      </c>
      <c r="AP22" s="411">
        <f t="shared" si="0"/>
        <v>7155.72</v>
      </c>
      <c r="AQ22" s="411">
        <f t="shared" si="0"/>
        <v>6588.6821052631585</v>
      </c>
      <c r="AR22" s="412"/>
      <c r="AS22" s="412">
        <v>292909.30368287954</v>
      </c>
      <c r="AT22" s="413">
        <f t="shared" si="14"/>
        <v>-4267.511493946542</v>
      </c>
      <c r="AU22" s="412"/>
      <c r="AV22" s="412">
        <v>0</v>
      </c>
      <c r="AW22" s="412">
        <v>84631.95</v>
      </c>
      <c r="AX22" s="412">
        <v>121407</v>
      </c>
      <c r="AY22" s="412">
        <v>19305</v>
      </c>
      <c r="AZ22" s="412">
        <v>5593.4210526315792</v>
      </c>
      <c r="BA22" s="412">
        <v>3529.79</v>
      </c>
      <c r="BB22" s="412">
        <v>10980.449999999999</v>
      </c>
      <c r="BC22" s="412">
        <f t="shared" si="15"/>
        <v>538356.91473551118</v>
      </c>
      <c r="BE22" s="205">
        <f t="shared" si="16"/>
        <v>0</v>
      </c>
      <c r="BF22" s="205">
        <f t="shared" si="1"/>
        <v>0</v>
      </c>
      <c r="BG22" s="205">
        <f t="shared" si="1"/>
        <v>-1103.6999999999971</v>
      </c>
      <c r="BH22" s="205">
        <f t="shared" si="1"/>
        <v>-585</v>
      </c>
      <c r="BI22" s="205">
        <f t="shared" si="1"/>
        <v>298.31578947368416</v>
      </c>
      <c r="BJ22" s="205">
        <f t="shared" si="1"/>
        <v>2246.2110526315792</v>
      </c>
      <c r="BK22" s="205">
        <f t="shared" si="17"/>
        <v>-1429.3499999999985</v>
      </c>
      <c r="BL22" s="205">
        <f t="shared" si="18"/>
        <v>-4841.0346518412744</v>
      </c>
      <c r="BM22" s="215">
        <f t="shared" si="19"/>
        <v>0</v>
      </c>
      <c r="BN22" s="215"/>
      <c r="BO22" s="412">
        <f t="shared" si="2"/>
        <v>0</v>
      </c>
      <c r="BP22" s="412">
        <f t="shared" si="2"/>
        <v>16926.39</v>
      </c>
      <c r="BQ22" s="412">
        <f t="shared" si="2"/>
        <v>23398.440000000002</v>
      </c>
      <c r="BR22" s="412">
        <f t="shared" si="2"/>
        <v>3393</v>
      </c>
      <c r="BS22" s="412">
        <f t="shared" si="2"/>
        <v>1357.3368421052628</v>
      </c>
      <c r="BT22" s="412">
        <f t="shared" si="2"/>
        <v>2502.9268421052629</v>
      </c>
      <c r="BU22" s="412">
        <f t="shared" si="3"/>
        <v>1052.6100000000006</v>
      </c>
      <c r="BV22" s="412">
        <f t="shared" si="20"/>
        <v>48630.70368421053</v>
      </c>
      <c r="BW22" s="412">
        <f t="shared" si="4"/>
        <v>4267.511493946542</v>
      </c>
      <c r="BX22" s="412"/>
      <c r="BY22" s="412">
        <f t="shared" si="21"/>
        <v>245447.6110526316</v>
      </c>
      <c r="BZ22" s="412"/>
      <c r="CA22" s="412">
        <f>IFERROR(VLOOKUP(A22,'Actuals Summer'!A:S,19,FALSE),0)</f>
        <v>245447.6110526316</v>
      </c>
      <c r="CC22" s="412"/>
      <c r="CD22" s="412"/>
      <c r="CE22" s="412"/>
      <c r="CF22" s="412"/>
      <c r="CG22" s="412"/>
      <c r="CH22" s="412"/>
      <c r="CI22" s="412"/>
      <c r="CJ22" s="412"/>
      <c r="CK22" s="412"/>
      <c r="CL22" s="412"/>
      <c r="CM22" s="412"/>
      <c r="CN22" s="412"/>
      <c r="CO22" s="412"/>
      <c r="CQ22" s="363"/>
      <c r="CR22" s="363"/>
      <c r="CS22" s="363"/>
      <c r="CT22" s="363"/>
      <c r="CU22" s="363"/>
      <c r="CV22" s="363"/>
      <c r="CW22" s="363"/>
      <c r="CX22" s="363"/>
      <c r="CZ22" s="414"/>
      <c r="DA22" s="414"/>
      <c r="DB22" s="414"/>
      <c r="DC22" s="414"/>
      <c r="DD22" s="414"/>
      <c r="DE22" s="414"/>
      <c r="DF22" s="414"/>
      <c r="DG22" s="414"/>
      <c r="DI22" s="414">
        <f t="shared" si="22"/>
        <v>0</v>
      </c>
      <c r="DJ22" s="414"/>
      <c r="DK22" s="414"/>
      <c r="DL22" s="414"/>
      <c r="DM22" s="414"/>
      <c r="DN22" s="414"/>
      <c r="DO22" s="414"/>
      <c r="DP22" s="414"/>
      <c r="DQ22" s="414"/>
      <c r="DS22" s="414"/>
      <c r="DT22" s="414"/>
      <c r="DU22" s="414"/>
      <c r="DV22" s="414"/>
      <c r="DW22" s="414"/>
      <c r="DX22" s="414"/>
      <c r="DY22" s="414"/>
      <c r="DZ22" s="414"/>
      <c r="EB22" s="415">
        <f t="shared" si="5"/>
        <v>829990.67177152226</v>
      </c>
      <c r="EC22" s="415">
        <f t="shared" si="6"/>
        <v>5048.2586980609422</v>
      </c>
      <c r="ED22" s="416">
        <f t="shared" si="23"/>
        <v>835038.93046958325</v>
      </c>
    </row>
    <row r="23" spans="1:134" hidden="1" x14ac:dyDescent="0.35">
      <c r="A23" s="17">
        <v>2402</v>
      </c>
      <c r="B23" s="4">
        <v>103342</v>
      </c>
      <c r="C23" s="4" t="s">
        <v>41</v>
      </c>
      <c r="D23" s="4" t="s">
        <v>42</v>
      </c>
      <c r="E23" s="15" t="s">
        <v>32</v>
      </c>
      <c r="F23" s="16" t="s">
        <v>27</v>
      </c>
      <c r="G23" s="215"/>
      <c r="H23" s="363">
        <v>0</v>
      </c>
      <c r="I23" s="410"/>
      <c r="J23" s="363">
        <v>0</v>
      </c>
      <c r="K23" s="363">
        <v>0</v>
      </c>
      <c r="L23" s="363">
        <v>57392.400000000009</v>
      </c>
      <c r="M23" s="363">
        <v>585</v>
      </c>
      <c r="N23" s="363">
        <v>0</v>
      </c>
      <c r="O23" s="363">
        <v>0</v>
      </c>
      <c r="P23" s="215">
        <f t="shared" si="7"/>
        <v>57977.400000000009</v>
      </c>
      <c r="Q23" s="363">
        <f t="shared" si="8"/>
        <v>46381.920000000013</v>
      </c>
      <c r="R23" s="410"/>
      <c r="S23" s="363">
        <v>0</v>
      </c>
      <c r="T23" s="363">
        <v>0</v>
      </c>
      <c r="U23" s="363">
        <v>56288.7</v>
      </c>
      <c r="V23" s="363">
        <v>780</v>
      </c>
      <c r="W23" s="363">
        <v>0</v>
      </c>
      <c r="X23" s="363">
        <v>0</v>
      </c>
      <c r="Y23" s="363">
        <f t="shared" si="9"/>
        <v>57068.7</v>
      </c>
      <c r="Z23" s="363">
        <f t="shared" si="10"/>
        <v>45654.96</v>
      </c>
      <c r="AA23" s="410"/>
      <c r="AB23" s="411">
        <v>0</v>
      </c>
      <c r="AC23" s="411">
        <v>0</v>
      </c>
      <c r="AD23" s="411">
        <v>49867.578947368427</v>
      </c>
      <c r="AE23" s="411">
        <v>568.42105263157896</v>
      </c>
      <c r="AF23" s="411">
        <v>0</v>
      </c>
      <c r="AG23" s="411">
        <v>0</v>
      </c>
      <c r="AH23" s="363">
        <f t="shared" si="11"/>
        <v>50436.000000000007</v>
      </c>
      <c r="AI23" s="411">
        <f t="shared" si="12"/>
        <v>40348.80000000001</v>
      </c>
      <c r="AJ23" s="410"/>
      <c r="AK23" s="411">
        <v>181.35</v>
      </c>
      <c r="AL23" s="411">
        <v>15.6</v>
      </c>
      <c r="AM23" s="411">
        <v>114.82105263157895</v>
      </c>
      <c r="AN23" s="410"/>
      <c r="AO23" s="411">
        <f t="shared" si="13"/>
        <v>145.08000000000001</v>
      </c>
      <c r="AP23" s="411">
        <f t="shared" si="0"/>
        <v>12.48</v>
      </c>
      <c r="AQ23" s="411">
        <f t="shared" si="0"/>
        <v>91.856842105263169</v>
      </c>
      <c r="AR23" s="412"/>
      <c r="AS23" s="412">
        <v>0</v>
      </c>
      <c r="AT23" s="413">
        <f t="shared" si="14"/>
        <v>0</v>
      </c>
      <c r="AU23" s="412"/>
      <c r="AV23" s="412">
        <v>0</v>
      </c>
      <c r="AW23" s="412">
        <v>0</v>
      </c>
      <c r="AX23" s="412">
        <v>55185</v>
      </c>
      <c r="AY23" s="412">
        <v>1365</v>
      </c>
      <c r="AZ23" s="412">
        <v>0</v>
      </c>
      <c r="BA23" s="412">
        <v>0</v>
      </c>
      <c r="BB23" s="412">
        <v>15.6</v>
      </c>
      <c r="BC23" s="412">
        <f t="shared" si="15"/>
        <v>56565.599999999999</v>
      </c>
      <c r="BE23" s="205">
        <f t="shared" si="16"/>
        <v>0</v>
      </c>
      <c r="BF23" s="205">
        <f t="shared" si="1"/>
        <v>0</v>
      </c>
      <c r="BG23" s="205">
        <f t="shared" si="1"/>
        <v>-2207.4000000000087</v>
      </c>
      <c r="BH23" s="205">
        <f t="shared" si="1"/>
        <v>780</v>
      </c>
      <c r="BI23" s="205">
        <f t="shared" si="1"/>
        <v>0</v>
      </c>
      <c r="BJ23" s="205">
        <f t="shared" si="1"/>
        <v>0</v>
      </c>
      <c r="BK23" s="205">
        <f t="shared" si="17"/>
        <v>-165.75</v>
      </c>
      <c r="BL23" s="205">
        <f t="shared" si="18"/>
        <v>-1593.1500000000087</v>
      </c>
      <c r="BM23" s="215">
        <f t="shared" si="19"/>
        <v>0</v>
      </c>
      <c r="BN23" s="215"/>
      <c r="BO23" s="412">
        <f t="shared" si="2"/>
        <v>0</v>
      </c>
      <c r="BP23" s="412">
        <f t="shared" si="2"/>
        <v>0</v>
      </c>
      <c r="BQ23" s="412">
        <f t="shared" si="2"/>
        <v>9271.0799999999872</v>
      </c>
      <c r="BR23" s="412">
        <f t="shared" si="2"/>
        <v>897</v>
      </c>
      <c r="BS23" s="412">
        <f t="shared" si="2"/>
        <v>0</v>
      </c>
      <c r="BT23" s="412">
        <f t="shared" si="2"/>
        <v>0</v>
      </c>
      <c r="BU23" s="412">
        <f t="shared" si="3"/>
        <v>-129.48000000000002</v>
      </c>
      <c r="BV23" s="412">
        <f t="shared" si="20"/>
        <v>10038.599999999988</v>
      </c>
      <c r="BW23" s="412">
        <f t="shared" si="4"/>
        <v>7.2759576141834259E-12</v>
      </c>
      <c r="BX23" s="412"/>
      <c r="BY23" s="412">
        <f t="shared" si="21"/>
        <v>56565.600000000006</v>
      </c>
      <c r="BZ23" s="412"/>
      <c r="CA23" s="412">
        <f>IFERROR(VLOOKUP(A23,'Actuals Summer'!A:S,19,FALSE),0)</f>
        <v>56565.599999999999</v>
      </c>
      <c r="CC23" s="412"/>
      <c r="CD23" s="412"/>
      <c r="CE23" s="412"/>
      <c r="CF23" s="412"/>
      <c r="CG23" s="412"/>
      <c r="CH23" s="412"/>
      <c r="CI23" s="412"/>
      <c r="CJ23" s="412"/>
      <c r="CK23" s="412"/>
      <c r="CL23" s="412"/>
      <c r="CM23" s="412"/>
      <c r="CN23" s="412"/>
      <c r="CO23" s="412"/>
      <c r="CQ23" s="363"/>
      <c r="CR23" s="363"/>
      <c r="CS23" s="363"/>
      <c r="CT23" s="363"/>
      <c r="CU23" s="363"/>
      <c r="CV23" s="363"/>
      <c r="CW23" s="363"/>
      <c r="CX23" s="363"/>
      <c r="CZ23" s="414"/>
      <c r="DA23" s="414"/>
      <c r="DB23" s="414"/>
      <c r="DC23" s="414"/>
      <c r="DD23" s="414"/>
      <c r="DE23" s="414"/>
      <c r="DF23" s="414"/>
      <c r="DG23" s="414"/>
      <c r="DI23" s="414">
        <f t="shared" si="22"/>
        <v>0</v>
      </c>
      <c r="DJ23" s="414"/>
      <c r="DK23" s="414"/>
      <c r="DL23" s="414"/>
      <c r="DM23" s="414"/>
      <c r="DN23" s="414"/>
      <c r="DO23" s="414"/>
      <c r="DP23" s="414"/>
      <c r="DQ23" s="414"/>
      <c r="DS23" s="414"/>
      <c r="DT23" s="414"/>
      <c r="DU23" s="414"/>
      <c r="DV23" s="414"/>
      <c r="DW23" s="414"/>
      <c r="DX23" s="414"/>
      <c r="DY23" s="414"/>
      <c r="DZ23" s="414"/>
      <c r="EB23" s="415">
        <f t="shared" si="5"/>
        <v>142673.69684210527</v>
      </c>
      <c r="EC23" s="415">
        <f t="shared" si="6"/>
        <v>0</v>
      </c>
      <c r="ED23" s="416">
        <f t="shared" si="23"/>
        <v>142673.69684210527</v>
      </c>
    </row>
    <row r="24" spans="1:134" hidden="1" x14ac:dyDescent="0.35">
      <c r="A24" s="17">
        <v>2401</v>
      </c>
      <c r="B24" s="4">
        <v>103341</v>
      </c>
      <c r="C24" s="4" t="s">
        <v>905</v>
      </c>
      <c r="D24" s="4" t="s">
        <v>906</v>
      </c>
      <c r="E24" s="15" t="s">
        <v>32</v>
      </c>
      <c r="F24" s="16" t="s">
        <v>27</v>
      </c>
      <c r="G24" s="215"/>
      <c r="H24" s="363">
        <v>0</v>
      </c>
      <c r="I24" s="410"/>
      <c r="J24" s="363">
        <v>0</v>
      </c>
      <c r="K24" s="363">
        <v>0</v>
      </c>
      <c r="L24" s="363">
        <v>0</v>
      </c>
      <c r="M24" s="363">
        <v>0</v>
      </c>
      <c r="N24" s="363">
        <v>0</v>
      </c>
      <c r="O24" s="363">
        <v>0</v>
      </c>
      <c r="P24" s="215">
        <f t="shared" si="7"/>
        <v>0</v>
      </c>
      <c r="Q24" s="363">
        <f t="shared" si="8"/>
        <v>0</v>
      </c>
      <c r="R24" s="410"/>
      <c r="S24" s="363">
        <v>0</v>
      </c>
      <c r="T24" s="363">
        <v>0</v>
      </c>
      <c r="U24" s="363">
        <v>0</v>
      </c>
      <c r="V24" s="363">
        <v>0</v>
      </c>
      <c r="W24" s="363">
        <v>0</v>
      </c>
      <c r="X24" s="363">
        <v>0</v>
      </c>
      <c r="Y24" s="363">
        <f t="shared" si="9"/>
        <v>0</v>
      </c>
      <c r="Z24" s="363">
        <f t="shared" si="10"/>
        <v>0</v>
      </c>
      <c r="AA24" s="410"/>
      <c r="AB24" s="411">
        <v>0</v>
      </c>
      <c r="AC24" s="411">
        <v>0</v>
      </c>
      <c r="AD24" s="411">
        <v>0</v>
      </c>
      <c r="AE24" s="411">
        <v>0</v>
      </c>
      <c r="AF24" s="411">
        <v>0</v>
      </c>
      <c r="AG24" s="411">
        <v>0</v>
      </c>
      <c r="AH24" s="363">
        <f t="shared" si="11"/>
        <v>0</v>
      </c>
      <c r="AI24" s="411">
        <f t="shared" si="12"/>
        <v>0</v>
      </c>
      <c r="AJ24" s="410"/>
      <c r="AK24" s="411">
        <v>0</v>
      </c>
      <c r="AL24" s="411">
        <v>0</v>
      </c>
      <c r="AM24" s="411">
        <v>0</v>
      </c>
      <c r="AN24" s="410"/>
      <c r="AO24" s="411">
        <f t="shared" si="13"/>
        <v>0</v>
      </c>
      <c r="AP24" s="411">
        <f t="shared" si="13"/>
        <v>0</v>
      </c>
      <c r="AQ24" s="411">
        <f t="shared" si="13"/>
        <v>0</v>
      </c>
      <c r="AR24" s="412"/>
      <c r="AS24" s="412">
        <v>0</v>
      </c>
      <c r="AT24" s="413">
        <f t="shared" si="14"/>
        <v>0</v>
      </c>
      <c r="AU24" s="412"/>
      <c r="AV24" s="412">
        <v>0</v>
      </c>
      <c r="AW24" s="412">
        <v>0</v>
      </c>
      <c r="AX24" s="412">
        <v>0</v>
      </c>
      <c r="AY24" s="412">
        <v>0</v>
      </c>
      <c r="AZ24" s="412">
        <v>0</v>
      </c>
      <c r="BA24" s="412">
        <v>0</v>
      </c>
      <c r="BB24" s="412">
        <v>0</v>
      </c>
      <c r="BC24" s="412">
        <f t="shared" si="15"/>
        <v>0</v>
      </c>
      <c r="BE24" s="205">
        <f t="shared" si="16"/>
        <v>0</v>
      </c>
      <c r="BF24" s="205">
        <f t="shared" si="16"/>
        <v>0</v>
      </c>
      <c r="BG24" s="205">
        <f t="shared" si="16"/>
        <v>0</v>
      </c>
      <c r="BH24" s="205">
        <f t="shared" si="16"/>
        <v>0</v>
      </c>
      <c r="BI24" s="205">
        <f t="shared" si="16"/>
        <v>0</v>
      </c>
      <c r="BJ24" s="205">
        <f t="shared" si="16"/>
        <v>0</v>
      </c>
      <c r="BK24" s="205">
        <f t="shared" si="17"/>
        <v>0</v>
      </c>
      <c r="BL24" s="205">
        <f t="shared" si="18"/>
        <v>0</v>
      </c>
      <c r="BM24" s="215">
        <f t="shared" si="19"/>
        <v>0</v>
      </c>
      <c r="BN24" s="215"/>
      <c r="BO24" s="412">
        <f t="shared" si="2"/>
        <v>0</v>
      </c>
      <c r="BP24" s="412">
        <f t="shared" si="2"/>
        <v>0</v>
      </c>
      <c r="BQ24" s="412">
        <f t="shared" si="2"/>
        <v>0</v>
      </c>
      <c r="BR24" s="412">
        <f t="shared" si="2"/>
        <v>0</v>
      </c>
      <c r="BS24" s="412">
        <f t="shared" si="2"/>
        <v>0</v>
      </c>
      <c r="BT24" s="412">
        <f t="shared" si="2"/>
        <v>0</v>
      </c>
      <c r="BU24" s="412">
        <f t="shared" si="3"/>
        <v>0</v>
      </c>
      <c r="BV24" s="412">
        <f t="shared" si="20"/>
        <v>0</v>
      </c>
      <c r="BW24" s="412">
        <f t="shared" si="4"/>
        <v>0</v>
      </c>
      <c r="BX24" s="412"/>
      <c r="BY24" s="412">
        <f t="shared" si="21"/>
        <v>0</v>
      </c>
      <c r="BZ24" s="412"/>
      <c r="CA24" s="412">
        <f>IFERROR(VLOOKUP(A24,'Actuals Summer'!A:S,19,FALSE),0)</f>
        <v>0</v>
      </c>
      <c r="CC24" s="412"/>
      <c r="CD24" s="412"/>
      <c r="CE24" s="412"/>
      <c r="CF24" s="412"/>
      <c r="CG24" s="412"/>
      <c r="CH24" s="412"/>
      <c r="CI24" s="412"/>
      <c r="CJ24" s="412"/>
      <c r="CK24" s="412"/>
      <c r="CL24" s="412"/>
      <c r="CM24" s="412"/>
      <c r="CN24" s="412"/>
      <c r="CO24" s="412"/>
      <c r="CQ24" s="363"/>
      <c r="CR24" s="363"/>
      <c r="CS24" s="363"/>
      <c r="CT24" s="363"/>
      <c r="CU24" s="363"/>
      <c r="CV24" s="363"/>
      <c r="CW24" s="363"/>
      <c r="CX24" s="363"/>
      <c r="CZ24" s="414"/>
      <c r="DA24" s="414"/>
      <c r="DB24" s="414"/>
      <c r="DC24" s="414"/>
      <c r="DD24" s="414"/>
      <c r="DE24" s="414"/>
      <c r="DF24" s="414"/>
      <c r="DG24" s="414"/>
      <c r="DI24" s="414">
        <f t="shared" si="22"/>
        <v>0</v>
      </c>
      <c r="DJ24" s="414"/>
      <c r="DK24" s="414"/>
      <c r="DL24" s="414"/>
      <c r="DM24" s="414"/>
      <c r="DN24" s="414"/>
      <c r="DO24" s="414"/>
      <c r="DP24" s="414"/>
      <c r="DQ24" s="414"/>
      <c r="DS24" s="414"/>
      <c r="DT24" s="414"/>
      <c r="DU24" s="414"/>
      <c r="DV24" s="414"/>
      <c r="DW24" s="414"/>
      <c r="DX24" s="414"/>
      <c r="DY24" s="414"/>
      <c r="DZ24" s="414"/>
      <c r="EB24" s="415">
        <f t="shared" si="5"/>
        <v>0</v>
      </c>
      <c r="EC24" s="415">
        <f t="shared" si="6"/>
        <v>0</v>
      </c>
      <c r="ED24" s="416">
        <f t="shared" si="23"/>
        <v>0</v>
      </c>
    </row>
    <row r="25" spans="1:134" hidden="1" x14ac:dyDescent="0.35">
      <c r="A25" s="17">
        <v>4115</v>
      </c>
      <c r="B25" s="4">
        <v>103493</v>
      </c>
      <c r="C25" s="4" t="s">
        <v>907</v>
      </c>
      <c r="D25" s="4" t="s">
        <v>908</v>
      </c>
      <c r="E25" s="15" t="s">
        <v>904</v>
      </c>
      <c r="F25" s="16" t="s">
        <v>27</v>
      </c>
      <c r="G25" s="215"/>
      <c r="H25" s="363">
        <v>0</v>
      </c>
      <c r="I25" s="410"/>
      <c r="J25" s="363">
        <v>0</v>
      </c>
      <c r="K25" s="363">
        <v>0</v>
      </c>
      <c r="L25" s="363">
        <v>0</v>
      </c>
      <c r="M25" s="363">
        <v>0</v>
      </c>
      <c r="N25" s="363">
        <v>0</v>
      </c>
      <c r="O25" s="363">
        <v>0</v>
      </c>
      <c r="P25" s="215">
        <f t="shared" si="7"/>
        <v>0</v>
      </c>
      <c r="Q25" s="363">
        <f t="shared" si="8"/>
        <v>0</v>
      </c>
      <c r="R25" s="410"/>
      <c r="S25" s="363">
        <v>0</v>
      </c>
      <c r="T25" s="363">
        <v>0</v>
      </c>
      <c r="U25" s="363">
        <v>0</v>
      </c>
      <c r="V25" s="363">
        <v>0</v>
      </c>
      <c r="W25" s="363">
        <v>0</v>
      </c>
      <c r="X25" s="363">
        <v>0</v>
      </c>
      <c r="Y25" s="363">
        <f t="shared" si="9"/>
        <v>0</v>
      </c>
      <c r="Z25" s="363">
        <f t="shared" si="10"/>
        <v>0</v>
      </c>
      <c r="AA25" s="410"/>
      <c r="AB25" s="411">
        <v>0</v>
      </c>
      <c r="AC25" s="411">
        <v>0</v>
      </c>
      <c r="AD25" s="411">
        <v>0</v>
      </c>
      <c r="AE25" s="411">
        <v>0</v>
      </c>
      <c r="AF25" s="411">
        <v>0</v>
      </c>
      <c r="AG25" s="411">
        <v>0</v>
      </c>
      <c r="AH25" s="363">
        <f t="shared" si="11"/>
        <v>0</v>
      </c>
      <c r="AI25" s="411">
        <f t="shared" si="12"/>
        <v>0</v>
      </c>
      <c r="AJ25" s="410"/>
      <c r="AK25" s="411">
        <v>0</v>
      </c>
      <c r="AL25" s="411">
        <v>0</v>
      </c>
      <c r="AM25" s="411">
        <v>0</v>
      </c>
      <c r="AN25" s="410"/>
      <c r="AO25" s="411">
        <f t="shared" si="13"/>
        <v>0</v>
      </c>
      <c r="AP25" s="411">
        <f t="shared" si="13"/>
        <v>0</v>
      </c>
      <c r="AQ25" s="411">
        <f t="shared" si="13"/>
        <v>0</v>
      </c>
      <c r="AR25" s="412"/>
      <c r="AS25" s="412">
        <v>0</v>
      </c>
      <c r="AT25" s="413">
        <f t="shared" si="14"/>
        <v>0</v>
      </c>
      <c r="AU25" s="412"/>
      <c r="AV25" s="412">
        <v>0</v>
      </c>
      <c r="AW25" s="412">
        <v>0</v>
      </c>
      <c r="AX25" s="412">
        <v>0</v>
      </c>
      <c r="AY25" s="412">
        <v>0</v>
      </c>
      <c r="AZ25" s="412">
        <v>0</v>
      </c>
      <c r="BA25" s="412">
        <v>0</v>
      </c>
      <c r="BB25" s="412">
        <v>0</v>
      </c>
      <c r="BC25" s="412">
        <f t="shared" si="15"/>
        <v>0</v>
      </c>
      <c r="BE25" s="205">
        <f t="shared" si="16"/>
        <v>0</v>
      </c>
      <c r="BF25" s="205">
        <f t="shared" si="16"/>
        <v>0</v>
      </c>
      <c r="BG25" s="205">
        <f t="shared" si="16"/>
        <v>0</v>
      </c>
      <c r="BH25" s="205">
        <f t="shared" si="16"/>
        <v>0</v>
      </c>
      <c r="BI25" s="205">
        <f t="shared" si="16"/>
        <v>0</v>
      </c>
      <c r="BJ25" s="205">
        <f t="shared" si="16"/>
        <v>0</v>
      </c>
      <c r="BK25" s="205">
        <f t="shared" si="17"/>
        <v>0</v>
      </c>
      <c r="BL25" s="205">
        <f t="shared" si="18"/>
        <v>0</v>
      </c>
      <c r="BM25" s="215">
        <f t="shared" si="19"/>
        <v>0</v>
      </c>
      <c r="BN25" s="215"/>
      <c r="BO25" s="412">
        <f t="shared" si="2"/>
        <v>0</v>
      </c>
      <c r="BP25" s="412">
        <f t="shared" si="2"/>
        <v>0</v>
      </c>
      <c r="BQ25" s="412">
        <f t="shared" si="2"/>
        <v>0</v>
      </c>
      <c r="BR25" s="412">
        <f t="shared" si="2"/>
        <v>0</v>
      </c>
      <c r="BS25" s="412">
        <f t="shared" si="2"/>
        <v>0</v>
      </c>
      <c r="BT25" s="412">
        <f t="shared" si="2"/>
        <v>0</v>
      </c>
      <c r="BU25" s="412">
        <f t="shared" si="3"/>
        <v>0</v>
      </c>
      <c r="BV25" s="412">
        <f t="shared" si="20"/>
        <v>0</v>
      </c>
      <c r="BW25" s="412">
        <f t="shared" si="4"/>
        <v>0</v>
      </c>
      <c r="BX25" s="412"/>
      <c r="BY25" s="412">
        <f t="shared" si="21"/>
        <v>0</v>
      </c>
      <c r="BZ25" s="412"/>
      <c r="CA25" s="412">
        <f>IFERROR(VLOOKUP(A25,'Actuals Summer'!A:S,19,FALSE),0)</f>
        <v>0</v>
      </c>
      <c r="CC25" s="412"/>
      <c r="CD25" s="412"/>
      <c r="CE25" s="412"/>
      <c r="CF25" s="412"/>
      <c r="CG25" s="412"/>
      <c r="CH25" s="412"/>
      <c r="CI25" s="412"/>
      <c r="CJ25" s="412"/>
      <c r="CK25" s="412"/>
      <c r="CL25" s="412"/>
      <c r="CM25" s="412"/>
      <c r="CN25" s="412"/>
      <c r="CO25" s="412"/>
      <c r="CQ25" s="363"/>
      <c r="CR25" s="363"/>
      <c r="CS25" s="363"/>
      <c r="CT25" s="363"/>
      <c r="CU25" s="363"/>
      <c r="CV25" s="363"/>
      <c r="CW25" s="363"/>
      <c r="CX25" s="363"/>
      <c r="CZ25" s="414"/>
      <c r="DA25" s="414"/>
      <c r="DB25" s="414"/>
      <c r="DC25" s="414"/>
      <c r="DD25" s="414"/>
      <c r="DE25" s="414"/>
      <c r="DF25" s="414"/>
      <c r="DG25" s="414"/>
      <c r="DI25" s="414">
        <f t="shared" si="22"/>
        <v>0</v>
      </c>
      <c r="DJ25" s="414"/>
      <c r="DK25" s="414"/>
      <c r="DL25" s="414"/>
      <c r="DM25" s="414"/>
      <c r="DN25" s="414"/>
      <c r="DO25" s="414"/>
      <c r="DP25" s="414"/>
      <c r="DQ25" s="414"/>
      <c r="DS25" s="414"/>
      <c r="DT25" s="414"/>
      <c r="DU25" s="414"/>
      <c r="DV25" s="414"/>
      <c r="DW25" s="414"/>
      <c r="DX25" s="414"/>
      <c r="DY25" s="414"/>
      <c r="DZ25" s="414"/>
      <c r="EB25" s="415">
        <f t="shared" si="5"/>
        <v>0</v>
      </c>
      <c r="EC25" s="415">
        <f t="shared" si="6"/>
        <v>0</v>
      </c>
      <c r="ED25" s="416">
        <f t="shared" si="23"/>
        <v>0</v>
      </c>
    </row>
    <row r="26" spans="1:134" hidden="1" x14ac:dyDescent="0.35">
      <c r="A26" s="17">
        <v>2030</v>
      </c>
      <c r="B26" s="4">
        <v>103172</v>
      </c>
      <c r="C26" s="4" t="s">
        <v>43</v>
      </c>
      <c r="D26" s="4" t="s">
        <v>44</v>
      </c>
      <c r="E26" s="15" t="s">
        <v>32</v>
      </c>
      <c r="F26" s="16" t="s">
        <v>27</v>
      </c>
      <c r="G26" s="215"/>
      <c r="H26" s="363">
        <v>0</v>
      </c>
      <c r="I26" s="410"/>
      <c r="J26" s="363">
        <v>0</v>
      </c>
      <c r="K26" s="363">
        <v>0</v>
      </c>
      <c r="L26" s="363">
        <v>56288.700000000004</v>
      </c>
      <c r="M26" s="363">
        <v>3510</v>
      </c>
      <c r="N26" s="363">
        <v>0</v>
      </c>
      <c r="O26" s="363">
        <v>0</v>
      </c>
      <c r="P26" s="215">
        <f t="shared" si="7"/>
        <v>59798.700000000004</v>
      </c>
      <c r="Q26" s="363">
        <f t="shared" si="8"/>
        <v>47838.960000000006</v>
      </c>
      <c r="R26" s="410"/>
      <c r="S26" s="363">
        <v>0</v>
      </c>
      <c r="T26" s="363">
        <v>0</v>
      </c>
      <c r="U26" s="363">
        <v>57392.4</v>
      </c>
      <c r="V26" s="363">
        <v>3510</v>
      </c>
      <c r="W26" s="363">
        <v>0</v>
      </c>
      <c r="X26" s="363">
        <v>0</v>
      </c>
      <c r="Y26" s="363">
        <f t="shared" si="9"/>
        <v>60902.400000000001</v>
      </c>
      <c r="Z26" s="363">
        <f t="shared" si="10"/>
        <v>48721.920000000006</v>
      </c>
      <c r="AA26" s="410"/>
      <c r="AB26" s="411">
        <v>0</v>
      </c>
      <c r="AC26" s="411">
        <v>0</v>
      </c>
      <c r="AD26" s="411">
        <v>49867.57894736842</v>
      </c>
      <c r="AE26" s="411">
        <v>2955.7894736842109</v>
      </c>
      <c r="AF26" s="411">
        <v>0</v>
      </c>
      <c r="AG26" s="411">
        <v>0</v>
      </c>
      <c r="AH26" s="363">
        <f t="shared" si="11"/>
        <v>52823.368421052633</v>
      </c>
      <c r="AI26" s="411">
        <f t="shared" si="12"/>
        <v>42258.69473684211</v>
      </c>
      <c r="AJ26" s="410"/>
      <c r="AK26" s="411">
        <v>1189.5</v>
      </c>
      <c r="AL26" s="411">
        <v>1010.1</v>
      </c>
      <c r="AM26" s="411">
        <v>1004.4</v>
      </c>
      <c r="AN26" s="410"/>
      <c r="AO26" s="411">
        <f t="shared" si="13"/>
        <v>951.6</v>
      </c>
      <c r="AP26" s="411">
        <f t="shared" si="13"/>
        <v>808.08</v>
      </c>
      <c r="AQ26" s="411">
        <f t="shared" si="13"/>
        <v>803.52</v>
      </c>
      <c r="AR26" s="412"/>
      <c r="AS26" s="412">
        <v>0</v>
      </c>
      <c r="AT26" s="413">
        <f t="shared" si="14"/>
        <v>0</v>
      </c>
      <c r="AU26" s="412"/>
      <c r="AV26" s="412">
        <v>0</v>
      </c>
      <c r="AW26" s="412">
        <v>0</v>
      </c>
      <c r="AX26" s="412">
        <v>57392.4</v>
      </c>
      <c r="AY26" s="412">
        <v>4485</v>
      </c>
      <c r="AZ26" s="412">
        <v>0</v>
      </c>
      <c r="BA26" s="412">
        <v>0</v>
      </c>
      <c r="BB26" s="412">
        <v>928.19999999999993</v>
      </c>
      <c r="BC26" s="412">
        <f t="shared" si="15"/>
        <v>62805.599999999999</v>
      </c>
      <c r="BE26" s="205">
        <f t="shared" si="16"/>
        <v>0</v>
      </c>
      <c r="BF26" s="205">
        <f t="shared" si="16"/>
        <v>0</v>
      </c>
      <c r="BG26" s="205">
        <f t="shared" si="16"/>
        <v>1103.6999999999971</v>
      </c>
      <c r="BH26" s="205">
        <f t="shared" si="16"/>
        <v>975</v>
      </c>
      <c r="BI26" s="205">
        <f t="shared" si="16"/>
        <v>0</v>
      </c>
      <c r="BJ26" s="205">
        <f t="shared" si="16"/>
        <v>0</v>
      </c>
      <c r="BK26" s="205">
        <f t="shared" si="17"/>
        <v>-261.30000000000007</v>
      </c>
      <c r="BL26" s="205">
        <f t="shared" si="18"/>
        <v>1817.3999999999969</v>
      </c>
      <c r="BM26" s="215">
        <f t="shared" si="19"/>
        <v>0</v>
      </c>
      <c r="BN26" s="215"/>
      <c r="BO26" s="412">
        <f t="shared" si="2"/>
        <v>0</v>
      </c>
      <c r="BP26" s="412">
        <f t="shared" si="2"/>
        <v>0</v>
      </c>
      <c r="BQ26" s="412">
        <f t="shared" si="2"/>
        <v>12361.439999999995</v>
      </c>
      <c r="BR26" s="412">
        <f t="shared" si="2"/>
        <v>1677</v>
      </c>
      <c r="BS26" s="412">
        <f t="shared" si="2"/>
        <v>0</v>
      </c>
      <c r="BT26" s="412">
        <f t="shared" si="2"/>
        <v>0</v>
      </c>
      <c r="BU26" s="412">
        <f t="shared" si="3"/>
        <v>-23.400000000000091</v>
      </c>
      <c r="BV26" s="412">
        <f t="shared" si="20"/>
        <v>14015.039999999995</v>
      </c>
      <c r="BW26" s="412">
        <f t="shared" si="4"/>
        <v>0</v>
      </c>
      <c r="BX26" s="412"/>
      <c r="BY26" s="412">
        <f t="shared" si="21"/>
        <v>62805.599999999999</v>
      </c>
      <c r="BZ26" s="412"/>
      <c r="CA26" s="412">
        <f>IFERROR(VLOOKUP(A26,'Actuals Summer'!A:S,19,FALSE),0)</f>
        <v>62805.599999999999</v>
      </c>
      <c r="CC26" s="412"/>
      <c r="CD26" s="412"/>
      <c r="CE26" s="412"/>
      <c r="CF26" s="412"/>
      <c r="CG26" s="412"/>
      <c r="CH26" s="412"/>
      <c r="CI26" s="412"/>
      <c r="CJ26" s="412"/>
      <c r="CK26" s="412"/>
      <c r="CL26" s="412"/>
      <c r="CM26" s="412"/>
      <c r="CN26" s="412"/>
      <c r="CO26" s="412"/>
      <c r="CQ26" s="363"/>
      <c r="CR26" s="363"/>
      <c r="CS26" s="363"/>
      <c r="CT26" s="363"/>
      <c r="CU26" s="363"/>
      <c r="CV26" s="363"/>
      <c r="CW26" s="363"/>
      <c r="CX26" s="363"/>
      <c r="CZ26" s="414"/>
      <c r="DA26" s="414"/>
      <c r="DB26" s="414"/>
      <c r="DC26" s="414"/>
      <c r="DD26" s="414"/>
      <c r="DE26" s="414"/>
      <c r="DF26" s="414"/>
      <c r="DG26" s="414"/>
      <c r="DI26" s="414">
        <f t="shared" si="22"/>
        <v>0</v>
      </c>
      <c r="DJ26" s="414"/>
      <c r="DK26" s="414"/>
      <c r="DL26" s="414"/>
      <c r="DM26" s="414"/>
      <c r="DN26" s="414"/>
      <c r="DO26" s="414"/>
      <c r="DP26" s="414"/>
      <c r="DQ26" s="414"/>
      <c r="DS26" s="414"/>
      <c r="DT26" s="414"/>
      <c r="DU26" s="414"/>
      <c r="DV26" s="414"/>
      <c r="DW26" s="414"/>
      <c r="DX26" s="414"/>
      <c r="DY26" s="414"/>
      <c r="DZ26" s="414"/>
      <c r="EB26" s="415">
        <f t="shared" si="5"/>
        <v>155397.81473684212</v>
      </c>
      <c r="EC26" s="415">
        <f t="shared" si="6"/>
        <v>0</v>
      </c>
      <c r="ED26" s="416">
        <f t="shared" si="23"/>
        <v>155397.81473684212</v>
      </c>
    </row>
    <row r="27" spans="1:134" hidden="1" x14ac:dyDescent="0.35">
      <c r="A27" s="17">
        <v>3353</v>
      </c>
      <c r="B27" s="4">
        <v>103445</v>
      </c>
      <c r="C27" s="4" t="s">
        <v>909</v>
      </c>
      <c r="D27" s="4" t="s">
        <v>910</v>
      </c>
      <c r="E27" s="15" t="s">
        <v>32</v>
      </c>
      <c r="F27" s="16" t="s">
        <v>27</v>
      </c>
      <c r="G27" s="215"/>
      <c r="H27" s="363">
        <v>0</v>
      </c>
      <c r="I27" s="410"/>
      <c r="J27" s="363">
        <v>0</v>
      </c>
      <c r="K27" s="363">
        <v>0</v>
      </c>
      <c r="L27" s="363">
        <v>0</v>
      </c>
      <c r="M27" s="363">
        <v>0</v>
      </c>
      <c r="N27" s="363">
        <v>0</v>
      </c>
      <c r="O27" s="363">
        <v>0</v>
      </c>
      <c r="P27" s="215">
        <f t="shared" si="7"/>
        <v>0</v>
      </c>
      <c r="Q27" s="363">
        <f t="shared" si="8"/>
        <v>0</v>
      </c>
      <c r="R27" s="410"/>
      <c r="S27" s="363">
        <v>0</v>
      </c>
      <c r="T27" s="363">
        <v>0</v>
      </c>
      <c r="U27" s="363">
        <v>0</v>
      </c>
      <c r="V27" s="363">
        <v>0</v>
      </c>
      <c r="W27" s="363">
        <v>0</v>
      </c>
      <c r="X27" s="363">
        <v>0</v>
      </c>
      <c r="Y27" s="363">
        <f t="shared" si="9"/>
        <v>0</v>
      </c>
      <c r="Z27" s="363">
        <f t="shared" si="10"/>
        <v>0</v>
      </c>
      <c r="AA27" s="410"/>
      <c r="AB27" s="411">
        <v>0</v>
      </c>
      <c r="AC27" s="411">
        <v>0</v>
      </c>
      <c r="AD27" s="411">
        <v>0</v>
      </c>
      <c r="AE27" s="411">
        <v>0</v>
      </c>
      <c r="AF27" s="411">
        <v>0</v>
      </c>
      <c r="AG27" s="411">
        <v>0</v>
      </c>
      <c r="AH27" s="363">
        <f t="shared" si="11"/>
        <v>0</v>
      </c>
      <c r="AI27" s="411">
        <f t="shared" si="12"/>
        <v>0</v>
      </c>
      <c r="AJ27" s="410"/>
      <c r="AK27" s="411">
        <v>0</v>
      </c>
      <c r="AL27" s="411">
        <v>0</v>
      </c>
      <c r="AM27" s="411">
        <v>0</v>
      </c>
      <c r="AN27" s="410"/>
      <c r="AO27" s="411">
        <f t="shared" si="13"/>
        <v>0</v>
      </c>
      <c r="AP27" s="411">
        <f t="shared" si="13"/>
        <v>0</v>
      </c>
      <c r="AQ27" s="411">
        <f t="shared" si="13"/>
        <v>0</v>
      </c>
      <c r="AR27" s="412"/>
      <c r="AS27" s="412">
        <v>0</v>
      </c>
      <c r="AT27" s="413">
        <f t="shared" si="14"/>
        <v>0</v>
      </c>
      <c r="AU27" s="412"/>
      <c r="AV27" s="412">
        <v>0</v>
      </c>
      <c r="AW27" s="412">
        <v>0</v>
      </c>
      <c r="AX27" s="412">
        <v>0</v>
      </c>
      <c r="AY27" s="412">
        <v>0</v>
      </c>
      <c r="AZ27" s="412">
        <v>0</v>
      </c>
      <c r="BA27" s="412">
        <v>0</v>
      </c>
      <c r="BB27" s="412">
        <v>0</v>
      </c>
      <c r="BC27" s="412">
        <f t="shared" si="15"/>
        <v>0</v>
      </c>
      <c r="BE27" s="205">
        <f t="shared" si="16"/>
        <v>0</v>
      </c>
      <c r="BF27" s="205">
        <f t="shared" si="16"/>
        <v>0</v>
      </c>
      <c r="BG27" s="205">
        <f t="shared" si="16"/>
        <v>0</v>
      </c>
      <c r="BH27" s="205">
        <f t="shared" si="16"/>
        <v>0</v>
      </c>
      <c r="BI27" s="205">
        <f t="shared" si="16"/>
        <v>0</v>
      </c>
      <c r="BJ27" s="205">
        <f t="shared" si="16"/>
        <v>0</v>
      </c>
      <c r="BK27" s="205">
        <f t="shared" si="17"/>
        <v>0</v>
      </c>
      <c r="BL27" s="205">
        <f t="shared" si="18"/>
        <v>0</v>
      </c>
      <c r="BM27" s="215">
        <f t="shared" si="19"/>
        <v>0</v>
      </c>
      <c r="BN27" s="215"/>
      <c r="BO27" s="412">
        <f t="shared" si="2"/>
        <v>0</v>
      </c>
      <c r="BP27" s="412">
        <f t="shared" si="2"/>
        <v>0</v>
      </c>
      <c r="BQ27" s="412">
        <f t="shared" si="2"/>
        <v>0</v>
      </c>
      <c r="BR27" s="412">
        <f t="shared" si="2"/>
        <v>0</v>
      </c>
      <c r="BS27" s="412">
        <f t="shared" si="2"/>
        <v>0</v>
      </c>
      <c r="BT27" s="412">
        <f t="shared" si="2"/>
        <v>0</v>
      </c>
      <c r="BU27" s="412">
        <f t="shared" si="3"/>
        <v>0</v>
      </c>
      <c r="BV27" s="412">
        <f t="shared" si="20"/>
        <v>0</v>
      </c>
      <c r="BW27" s="412">
        <f t="shared" si="4"/>
        <v>0</v>
      </c>
      <c r="BX27" s="412"/>
      <c r="BY27" s="412">
        <f t="shared" si="21"/>
        <v>0</v>
      </c>
      <c r="BZ27" s="412"/>
      <c r="CA27" s="412">
        <f>IFERROR(VLOOKUP(A27,'Actuals Summer'!A:S,19,FALSE),0)</f>
        <v>0</v>
      </c>
      <c r="CC27" s="412"/>
      <c r="CD27" s="412"/>
      <c r="CE27" s="412"/>
      <c r="CF27" s="412"/>
      <c r="CG27" s="412"/>
      <c r="CH27" s="412"/>
      <c r="CI27" s="412"/>
      <c r="CJ27" s="412"/>
      <c r="CK27" s="412"/>
      <c r="CL27" s="412"/>
      <c r="CM27" s="412"/>
      <c r="CN27" s="412"/>
      <c r="CO27" s="412"/>
      <c r="CQ27" s="363"/>
      <c r="CR27" s="363"/>
      <c r="CS27" s="363"/>
      <c r="CT27" s="363"/>
      <c r="CU27" s="363"/>
      <c r="CV27" s="363"/>
      <c r="CW27" s="363"/>
      <c r="CX27" s="363"/>
      <c r="CZ27" s="414"/>
      <c r="DA27" s="414"/>
      <c r="DB27" s="414"/>
      <c r="DC27" s="414"/>
      <c r="DD27" s="414"/>
      <c r="DE27" s="414"/>
      <c r="DF27" s="414"/>
      <c r="DG27" s="414"/>
      <c r="DI27" s="414">
        <f t="shared" si="22"/>
        <v>0</v>
      </c>
      <c r="DJ27" s="414"/>
      <c r="DK27" s="414"/>
      <c r="DL27" s="414"/>
      <c r="DM27" s="414"/>
      <c r="DN27" s="414"/>
      <c r="DO27" s="414"/>
      <c r="DP27" s="414"/>
      <c r="DQ27" s="414"/>
      <c r="DS27" s="414"/>
      <c r="DT27" s="414"/>
      <c r="DU27" s="414"/>
      <c r="DV27" s="414"/>
      <c r="DW27" s="414"/>
      <c r="DX27" s="414"/>
      <c r="DY27" s="414"/>
      <c r="DZ27" s="414"/>
      <c r="EB27" s="415">
        <f t="shared" si="5"/>
        <v>0</v>
      </c>
      <c r="EC27" s="415">
        <f t="shared" si="6"/>
        <v>0</v>
      </c>
      <c r="ED27" s="416">
        <f t="shared" si="23"/>
        <v>0</v>
      </c>
    </row>
    <row r="28" spans="1:134" hidden="1" x14ac:dyDescent="0.35">
      <c r="A28" s="17">
        <v>7030</v>
      </c>
      <c r="B28" s="4">
        <v>103611</v>
      </c>
      <c r="C28" s="4" t="s">
        <v>911</v>
      </c>
      <c r="D28" s="4" t="s">
        <v>912</v>
      </c>
      <c r="E28" s="15" t="s">
        <v>895</v>
      </c>
      <c r="F28" s="16" t="s">
        <v>27</v>
      </c>
      <c r="G28" s="215"/>
      <c r="H28" s="363">
        <v>0</v>
      </c>
      <c r="I28" s="410"/>
      <c r="J28" s="363">
        <v>0</v>
      </c>
      <c r="K28" s="363">
        <v>0</v>
      </c>
      <c r="L28" s="363">
        <v>0</v>
      </c>
      <c r="M28" s="363">
        <v>0</v>
      </c>
      <c r="N28" s="363">
        <v>0</v>
      </c>
      <c r="O28" s="363">
        <v>0</v>
      </c>
      <c r="P28" s="215">
        <f t="shared" si="7"/>
        <v>0</v>
      </c>
      <c r="Q28" s="363">
        <f t="shared" si="8"/>
        <v>0</v>
      </c>
      <c r="R28" s="410"/>
      <c r="S28" s="363">
        <v>0</v>
      </c>
      <c r="T28" s="363">
        <v>0</v>
      </c>
      <c r="U28" s="363">
        <v>0</v>
      </c>
      <c r="V28" s="363">
        <v>0</v>
      </c>
      <c r="W28" s="363">
        <v>0</v>
      </c>
      <c r="X28" s="363">
        <v>0</v>
      </c>
      <c r="Y28" s="363">
        <f t="shared" si="9"/>
        <v>0</v>
      </c>
      <c r="Z28" s="363">
        <f t="shared" si="10"/>
        <v>0</v>
      </c>
      <c r="AA28" s="410"/>
      <c r="AB28" s="411">
        <v>0</v>
      </c>
      <c r="AC28" s="411">
        <v>0</v>
      </c>
      <c r="AD28" s="411">
        <v>0</v>
      </c>
      <c r="AE28" s="411">
        <v>0</v>
      </c>
      <c r="AF28" s="411">
        <v>0</v>
      </c>
      <c r="AG28" s="411">
        <v>0</v>
      </c>
      <c r="AH28" s="363">
        <f t="shared" si="11"/>
        <v>0</v>
      </c>
      <c r="AI28" s="411">
        <f t="shared" si="12"/>
        <v>0</v>
      </c>
      <c r="AJ28" s="410"/>
      <c r="AK28" s="411">
        <v>0</v>
      </c>
      <c r="AL28" s="411">
        <v>0</v>
      </c>
      <c r="AM28" s="411">
        <v>0</v>
      </c>
      <c r="AN28" s="410"/>
      <c r="AO28" s="411">
        <f t="shared" si="13"/>
        <v>0</v>
      </c>
      <c r="AP28" s="411">
        <f t="shared" si="13"/>
        <v>0</v>
      </c>
      <c r="AQ28" s="411">
        <f t="shared" si="13"/>
        <v>0</v>
      </c>
      <c r="AR28" s="412"/>
      <c r="AS28" s="412">
        <v>0</v>
      </c>
      <c r="AT28" s="413">
        <f t="shared" si="14"/>
        <v>0</v>
      </c>
      <c r="AU28" s="412"/>
      <c r="AV28" s="412">
        <v>0</v>
      </c>
      <c r="AW28" s="412">
        <v>0</v>
      </c>
      <c r="AX28" s="412">
        <v>0</v>
      </c>
      <c r="AY28" s="412">
        <v>0</v>
      </c>
      <c r="AZ28" s="412">
        <v>0</v>
      </c>
      <c r="BA28" s="412">
        <v>0</v>
      </c>
      <c r="BB28" s="412">
        <v>0</v>
      </c>
      <c r="BC28" s="412">
        <f t="shared" si="15"/>
        <v>0</v>
      </c>
      <c r="BE28" s="205">
        <f t="shared" si="16"/>
        <v>0</v>
      </c>
      <c r="BF28" s="205">
        <f t="shared" si="16"/>
        <v>0</v>
      </c>
      <c r="BG28" s="205">
        <f t="shared" si="16"/>
        <v>0</v>
      </c>
      <c r="BH28" s="205">
        <f t="shared" si="16"/>
        <v>0</v>
      </c>
      <c r="BI28" s="205">
        <f t="shared" si="16"/>
        <v>0</v>
      </c>
      <c r="BJ28" s="205">
        <f t="shared" si="16"/>
        <v>0</v>
      </c>
      <c r="BK28" s="205">
        <f t="shared" si="17"/>
        <v>0</v>
      </c>
      <c r="BL28" s="205">
        <f t="shared" si="18"/>
        <v>0</v>
      </c>
      <c r="BM28" s="215">
        <f t="shared" si="19"/>
        <v>0</v>
      </c>
      <c r="BN28" s="215"/>
      <c r="BO28" s="412">
        <f t="shared" si="2"/>
        <v>0</v>
      </c>
      <c r="BP28" s="412">
        <f t="shared" si="2"/>
        <v>0</v>
      </c>
      <c r="BQ28" s="412">
        <f t="shared" si="2"/>
        <v>0</v>
      </c>
      <c r="BR28" s="412">
        <f t="shared" si="2"/>
        <v>0</v>
      </c>
      <c r="BS28" s="412">
        <f t="shared" si="2"/>
        <v>0</v>
      </c>
      <c r="BT28" s="412">
        <f t="shared" si="2"/>
        <v>0</v>
      </c>
      <c r="BU28" s="412">
        <f t="shared" si="3"/>
        <v>0</v>
      </c>
      <c r="BV28" s="412">
        <f t="shared" si="20"/>
        <v>0</v>
      </c>
      <c r="BW28" s="412">
        <f t="shared" si="4"/>
        <v>0</v>
      </c>
      <c r="BX28" s="412"/>
      <c r="BY28" s="412">
        <f t="shared" si="21"/>
        <v>0</v>
      </c>
      <c r="BZ28" s="412"/>
      <c r="CA28" s="412">
        <f>IFERROR(VLOOKUP(A28,'Actuals Summer'!A:S,19,FALSE),0)</f>
        <v>0</v>
      </c>
      <c r="CC28" s="412"/>
      <c r="CD28" s="412"/>
      <c r="CE28" s="412"/>
      <c r="CF28" s="412"/>
      <c r="CG28" s="412"/>
      <c r="CH28" s="412"/>
      <c r="CI28" s="412"/>
      <c r="CJ28" s="412"/>
      <c r="CK28" s="412"/>
      <c r="CL28" s="412"/>
      <c r="CM28" s="412"/>
      <c r="CN28" s="412"/>
      <c r="CO28" s="412"/>
      <c r="CQ28" s="363"/>
      <c r="CR28" s="363"/>
      <c r="CS28" s="363"/>
      <c r="CT28" s="363"/>
      <c r="CU28" s="363"/>
      <c r="CV28" s="363"/>
      <c r="CW28" s="363"/>
      <c r="CX28" s="363"/>
      <c r="CZ28" s="414"/>
      <c r="DA28" s="414"/>
      <c r="DB28" s="414"/>
      <c r="DC28" s="414"/>
      <c r="DD28" s="414"/>
      <c r="DE28" s="414"/>
      <c r="DF28" s="414"/>
      <c r="DG28" s="414"/>
      <c r="DI28" s="414">
        <f t="shared" si="22"/>
        <v>0</v>
      </c>
      <c r="DJ28" s="414"/>
      <c r="DK28" s="414"/>
      <c r="DL28" s="414"/>
      <c r="DM28" s="414"/>
      <c r="DN28" s="414"/>
      <c r="DO28" s="414"/>
      <c r="DP28" s="414"/>
      <c r="DQ28" s="414"/>
      <c r="DS28" s="414"/>
      <c r="DT28" s="414"/>
      <c r="DU28" s="414"/>
      <c r="DV28" s="414"/>
      <c r="DW28" s="414"/>
      <c r="DX28" s="414"/>
      <c r="DY28" s="414"/>
      <c r="DZ28" s="414"/>
      <c r="EB28" s="415">
        <f t="shared" si="5"/>
        <v>0</v>
      </c>
      <c r="EC28" s="415">
        <f t="shared" si="6"/>
        <v>0</v>
      </c>
      <c r="ED28" s="416">
        <f t="shared" si="23"/>
        <v>0</v>
      </c>
    </row>
    <row r="29" spans="1:134" hidden="1" x14ac:dyDescent="0.35">
      <c r="A29" s="17">
        <v>1002</v>
      </c>
      <c r="B29" s="4">
        <v>103121</v>
      </c>
      <c r="C29" s="4" t="s">
        <v>45</v>
      </c>
      <c r="D29" s="4" t="s">
        <v>46</v>
      </c>
      <c r="E29" s="15" t="s">
        <v>26</v>
      </c>
      <c r="F29" s="16" t="s">
        <v>27</v>
      </c>
      <c r="G29" s="215"/>
      <c r="H29" s="363">
        <v>267564.66361026687</v>
      </c>
      <c r="I29" s="410"/>
      <c r="J29" s="363">
        <v>0</v>
      </c>
      <c r="K29" s="363">
        <v>64718.549999999996</v>
      </c>
      <c r="L29" s="363">
        <v>116992.20000000001</v>
      </c>
      <c r="M29" s="363">
        <v>12675</v>
      </c>
      <c r="N29" s="363">
        <v>4847.6315789473683</v>
      </c>
      <c r="O29" s="363">
        <v>641.78947368421052</v>
      </c>
      <c r="P29" s="215">
        <f t="shared" si="7"/>
        <v>199875.17105263157</v>
      </c>
      <c r="Q29" s="363">
        <f t="shared" si="8"/>
        <v>159900.13684210528</v>
      </c>
      <c r="R29" s="410"/>
      <c r="S29" s="363">
        <v>0</v>
      </c>
      <c r="T29" s="363">
        <v>59740.2</v>
      </c>
      <c r="U29" s="363">
        <v>64014.600000000006</v>
      </c>
      <c r="V29" s="363">
        <v>11895</v>
      </c>
      <c r="W29" s="363">
        <v>4474.7368421052633</v>
      </c>
      <c r="X29" s="363">
        <v>641.78947368421052</v>
      </c>
      <c r="Y29" s="363">
        <f t="shared" si="9"/>
        <v>140766.32631578945</v>
      </c>
      <c r="Z29" s="363">
        <f t="shared" si="10"/>
        <v>112613.06105263157</v>
      </c>
      <c r="AA29" s="410"/>
      <c r="AB29" s="411">
        <v>0</v>
      </c>
      <c r="AC29" s="411">
        <v>50307.53684210527</v>
      </c>
      <c r="AD29" s="411">
        <v>83648.84210526316</v>
      </c>
      <c r="AE29" s="411">
        <v>9322.105263157895</v>
      </c>
      <c r="AF29" s="411">
        <v>3521.8171745152354</v>
      </c>
      <c r="AG29" s="411">
        <v>561.24099722991684</v>
      </c>
      <c r="AH29" s="363">
        <f t="shared" si="11"/>
        <v>147361.54238227144</v>
      </c>
      <c r="AI29" s="411">
        <f t="shared" si="12"/>
        <v>117889.23390581715</v>
      </c>
      <c r="AJ29" s="410"/>
      <c r="AK29" s="411">
        <v>12836.85</v>
      </c>
      <c r="AL29" s="411">
        <v>9246.9</v>
      </c>
      <c r="AM29" s="411">
        <v>8834.9684210526302</v>
      </c>
      <c r="AN29" s="410"/>
      <c r="AO29" s="411">
        <f t="shared" si="13"/>
        <v>10269.480000000001</v>
      </c>
      <c r="AP29" s="411">
        <f t="shared" si="13"/>
        <v>7397.52</v>
      </c>
      <c r="AQ29" s="411">
        <f t="shared" si="13"/>
        <v>7067.9747368421049</v>
      </c>
      <c r="AR29" s="412"/>
      <c r="AS29" s="412">
        <v>264383.34203395422</v>
      </c>
      <c r="AT29" s="413">
        <f t="shared" si="14"/>
        <v>-3181.32157631265</v>
      </c>
      <c r="AU29" s="412"/>
      <c r="AV29" s="412">
        <v>0</v>
      </c>
      <c r="AW29" s="412">
        <v>64718.549999999996</v>
      </c>
      <c r="AX29" s="412">
        <v>102644.1</v>
      </c>
      <c r="AY29" s="412">
        <v>15405</v>
      </c>
      <c r="AZ29" s="412">
        <v>5891.7368421052633</v>
      </c>
      <c r="BA29" s="412">
        <v>320.89</v>
      </c>
      <c r="BB29" s="412">
        <v>12306.449999999999</v>
      </c>
      <c r="BC29" s="412">
        <f t="shared" si="15"/>
        <v>465670.06887605949</v>
      </c>
      <c r="BE29" s="205">
        <f t="shared" si="16"/>
        <v>0</v>
      </c>
      <c r="BF29" s="205">
        <f t="shared" si="16"/>
        <v>0</v>
      </c>
      <c r="BG29" s="205">
        <f t="shared" si="16"/>
        <v>-14348.100000000006</v>
      </c>
      <c r="BH29" s="205">
        <f t="shared" si="16"/>
        <v>2730</v>
      </c>
      <c r="BI29" s="205">
        <f t="shared" si="16"/>
        <v>1044.105263157895</v>
      </c>
      <c r="BJ29" s="205">
        <f t="shared" si="16"/>
        <v>-320.89947368421053</v>
      </c>
      <c r="BK29" s="205">
        <f t="shared" si="17"/>
        <v>-530.40000000000146</v>
      </c>
      <c r="BL29" s="205">
        <f t="shared" si="18"/>
        <v>-14606.615786838973</v>
      </c>
      <c r="BM29" s="215">
        <f t="shared" si="19"/>
        <v>0</v>
      </c>
      <c r="BN29" s="215"/>
      <c r="BO29" s="412">
        <f t="shared" si="2"/>
        <v>0</v>
      </c>
      <c r="BP29" s="412">
        <f t="shared" si="2"/>
        <v>12943.71</v>
      </c>
      <c r="BQ29" s="412">
        <f t="shared" si="2"/>
        <v>9050.3399999999965</v>
      </c>
      <c r="BR29" s="412">
        <f t="shared" si="2"/>
        <v>5265</v>
      </c>
      <c r="BS29" s="412">
        <f t="shared" si="2"/>
        <v>2013.6315789473683</v>
      </c>
      <c r="BT29" s="412">
        <f t="shared" si="2"/>
        <v>-192.54157894736841</v>
      </c>
      <c r="BU29" s="412">
        <f t="shared" si="3"/>
        <v>2036.9699999999975</v>
      </c>
      <c r="BV29" s="412">
        <f t="shared" si="20"/>
        <v>31117.10999999999</v>
      </c>
      <c r="BW29" s="412">
        <f t="shared" si="4"/>
        <v>3181.32157631265</v>
      </c>
      <c r="BX29" s="412"/>
      <c r="BY29" s="412">
        <f t="shared" si="21"/>
        <v>201286.72684210527</v>
      </c>
      <c r="BZ29" s="412"/>
      <c r="CA29" s="412">
        <f>IFERROR(VLOOKUP(A29,'Actuals Summer'!A:S,19,FALSE),0)</f>
        <v>201286.72684210527</v>
      </c>
      <c r="CC29" s="412"/>
      <c r="CD29" s="412"/>
      <c r="CE29" s="412"/>
      <c r="CF29" s="412"/>
      <c r="CG29" s="412"/>
      <c r="CH29" s="412"/>
      <c r="CI29" s="412"/>
      <c r="CJ29" s="412"/>
      <c r="CK29" s="412"/>
      <c r="CL29" s="412"/>
      <c r="CM29" s="412"/>
      <c r="CN29" s="412"/>
      <c r="CO29" s="412"/>
      <c r="CQ29" s="363"/>
      <c r="CR29" s="363"/>
      <c r="CS29" s="363"/>
      <c r="CT29" s="363"/>
      <c r="CU29" s="363"/>
      <c r="CV29" s="363"/>
      <c r="CW29" s="363"/>
      <c r="CX29" s="363"/>
      <c r="CZ29" s="414"/>
      <c r="DA29" s="414"/>
      <c r="DB29" s="414"/>
      <c r="DC29" s="414"/>
      <c r="DD29" s="414"/>
      <c r="DE29" s="414"/>
      <c r="DF29" s="414"/>
      <c r="DG29" s="414"/>
      <c r="DI29" s="414">
        <f t="shared" si="22"/>
        <v>0</v>
      </c>
      <c r="DJ29" s="414"/>
      <c r="DK29" s="414"/>
      <c r="DL29" s="414"/>
      <c r="DM29" s="414"/>
      <c r="DN29" s="414"/>
      <c r="DO29" s="414"/>
      <c r="DP29" s="414"/>
      <c r="DQ29" s="414"/>
      <c r="DS29" s="414"/>
      <c r="DT29" s="414"/>
      <c r="DU29" s="414"/>
      <c r="DV29" s="414"/>
      <c r="DW29" s="414"/>
      <c r="DX29" s="414"/>
      <c r="DY29" s="414"/>
      <c r="DZ29" s="414"/>
      <c r="EB29" s="415">
        <f t="shared" si="5"/>
        <v>709354.54419461905</v>
      </c>
      <c r="EC29" s="415">
        <f t="shared" si="6"/>
        <v>1283.3143767313018</v>
      </c>
      <c r="ED29" s="416">
        <f t="shared" si="23"/>
        <v>710637.85857135034</v>
      </c>
    </row>
    <row r="30" spans="1:134" s="422" customFormat="1" hidden="1" x14ac:dyDescent="0.35">
      <c r="A30" s="18">
        <v>2238</v>
      </c>
      <c r="B30" s="19">
        <v>103288</v>
      </c>
      <c r="C30" s="19" t="s">
        <v>47</v>
      </c>
      <c r="D30" s="19" t="s">
        <v>48</v>
      </c>
      <c r="E30" s="20" t="s">
        <v>32</v>
      </c>
      <c r="F30" s="21" t="s">
        <v>49</v>
      </c>
      <c r="G30" s="417"/>
      <c r="H30" s="418">
        <v>0</v>
      </c>
      <c r="I30" s="418"/>
      <c r="J30" s="418">
        <v>0</v>
      </c>
      <c r="K30" s="418">
        <v>0</v>
      </c>
      <c r="L30" s="418">
        <v>54081.3</v>
      </c>
      <c r="M30" s="418">
        <v>1755</v>
      </c>
      <c r="N30" s="418">
        <v>0</v>
      </c>
      <c r="O30" s="418">
        <v>0</v>
      </c>
      <c r="P30" s="417">
        <f t="shared" si="7"/>
        <v>55836.3</v>
      </c>
      <c r="Q30" s="418">
        <f t="shared" si="8"/>
        <v>44669.040000000008</v>
      </c>
      <c r="R30" s="418"/>
      <c r="S30" s="418"/>
      <c r="T30" s="418"/>
      <c r="U30" s="418"/>
      <c r="V30" s="418"/>
      <c r="W30" s="418"/>
      <c r="X30" s="418"/>
      <c r="Y30" s="418"/>
      <c r="Z30" s="418"/>
      <c r="AA30" s="418"/>
      <c r="AB30" s="419"/>
      <c r="AC30" s="419"/>
      <c r="AD30" s="419"/>
      <c r="AE30" s="419"/>
      <c r="AF30" s="419"/>
      <c r="AG30" s="419"/>
      <c r="AH30" s="418"/>
      <c r="AI30" s="419"/>
      <c r="AJ30" s="418"/>
      <c r="AK30" s="419">
        <v>1240.2</v>
      </c>
      <c r="AL30" s="419"/>
      <c r="AM30" s="419"/>
      <c r="AN30" s="418"/>
      <c r="AO30" s="419">
        <f t="shared" si="13"/>
        <v>992.16000000000008</v>
      </c>
      <c r="AP30" s="419">
        <f t="shared" si="13"/>
        <v>0</v>
      </c>
      <c r="AQ30" s="419">
        <f t="shared" si="13"/>
        <v>0</v>
      </c>
      <c r="AR30" s="420"/>
      <c r="AS30" s="420">
        <v>0</v>
      </c>
      <c r="AT30" s="421">
        <f t="shared" si="14"/>
        <v>0</v>
      </c>
      <c r="AU30" s="420"/>
      <c r="AV30" s="412"/>
      <c r="AW30" s="412"/>
      <c r="AX30" s="412"/>
      <c r="AY30" s="412"/>
      <c r="AZ30" s="412"/>
      <c r="BA30" s="412">
        <v>0</v>
      </c>
      <c r="BB30" s="412"/>
      <c r="BC30" s="412">
        <f t="shared" si="15"/>
        <v>0</v>
      </c>
      <c r="BE30" s="205"/>
      <c r="BF30" s="205"/>
      <c r="BG30" s="205"/>
      <c r="BH30" s="205"/>
      <c r="BI30" s="205"/>
      <c r="BJ30" s="205"/>
      <c r="BK30" s="205"/>
      <c r="BL30" s="205"/>
      <c r="BM30" s="215"/>
      <c r="BN30" s="215"/>
      <c r="BO30" s="412"/>
      <c r="BP30" s="412"/>
      <c r="BQ30" s="412"/>
      <c r="BR30" s="412"/>
      <c r="BS30" s="412"/>
      <c r="BT30" s="412"/>
      <c r="BU30" s="412"/>
      <c r="BV30" s="412">
        <f t="shared" si="20"/>
        <v>0</v>
      </c>
      <c r="BW30" s="412"/>
      <c r="BX30" s="420"/>
      <c r="BY30" s="412">
        <f t="shared" si="21"/>
        <v>45661.200000000012</v>
      </c>
      <c r="BZ30" s="420"/>
      <c r="CA30" s="412">
        <f>IFERROR(VLOOKUP(A30,'Actuals Summer'!A:S,19,FALSE),0)</f>
        <v>39152.1</v>
      </c>
      <c r="CC30" s="412"/>
      <c r="CD30" s="412"/>
      <c r="CE30" s="412"/>
      <c r="CF30" s="412"/>
      <c r="CG30" s="412"/>
      <c r="CH30" s="412"/>
      <c r="CI30" s="412"/>
      <c r="CJ30" s="412"/>
      <c r="CK30" s="412"/>
      <c r="CL30" s="412"/>
      <c r="CM30" s="412"/>
      <c r="CN30" s="412"/>
      <c r="CO30" s="412"/>
      <c r="CP30"/>
      <c r="CQ30" s="363"/>
      <c r="CR30" s="363"/>
      <c r="CS30" s="363"/>
      <c r="CT30" s="363"/>
      <c r="CU30" s="363"/>
      <c r="CV30" s="363"/>
      <c r="CW30" s="363"/>
      <c r="CX30" s="363"/>
      <c r="CY30"/>
      <c r="CZ30" s="414"/>
      <c r="DA30" s="414"/>
      <c r="DB30" s="414"/>
      <c r="DC30" s="414"/>
      <c r="DD30" s="414"/>
      <c r="DE30" s="414"/>
      <c r="DF30" s="414"/>
      <c r="DG30" s="414"/>
      <c r="DH30"/>
      <c r="DI30" s="414">
        <f t="shared" si="22"/>
        <v>6509.1000000000131</v>
      </c>
      <c r="DJ30" s="423"/>
      <c r="DK30" s="423"/>
      <c r="DL30" s="423"/>
      <c r="DM30" s="423"/>
      <c r="DN30" s="423"/>
      <c r="DO30" s="423"/>
      <c r="DP30" s="423"/>
      <c r="DQ30" s="423"/>
      <c r="DS30" s="423"/>
      <c r="DT30" s="423"/>
      <c r="DU30" s="423"/>
      <c r="DV30" s="423"/>
      <c r="DW30" s="423"/>
      <c r="DX30" s="423"/>
      <c r="DY30" s="423"/>
      <c r="DZ30" s="423"/>
      <c r="EB30" s="415">
        <f>((SUMIFS($J30:$AQ30,$J$3:$AQ$3,$EB$7)*80%))+SUMIFS($AS30:$AT30,$AS$3:$AT$3,$EB$7)+SUMIFS($AV30:$BC30,$AV$3:$BC$3,$EB$7)+Q30+AO30</f>
        <v>45661.200000000012</v>
      </c>
      <c r="EC30" s="415">
        <f t="shared" si="6"/>
        <v>0</v>
      </c>
      <c r="ED30" s="424">
        <f t="shared" si="23"/>
        <v>45661.200000000012</v>
      </c>
    </row>
    <row r="31" spans="1:134" s="422" customFormat="1" hidden="1" x14ac:dyDescent="0.35">
      <c r="A31" s="18">
        <v>2236</v>
      </c>
      <c r="B31" s="19">
        <v>103286</v>
      </c>
      <c r="C31" s="19" t="s">
        <v>913</v>
      </c>
      <c r="D31" s="19" t="s">
        <v>914</v>
      </c>
      <c r="E31" s="20" t="s">
        <v>32</v>
      </c>
      <c r="F31" s="21" t="s">
        <v>49</v>
      </c>
      <c r="G31" s="417"/>
      <c r="H31" s="418">
        <v>0</v>
      </c>
      <c r="I31" s="418"/>
      <c r="J31" s="418">
        <v>0</v>
      </c>
      <c r="K31" s="418">
        <v>0</v>
      </c>
      <c r="L31" s="418">
        <v>0</v>
      </c>
      <c r="M31" s="418">
        <v>0</v>
      </c>
      <c r="N31" s="418">
        <v>0</v>
      </c>
      <c r="O31" s="418">
        <v>0</v>
      </c>
      <c r="P31" s="417">
        <f t="shared" si="7"/>
        <v>0</v>
      </c>
      <c r="Q31" s="418">
        <f t="shared" si="8"/>
        <v>0</v>
      </c>
      <c r="R31" s="418"/>
      <c r="S31" s="418">
        <v>0</v>
      </c>
      <c r="T31" s="418">
        <v>0</v>
      </c>
      <c r="U31" s="418">
        <v>0</v>
      </c>
      <c r="V31" s="418">
        <v>0</v>
      </c>
      <c r="W31" s="418">
        <v>0</v>
      </c>
      <c r="X31" s="418">
        <v>0</v>
      </c>
      <c r="Y31" s="418">
        <f t="shared" si="9"/>
        <v>0</v>
      </c>
      <c r="Z31" s="418">
        <f t="shared" si="10"/>
        <v>0</v>
      </c>
      <c r="AA31" s="418"/>
      <c r="AB31" s="419">
        <v>0</v>
      </c>
      <c r="AC31" s="419">
        <v>0</v>
      </c>
      <c r="AD31" s="419">
        <v>0</v>
      </c>
      <c r="AE31" s="419">
        <v>0</v>
      </c>
      <c r="AF31" s="419">
        <v>0</v>
      </c>
      <c r="AG31" s="419">
        <v>0</v>
      </c>
      <c r="AH31" s="418">
        <f t="shared" si="11"/>
        <v>0</v>
      </c>
      <c r="AI31" s="419">
        <f t="shared" si="12"/>
        <v>0</v>
      </c>
      <c r="AJ31" s="418"/>
      <c r="AK31" s="419">
        <v>0</v>
      </c>
      <c r="AL31" s="419">
        <v>0</v>
      </c>
      <c r="AM31" s="419">
        <v>0</v>
      </c>
      <c r="AN31" s="418"/>
      <c r="AO31" s="419">
        <f t="shared" si="13"/>
        <v>0</v>
      </c>
      <c r="AP31" s="419">
        <f t="shared" si="13"/>
        <v>0</v>
      </c>
      <c r="AQ31" s="419">
        <f t="shared" si="13"/>
        <v>0</v>
      </c>
      <c r="AR31" s="420"/>
      <c r="AS31" s="420">
        <v>0</v>
      </c>
      <c r="AT31" s="421">
        <f t="shared" si="14"/>
        <v>0</v>
      </c>
      <c r="AU31" s="420"/>
      <c r="AV31" s="412">
        <v>0</v>
      </c>
      <c r="AW31" s="412">
        <v>0</v>
      </c>
      <c r="AX31" s="412">
        <v>0</v>
      </c>
      <c r="AY31" s="412">
        <v>0</v>
      </c>
      <c r="AZ31" s="412">
        <v>0</v>
      </c>
      <c r="BA31" s="412">
        <v>0</v>
      </c>
      <c r="BB31" s="412">
        <v>0</v>
      </c>
      <c r="BC31" s="412">
        <f t="shared" si="15"/>
        <v>0</v>
      </c>
      <c r="BE31" s="205">
        <f t="shared" si="16"/>
        <v>0</v>
      </c>
      <c r="BF31" s="205">
        <f t="shared" si="16"/>
        <v>0</v>
      </c>
      <c r="BG31" s="205">
        <f t="shared" si="16"/>
        <v>0</v>
      </c>
      <c r="BH31" s="205">
        <f t="shared" si="16"/>
        <v>0</v>
      </c>
      <c r="BI31" s="205">
        <f t="shared" si="16"/>
        <v>0</v>
      </c>
      <c r="BJ31" s="205">
        <f t="shared" si="16"/>
        <v>0</v>
      </c>
      <c r="BK31" s="205">
        <f t="shared" si="17"/>
        <v>0</v>
      </c>
      <c r="BL31" s="205">
        <f t="shared" si="18"/>
        <v>0</v>
      </c>
      <c r="BM31" s="215">
        <f t="shared" si="19"/>
        <v>0</v>
      </c>
      <c r="BN31" s="215"/>
      <c r="BO31" s="412">
        <f t="shared" ref="BO31:BT62" si="24">AV31-(J31*80%)</f>
        <v>0</v>
      </c>
      <c r="BP31" s="412">
        <f t="shared" si="24"/>
        <v>0</v>
      </c>
      <c r="BQ31" s="412">
        <f t="shared" si="24"/>
        <v>0</v>
      </c>
      <c r="BR31" s="412">
        <f t="shared" si="24"/>
        <v>0</v>
      </c>
      <c r="BS31" s="412">
        <f t="shared" si="24"/>
        <v>0</v>
      </c>
      <c r="BT31" s="412">
        <f t="shared" si="24"/>
        <v>0</v>
      </c>
      <c r="BU31" s="412">
        <f t="shared" ref="BU31:BU90" si="25">BB31-(AK31*80%)</f>
        <v>0</v>
      </c>
      <c r="BV31" s="412">
        <f t="shared" si="20"/>
        <v>0</v>
      </c>
      <c r="BW31" s="412">
        <f t="shared" si="4"/>
        <v>0</v>
      </c>
      <c r="BX31" s="420"/>
      <c r="BY31" s="412">
        <f t="shared" si="21"/>
        <v>0</v>
      </c>
      <c r="BZ31" s="420"/>
      <c r="CA31" s="412">
        <f>IFERROR(VLOOKUP(A31,'Actuals Summer'!A:S,19,FALSE),0)</f>
        <v>0</v>
      </c>
      <c r="CC31" s="412"/>
      <c r="CD31" s="412"/>
      <c r="CE31" s="412"/>
      <c r="CF31" s="412"/>
      <c r="CG31" s="412"/>
      <c r="CH31" s="412"/>
      <c r="CI31" s="412"/>
      <c r="CJ31" s="412"/>
      <c r="CK31" s="412"/>
      <c r="CL31" s="412"/>
      <c r="CM31" s="412"/>
      <c r="CN31" s="412"/>
      <c r="CO31" s="412"/>
      <c r="CP31"/>
      <c r="CQ31" s="363"/>
      <c r="CR31" s="363"/>
      <c r="CS31" s="363"/>
      <c r="CT31" s="363"/>
      <c r="CU31" s="363"/>
      <c r="CV31" s="363"/>
      <c r="CW31" s="363"/>
      <c r="CX31" s="363"/>
      <c r="CY31"/>
      <c r="CZ31" s="414"/>
      <c r="DA31" s="414"/>
      <c r="DB31" s="414"/>
      <c r="DC31" s="414"/>
      <c r="DD31" s="414"/>
      <c r="DE31" s="414"/>
      <c r="DF31" s="414"/>
      <c r="DG31" s="414"/>
      <c r="DH31"/>
      <c r="DI31" s="414">
        <f t="shared" si="22"/>
        <v>0</v>
      </c>
      <c r="DJ31" s="423"/>
      <c r="DK31" s="423"/>
      <c r="DL31" s="423"/>
      <c r="DM31" s="423"/>
      <c r="DN31" s="423"/>
      <c r="DO31" s="423"/>
      <c r="DP31" s="423"/>
      <c r="DQ31" s="423"/>
      <c r="DS31" s="423"/>
      <c r="DT31" s="423"/>
      <c r="DU31" s="423"/>
      <c r="DV31" s="423"/>
      <c r="DW31" s="423"/>
      <c r="DX31" s="423"/>
      <c r="DY31" s="423"/>
      <c r="DZ31" s="423"/>
      <c r="EB31" s="415">
        <f t="shared" si="5"/>
        <v>0</v>
      </c>
      <c r="EC31" s="415">
        <f t="shared" si="6"/>
        <v>0</v>
      </c>
      <c r="ED31" s="424">
        <f t="shared" si="23"/>
        <v>0</v>
      </c>
    </row>
    <row r="32" spans="1:134" hidden="1" x14ac:dyDescent="0.35">
      <c r="A32" s="17">
        <v>2465</v>
      </c>
      <c r="B32" s="4">
        <v>103391</v>
      </c>
      <c r="C32" s="4" t="s">
        <v>50</v>
      </c>
      <c r="D32" s="4" t="s">
        <v>51</v>
      </c>
      <c r="E32" s="15" t="s">
        <v>32</v>
      </c>
      <c r="F32" s="16" t="s">
        <v>27</v>
      </c>
      <c r="G32" s="215"/>
      <c r="H32" s="363">
        <v>0</v>
      </c>
      <c r="I32" s="410"/>
      <c r="J32" s="363">
        <v>0</v>
      </c>
      <c r="K32" s="363">
        <v>0</v>
      </c>
      <c r="L32" s="363">
        <v>46355.4</v>
      </c>
      <c r="M32" s="363">
        <v>2535</v>
      </c>
      <c r="N32" s="363">
        <v>0</v>
      </c>
      <c r="O32" s="363">
        <v>0</v>
      </c>
      <c r="P32" s="215">
        <f t="shared" si="7"/>
        <v>48890.400000000001</v>
      </c>
      <c r="Q32" s="363">
        <f t="shared" si="8"/>
        <v>39112.32</v>
      </c>
      <c r="R32" s="410"/>
      <c r="S32" s="363">
        <v>0</v>
      </c>
      <c r="T32" s="363">
        <v>0</v>
      </c>
      <c r="U32" s="363">
        <v>25385.100000000002</v>
      </c>
      <c r="V32" s="363">
        <v>390</v>
      </c>
      <c r="W32" s="363">
        <v>0</v>
      </c>
      <c r="X32" s="363">
        <v>0</v>
      </c>
      <c r="Y32" s="363">
        <f t="shared" si="9"/>
        <v>25775.100000000002</v>
      </c>
      <c r="Z32" s="363">
        <f t="shared" si="10"/>
        <v>20620.080000000002</v>
      </c>
      <c r="AA32" s="410"/>
      <c r="AB32" s="411">
        <v>0</v>
      </c>
      <c r="AC32" s="411">
        <v>0</v>
      </c>
      <c r="AD32" s="411">
        <v>33459.53684210527</v>
      </c>
      <c r="AE32" s="411">
        <v>1364.2105263157894</v>
      </c>
      <c r="AF32" s="411">
        <v>0</v>
      </c>
      <c r="AG32" s="411">
        <v>0</v>
      </c>
      <c r="AH32" s="363">
        <f t="shared" si="11"/>
        <v>34823.747368421056</v>
      </c>
      <c r="AI32" s="411">
        <f t="shared" si="12"/>
        <v>27858.997894736847</v>
      </c>
      <c r="AJ32" s="410"/>
      <c r="AK32" s="411">
        <v>0</v>
      </c>
      <c r="AL32" s="411">
        <v>56.55</v>
      </c>
      <c r="AM32" s="411">
        <v>16.484210526315788</v>
      </c>
      <c r="AN32" s="410"/>
      <c r="AO32" s="411">
        <f t="shared" si="13"/>
        <v>0</v>
      </c>
      <c r="AP32" s="411">
        <f t="shared" si="13"/>
        <v>45.24</v>
      </c>
      <c r="AQ32" s="411">
        <f t="shared" si="13"/>
        <v>13.187368421052632</v>
      </c>
      <c r="AR32" s="412"/>
      <c r="AS32" s="412">
        <v>0</v>
      </c>
      <c r="AT32" s="413">
        <f t="shared" si="14"/>
        <v>0</v>
      </c>
      <c r="AU32" s="412"/>
      <c r="AV32" s="412">
        <v>0</v>
      </c>
      <c r="AW32" s="412">
        <v>0</v>
      </c>
      <c r="AX32" s="412">
        <v>33111</v>
      </c>
      <c r="AY32" s="412">
        <v>1560</v>
      </c>
      <c r="AZ32" s="412">
        <v>0</v>
      </c>
      <c r="BA32" s="412">
        <v>0</v>
      </c>
      <c r="BB32" s="412">
        <v>56.55</v>
      </c>
      <c r="BC32" s="412">
        <f t="shared" si="15"/>
        <v>34727.550000000003</v>
      </c>
      <c r="BE32" s="205">
        <f t="shared" si="16"/>
        <v>0</v>
      </c>
      <c r="BF32" s="205">
        <f t="shared" si="16"/>
        <v>0</v>
      </c>
      <c r="BG32" s="205">
        <f t="shared" si="16"/>
        <v>-13244.400000000001</v>
      </c>
      <c r="BH32" s="205">
        <f t="shared" si="16"/>
        <v>-975</v>
      </c>
      <c r="BI32" s="205">
        <f t="shared" si="16"/>
        <v>0</v>
      </c>
      <c r="BJ32" s="205">
        <f t="shared" si="16"/>
        <v>0</v>
      </c>
      <c r="BK32" s="205">
        <f t="shared" si="17"/>
        <v>56.55</v>
      </c>
      <c r="BL32" s="205">
        <f t="shared" si="18"/>
        <v>-14162.850000000002</v>
      </c>
      <c r="BM32" s="215">
        <f t="shared" si="19"/>
        <v>0</v>
      </c>
      <c r="BN32" s="215"/>
      <c r="BO32" s="412">
        <f t="shared" si="24"/>
        <v>0</v>
      </c>
      <c r="BP32" s="412">
        <f t="shared" si="24"/>
        <v>0</v>
      </c>
      <c r="BQ32" s="412">
        <f t="shared" si="24"/>
        <v>-3973.3199999999997</v>
      </c>
      <c r="BR32" s="412">
        <f t="shared" si="24"/>
        <v>-468</v>
      </c>
      <c r="BS32" s="412">
        <f t="shared" si="24"/>
        <v>0</v>
      </c>
      <c r="BT32" s="412">
        <f t="shared" si="24"/>
        <v>0</v>
      </c>
      <c r="BU32" s="412">
        <f t="shared" si="25"/>
        <v>56.55</v>
      </c>
      <c r="BV32" s="412">
        <f t="shared" si="20"/>
        <v>-4384.7699999999995</v>
      </c>
      <c r="BW32" s="412">
        <f t="shared" si="4"/>
        <v>0</v>
      </c>
      <c r="BX32" s="412"/>
      <c r="BY32" s="412">
        <f t="shared" si="21"/>
        <v>34727.550000000003</v>
      </c>
      <c r="BZ32" s="412"/>
      <c r="CA32" s="412">
        <f>IFERROR(VLOOKUP(A32,'Actuals Summer'!A:S,19,FALSE),0)</f>
        <v>34727.550000000003</v>
      </c>
      <c r="CC32" s="412"/>
      <c r="CD32" s="412"/>
      <c r="CE32" s="412"/>
      <c r="CF32" s="412"/>
      <c r="CG32" s="412"/>
      <c r="CH32" s="412"/>
      <c r="CI32" s="412"/>
      <c r="CJ32" s="412"/>
      <c r="CK32" s="412"/>
      <c r="CL32" s="412"/>
      <c r="CM32" s="412"/>
      <c r="CN32" s="412"/>
      <c r="CO32" s="412"/>
      <c r="CQ32" s="363"/>
      <c r="CR32" s="363"/>
      <c r="CS32" s="363"/>
      <c r="CT32" s="363"/>
      <c r="CU32" s="363"/>
      <c r="CV32" s="363"/>
      <c r="CW32" s="363"/>
      <c r="CX32" s="363"/>
      <c r="CZ32" s="414"/>
      <c r="DA32" s="414"/>
      <c r="DB32" s="414"/>
      <c r="DC32" s="414"/>
      <c r="DD32" s="414"/>
      <c r="DE32" s="414"/>
      <c r="DF32" s="414"/>
      <c r="DG32" s="414"/>
      <c r="DI32" s="414">
        <f t="shared" si="22"/>
        <v>0</v>
      </c>
      <c r="DJ32" s="414"/>
      <c r="DK32" s="414"/>
      <c r="DL32" s="414"/>
      <c r="DM32" s="414"/>
      <c r="DN32" s="414"/>
      <c r="DO32" s="414"/>
      <c r="DP32" s="414"/>
      <c r="DQ32" s="414"/>
      <c r="DS32" s="414"/>
      <c r="DT32" s="414"/>
      <c r="DU32" s="414"/>
      <c r="DV32" s="414"/>
      <c r="DW32" s="414"/>
      <c r="DX32" s="414"/>
      <c r="DY32" s="414"/>
      <c r="DZ32" s="414"/>
      <c r="EB32" s="415">
        <f t="shared" si="5"/>
        <v>83265.055263157905</v>
      </c>
      <c r="EC32" s="415">
        <f t="shared" si="6"/>
        <v>0</v>
      </c>
      <c r="ED32" s="416">
        <f t="shared" si="23"/>
        <v>83265.055263157905</v>
      </c>
    </row>
    <row r="33" spans="1:134" hidden="1" x14ac:dyDescent="0.35">
      <c r="A33" s="17">
        <v>4801</v>
      </c>
      <c r="B33" s="4">
        <v>103539</v>
      </c>
      <c r="C33" s="4" t="s">
        <v>915</v>
      </c>
      <c r="D33" s="4" t="s">
        <v>916</v>
      </c>
      <c r="E33" s="15" t="s">
        <v>904</v>
      </c>
      <c r="F33" s="16" t="s">
        <v>27</v>
      </c>
      <c r="G33" s="215"/>
      <c r="H33" s="363">
        <v>0</v>
      </c>
      <c r="I33" s="410"/>
      <c r="J33" s="363">
        <v>0</v>
      </c>
      <c r="K33" s="363">
        <v>0</v>
      </c>
      <c r="L33" s="363">
        <v>0</v>
      </c>
      <c r="M33" s="363">
        <v>0</v>
      </c>
      <c r="N33" s="363">
        <v>0</v>
      </c>
      <c r="O33" s="363">
        <v>0</v>
      </c>
      <c r="P33" s="215">
        <f t="shared" si="7"/>
        <v>0</v>
      </c>
      <c r="Q33" s="363">
        <f t="shared" si="8"/>
        <v>0</v>
      </c>
      <c r="R33" s="410"/>
      <c r="S33" s="363">
        <v>0</v>
      </c>
      <c r="T33" s="363">
        <v>0</v>
      </c>
      <c r="U33" s="363">
        <v>0</v>
      </c>
      <c r="V33" s="363">
        <v>0</v>
      </c>
      <c r="W33" s="363">
        <v>0</v>
      </c>
      <c r="X33" s="363">
        <v>0</v>
      </c>
      <c r="Y33" s="363">
        <f t="shared" si="9"/>
        <v>0</v>
      </c>
      <c r="Z33" s="363">
        <f t="shared" si="10"/>
        <v>0</v>
      </c>
      <c r="AA33" s="410"/>
      <c r="AB33" s="411">
        <v>0</v>
      </c>
      <c r="AC33" s="411">
        <v>0</v>
      </c>
      <c r="AD33" s="411">
        <v>0</v>
      </c>
      <c r="AE33" s="411">
        <v>0</v>
      </c>
      <c r="AF33" s="411">
        <v>0</v>
      </c>
      <c r="AG33" s="411">
        <v>0</v>
      </c>
      <c r="AH33" s="363">
        <f t="shared" si="11"/>
        <v>0</v>
      </c>
      <c r="AI33" s="411">
        <f t="shared" si="12"/>
        <v>0</v>
      </c>
      <c r="AJ33" s="410"/>
      <c r="AK33" s="411">
        <v>0</v>
      </c>
      <c r="AL33" s="411">
        <v>0</v>
      </c>
      <c r="AM33" s="411">
        <v>0</v>
      </c>
      <c r="AN33" s="410"/>
      <c r="AO33" s="411">
        <f t="shared" si="13"/>
        <v>0</v>
      </c>
      <c r="AP33" s="411">
        <f t="shared" si="13"/>
        <v>0</v>
      </c>
      <c r="AQ33" s="411">
        <f t="shared" si="13"/>
        <v>0</v>
      </c>
      <c r="AR33" s="412"/>
      <c r="AS33" s="412">
        <v>0</v>
      </c>
      <c r="AT33" s="413">
        <f t="shared" si="14"/>
        <v>0</v>
      </c>
      <c r="AU33" s="412"/>
      <c r="AV33" s="412">
        <v>0</v>
      </c>
      <c r="AW33" s="412">
        <v>0</v>
      </c>
      <c r="AX33" s="412">
        <v>0</v>
      </c>
      <c r="AY33" s="412">
        <v>0</v>
      </c>
      <c r="AZ33" s="412">
        <v>0</v>
      </c>
      <c r="BA33" s="412">
        <v>0</v>
      </c>
      <c r="BB33" s="412">
        <v>0</v>
      </c>
      <c r="BC33" s="412">
        <f t="shared" si="15"/>
        <v>0</v>
      </c>
      <c r="BE33" s="205">
        <f t="shared" si="16"/>
        <v>0</v>
      </c>
      <c r="BF33" s="205">
        <f t="shared" si="16"/>
        <v>0</v>
      </c>
      <c r="BG33" s="205">
        <f t="shared" si="16"/>
        <v>0</v>
      </c>
      <c r="BH33" s="205">
        <f t="shared" si="16"/>
        <v>0</v>
      </c>
      <c r="BI33" s="205">
        <f t="shared" si="16"/>
        <v>0</v>
      </c>
      <c r="BJ33" s="205">
        <f t="shared" si="16"/>
        <v>0</v>
      </c>
      <c r="BK33" s="205">
        <f t="shared" si="17"/>
        <v>0</v>
      </c>
      <c r="BL33" s="205">
        <f t="shared" si="18"/>
        <v>0</v>
      </c>
      <c r="BM33" s="215">
        <f t="shared" si="19"/>
        <v>0</v>
      </c>
      <c r="BN33" s="215"/>
      <c r="BO33" s="412">
        <f t="shared" si="24"/>
        <v>0</v>
      </c>
      <c r="BP33" s="412">
        <f t="shared" si="24"/>
        <v>0</v>
      </c>
      <c r="BQ33" s="412">
        <f t="shared" si="24"/>
        <v>0</v>
      </c>
      <c r="BR33" s="412">
        <f t="shared" si="24"/>
        <v>0</v>
      </c>
      <c r="BS33" s="412">
        <f t="shared" si="24"/>
        <v>0</v>
      </c>
      <c r="BT33" s="412">
        <f t="shared" si="24"/>
        <v>0</v>
      </c>
      <c r="BU33" s="412">
        <f t="shared" si="25"/>
        <v>0</v>
      </c>
      <c r="BV33" s="412">
        <f t="shared" si="20"/>
        <v>0</v>
      </c>
      <c r="BW33" s="412">
        <f t="shared" si="4"/>
        <v>0</v>
      </c>
      <c r="BX33" s="412"/>
      <c r="BY33" s="412">
        <f t="shared" si="21"/>
        <v>0</v>
      </c>
      <c r="BZ33" s="412"/>
      <c r="CA33" s="412">
        <f>IFERROR(VLOOKUP(A33,'Actuals Summer'!A:S,19,FALSE),0)</f>
        <v>0</v>
      </c>
      <c r="CC33" s="412"/>
      <c r="CD33" s="412"/>
      <c r="CE33" s="412"/>
      <c r="CF33" s="412"/>
      <c r="CG33" s="412"/>
      <c r="CH33" s="412"/>
      <c r="CI33" s="412"/>
      <c r="CJ33" s="412"/>
      <c r="CK33" s="412"/>
      <c r="CL33" s="412"/>
      <c r="CM33" s="412"/>
      <c r="CN33" s="412"/>
      <c r="CO33" s="412"/>
      <c r="CQ33" s="363"/>
      <c r="CR33" s="363"/>
      <c r="CS33" s="363"/>
      <c r="CT33" s="363"/>
      <c r="CU33" s="363"/>
      <c r="CV33" s="363"/>
      <c r="CW33" s="363"/>
      <c r="CX33" s="363"/>
      <c r="CZ33" s="414"/>
      <c r="DA33" s="414"/>
      <c r="DB33" s="414"/>
      <c r="DC33" s="414"/>
      <c r="DD33" s="414"/>
      <c r="DE33" s="414"/>
      <c r="DF33" s="414"/>
      <c r="DG33" s="414"/>
      <c r="DI33" s="414">
        <f t="shared" si="22"/>
        <v>0</v>
      </c>
      <c r="DJ33" s="414"/>
      <c r="DK33" s="414"/>
      <c r="DL33" s="414"/>
      <c r="DM33" s="414"/>
      <c r="DN33" s="414"/>
      <c r="DO33" s="414"/>
      <c r="DP33" s="414"/>
      <c r="DQ33" s="414"/>
      <c r="DS33" s="414"/>
      <c r="DT33" s="414"/>
      <c r="DU33" s="414"/>
      <c r="DV33" s="414"/>
      <c r="DW33" s="414"/>
      <c r="DX33" s="414"/>
      <c r="DY33" s="414"/>
      <c r="DZ33" s="414"/>
      <c r="EB33" s="415">
        <f t="shared" si="5"/>
        <v>0</v>
      </c>
      <c r="EC33" s="415">
        <f t="shared" si="6"/>
        <v>0</v>
      </c>
      <c r="ED33" s="416">
        <f t="shared" si="23"/>
        <v>0</v>
      </c>
    </row>
    <row r="34" spans="1:134" hidden="1" x14ac:dyDescent="0.35">
      <c r="A34" s="17">
        <v>1048</v>
      </c>
      <c r="B34" s="4">
        <v>103144</v>
      </c>
      <c r="C34" s="4" t="s">
        <v>52</v>
      </c>
      <c r="D34" s="4" t="s">
        <v>53</v>
      </c>
      <c r="E34" s="15" t="s">
        <v>26</v>
      </c>
      <c r="F34" s="16" t="s">
        <v>27</v>
      </c>
      <c r="G34" s="215"/>
      <c r="H34" s="363">
        <v>317257.64521137776</v>
      </c>
      <c r="I34" s="410"/>
      <c r="J34" s="363">
        <v>0</v>
      </c>
      <c r="K34" s="363">
        <v>49783.5</v>
      </c>
      <c r="L34" s="363">
        <v>166658.70000000001</v>
      </c>
      <c r="M34" s="363">
        <v>11115</v>
      </c>
      <c r="N34" s="363">
        <v>3579.7894736842109</v>
      </c>
      <c r="O34" s="363">
        <v>2567.1578947368421</v>
      </c>
      <c r="P34" s="215">
        <f t="shared" si="7"/>
        <v>233704.14736842108</v>
      </c>
      <c r="Q34" s="363">
        <f t="shared" si="8"/>
        <v>186963.31789473689</v>
      </c>
      <c r="R34" s="410"/>
      <c r="S34" s="363">
        <v>0</v>
      </c>
      <c r="T34" s="363">
        <v>109523.7</v>
      </c>
      <c r="U34" s="363">
        <v>102644.1</v>
      </c>
      <c r="V34" s="363">
        <v>17550</v>
      </c>
      <c r="W34" s="363">
        <v>6637.5263157894742</v>
      </c>
      <c r="X34" s="363">
        <v>1925.3684210526317</v>
      </c>
      <c r="Y34" s="363">
        <f t="shared" si="9"/>
        <v>238280.6947368421</v>
      </c>
      <c r="Z34" s="363">
        <f t="shared" si="10"/>
        <v>190624.5557894737</v>
      </c>
      <c r="AA34" s="410"/>
      <c r="AB34" s="411">
        <v>0</v>
      </c>
      <c r="AC34" s="411">
        <v>63851.873684210528</v>
      </c>
      <c r="AD34" s="411">
        <v>124829.81052631579</v>
      </c>
      <c r="AE34" s="411">
        <v>12675.78947368421</v>
      </c>
      <c r="AF34" s="411">
        <v>3913.1301939058167</v>
      </c>
      <c r="AG34" s="411">
        <v>1870.8033240997231</v>
      </c>
      <c r="AH34" s="363">
        <f t="shared" si="11"/>
        <v>207141.40720221607</v>
      </c>
      <c r="AI34" s="411">
        <f t="shared" si="12"/>
        <v>165713.12576177286</v>
      </c>
      <c r="AJ34" s="410"/>
      <c r="AK34" s="411">
        <v>12376.65</v>
      </c>
      <c r="AL34" s="411">
        <v>9553.0499999999975</v>
      </c>
      <c r="AM34" s="411">
        <v>8881.5789473684199</v>
      </c>
      <c r="AN34" s="410"/>
      <c r="AO34" s="411">
        <f t="shared" si="13"/>
        <v>9901.32</v>
      </c>
      <c r="AP34" s="411">
        <f t="shared" si="13"/>
        <v>7642.4399999999987</v>
      </c>
      <c r="AQ34" s="411">
        <f t="shared" si="13"/>
        <v>7105.2631578947367</v>
      </c>
      <c r="AR34" s="412"/>
      <c r="AS34" s="412">
        <v>321128.5611417786</v>
      </c>
      <c r="AT34" s="413">
        <f t="shared" si="14"/>
        <v>3870.9159304008354</v>
      </c>
      <c r="AU34" s="412"/>
      <c r="AV34" s="412">
        <v>0</v>
      </c>
      <c r="AW34" s="412">
        <v>49783.5</v>
      </c>
      <c r="AX34" s="412">
        <v>171073.5</v>
      </c>
      <c r="AY34" s="412">
        <v>17160</v>
      </c>
      <c r="AZ34" s="412">
        <v>6562.9473684210525</v>
      </c>
      <c r="BA34" s="412">
        <v>2888.0099999999998</v>
      </c>
      <c r="BB34" s="412">
        <v>10360.35</v>
      </c>
      <c r="BC34" s="412">
        <f t="shared" si="15"/>
        <v>578956.86851019971</v>
      </c>
      <c r="BE34" s="205">
        <f t="shared" si="16"/>
        <v>0</v>
      </c>
      <c r="BF34" s="205">
        <f t="shared" si="16"/>
        <v>0</v>
      </c>
      <c r="BG34" s="205">
        <f t="shared" si="16"/>
        <v>4414.7999999999884</v>
      </c>
      <c r="BH34" s="205">
        <f t="shared" si="16"/>
        <v>6045</v>
      </c>
      <c r="BI34" s="205">
        <f t="shared" si="16"/>
        <v>2983.1578947368416</v>
      </c>
      <c r="BJ34" s="205">
        <f t="shared" si="16"/>
        <v>320.85210526315768</v>
      </c>
      <c r="BK34" s="205">
        <f t="shared" si="17"/>
        <v>-2016.2999999999993</v>
      </c>
      <c r="BL34" s="205">
        <f t="shared" si="18"/>
        <v>15618.425930400823</v>
      </c>
      <c r="BM34" s="215">
        <f t="shared" si="19"/>
        <v>0</v>
      </c>
      <c r="BN34" s="215"/>
      <c r="BO34" s="412">
        <f t="shared" si="24"/>
        <v>0</v>
      </c>
      <c r="BP34" s="412">
        <f t="shared" si="24"/>
        <v>9956.6999999999971</v>
      </c>
      <c r="BQ34" s="412">
        <f t="shared" si="24"/>
        <v>37746.539999999979</v>
      </c>
      <c r="BR34" s="412">
        <f t="shared" si="24"/>
        <v>8268</v>
      </c>
      <c r="BS34" s="412">
        <f t="shared" si="24"/>
        <v>3699.1157894736834</v>
      </c>
      <c r="BT34" s="412">
        <f t="shared" si="24"/>
        <v>834.28368421052619</v>
      </c>
      <c r="BU34" s="412">
        <f t="shared" si="25"/>
        <v>459.03000000000065</v>
      </c>
      <c r="BV34" s="412">
        <f t="shared" si="20"/>
        <v>60963.669473684182</v>
      </c>
      <c r="BW34" s="412">
        <f t="shared" si="4"/>
        <v>-3870.9159304008354</v>
      </c>
      <c r="BX34" s="412"/>
      <c r="BY34" s="412">
        <f t="shared" si="21"/>
        <v>257828.30736842108</v>
      </c>
      <c r="BZ34" s="412"/>
      <c r="CA34" s="412">
        <f>IFERROR(VLOOKUP(A34,'Actuals Summer'!A:S,19,FALSE),0)</f>
        <v>257828.30736842105</v>
      </c>
      <c r="CC34" s="412"/>
      <c r="CD34" s="412"/>
      <c r="CE34" s="412"/>
      <c r="CF34" s="412"/>
      <c r="CG34" s="412"/>
      <c r="CH34" s="412"/>
      <c r="CI34" s="412"/>
      <c r="CJ34" s="412"/>
      <c r="CK34" s="412"/>
      <c r="CL34" s="412"/>
      <c r="CM34" s="412"/>
      <c r="CN34" s="412"/>
      <c r="CO34" s="412"/>
      <c r="CQ34" s="363"/>
      <c r="CR34" s="363"/>
      <c r="CS34" s="363"/>
      <c r="CT34" s="363"/>
      <c r="CU34" s="363"/>
      <c r="CV34" s="363"/>
      <c r="CW34" s="363"/>
      <c r="CX34" s="363"/>
      <c r="CZ34" s="414"/>
      <c r="DA34" s="414"/>
      <c r="DB34" s="414"/>
      <c r="DC34" s="414"/>
      <c r="DD34" s="414"/>
      <c r="DE34" s="414"/>
      <c r="DF34" s="414"/>
      <c r="DG34" s="414"/>
      <c r="DI34" s="414">
        <f t="shared" si="22"/>
        <v>0</v>
      </c>
      <c r="DJ34" s="414"/>
      <c r="DK34" s="414"/>
      <c r="DL34" s="414"/>
      <c r="DM34" s="414"/>
      <c r="DN34" s="414"/>
      <c r="DO34" s="414"/>
      <c r="DP34" s="414"/>
      <c r="DQ34" s="414"/>
      <c r="DS34" s="414"/>
      <c r="DT34" s="414"/>
      <c r="DU34" s="414"/>
      <c r="DV34" s="414"/>
      <c r="DW34" s="414"/>
      <c r="DX34" s="414"/>
      <c r="DY34" s="414"/>
      <c r="DZ34" s="414"/>
      <c r="EB34" s="415">
        <f t="shared" si="5"/>
        <v>944117.30582321901</v>
      </c>
      <c r="EC34" s="415">
        <f t="shared" si="6"/>
        <v>5924.9473961218837</v>
      </c>
      <c r="ED34" s="416">
        <f t="shared" si="23"/>
        <v>950042.25321934093</v>
      </c>
    </row>
    <row r="35" spans="1:134" hidden="1" x14ac:dyDescent="0.35">
      <c r="A35" s="17">
        <v>2312</v>
      </c>
      <c r="B35" s="4">
        <v>103332</v>
      </c>
      <c r="C35" s="4" t="s">
        <v>917</v>
      </c>
      <c r="D35" s="4" t="s">
        <v>918</v>
      </c>
      <c r="E35" s="15" t="s">
        <v>32</v>
      </c>
      <c r="F35" s="16" t="s">
        <v>27</v>
      </c>
      <c r="G35" s="215"/>
      <c r="H35" s="363">
        <v>0</v>
      </c>
      <c r="I35" s="410"/>
      <c r="J35" s="363">
        <v>0</v>
      </c>
      <c r="K35" s="363">
        <v>0</v>
      </c>
      <c r="L35" s="363">
        <v>0</v>
      </c>
      <c r="M35" s="363">
        <v>0</v>
      </c>
      <c r="N35" s="363">
        <v>0</v>
      </c>
      <c r="O35" s="363">
        <v>0</v>
      </c>
      <c r="P35" s="215">
        <f t="shared" si="7"/>
        <v>0</v>
      </c>
      <c r="Q35" s="363">
        <f t="shared" si="8"/>
        <v>0</v>
      </c>
      <c r="R35" s="410"/>
      <c r="S35" s="363">
        <v>0</v>
      </c>
      <c r="T35" s="363">
        <v>0</v>
      </c>
      <c r="U35" s="363">
        <v>0</v>
      </c>
      <c r="V35" s="363">
        <v>0</v>
      </c>
      <c r="W35" s="363">
        <v>0</v>
      </c>
      <c r="X35" s="363">
        <v>0</v>
      </c>
      <c r="Y35" s="363">
        <f t="shared" si="9"/>
        <v>0</v>
      </c>
      <c r="Z35" s="363">
        <f t="shared" si="10"/>
        <v>0</v>
      </c>
      <c r="AA35" s="410"/>
      <c r="AB35" s="411">
        <v>0</v>
      </c>
      <c r="AC35" s="411">
        <v>0</v>
      </c>
      <c r="AD35" s="411">
        <v>0</v>
      </c>
      <c r="AE35" s="411">
        <v>0</v>
      </c>
      <c r="AF35" s="411">
        <v>0</v>
      </c>
      <c r="AG35" s="411">
        <v>0</v>
      </c>
      <c r="AH35" s="363">
        <f t="shared" si="11"/>
        <v>0</v>
      </c>
      <c r="AI35" s="411">
        <f t="shared" si="12"/>
        <v>0</v>
      </c>
      <c r="AJ35" s="410"/>
      <c r="AK35" s="411">
        <v>0</v>
      </c>
      <c r="AL35" s="411">
        <v>0</v>
      </c>
      <c r="AM35" s="411">
        <v>0</v>
      </c>
      <c r="AN35" s="410"/>
      <c r="AO35" s="411">
        <f t="shared" si="13"/>
        <v>0</v>
      </c>
      <c r="AP35" s="411">
        <f t="shared" si="13"/>
        <v>0</v>
      </c>
      <c r="AQ35" s="411">
        <f t="shared" si="13"/>
        <v>0</v>
      </c>
      <c r="AR35" s="412"/>
      <c r="AS35" s="412">
        <v>0</v>
      </c>
      <c r="AT35" s="413">
        <f t="shared" si="14"/>
        <v>0</v>
      </c>
      <c r="AU35" s="412"/>
      <c r="AV35" s="412">
        <v>0</v>
      </c>
      <c r="AW35" s="412">
        <v>0</v>
      </c>
      <c r="AX35" s="412">
        <v>0</v>
      </c>
      <c r="AY35" s="412">
        <v>0</v>
      </c>
      <c r="AZ35" s="412">
        <v>0</v>
      </c>
      <c r="BA35" s="412">
        <v>0</v>
      </c>
      <c r="BB35" s="412">
        <v>0</v>
      </c>
      <c r="BC35" s="412">
        <f t="shared" si="15"/>
        <v>0</v>
      </c>
      <c r="BE35" s="205">
        <f t="shared" si="16"/>
        <v>0</v>
      </c>
      <c r="BF35" s="205">
        <f t="shared" si="16"/>
        <v>0</v>
      </c>
      <c r="BG35" s="205">
        <f t="shared" si="16"/>
        <v>0</v>
      </c>
      <c r="BH35" s="205">
        <f t="shared" si="16"/>
        <v>0</v>
      </c>
      <c r="BI35" s="205">
        <f t="shared" si="16"/>
        <v>0</v>
      </c>
      <c r="BJ35" s="205">
        <f t="shared" si="16"/>
        <v>0</v>
      </c>
      <c r="BK35" s="205">
        <f t="shared" si="17"/>
        <v>0</v>
      </c>
      <c r="BL35" s="205">
        <f t="shared" si="18"/>
        <v>0</v>
      </c>
      <c r="BM35" s="215">
        <f t="shared" si="19"/>
        <v>0</v>
      </c>
      <c r="BN35" s="215"/>
      <c r="BO35" s="412">
        <f t="shared" si="24"/>
        <v>0</v>
      </c>
      <c r="BP35" s="412">
        <f t="shared" si="24"/>
        <v>0</v>
      </c>
      <c r="BQ35" s="412">
        <f t="shared" si="24"/>
        <v>0</v>
      </c>
      <c r="BR35" s="412">
        <f t="shared" si="24"/>
        <v>0</v>
      </c>
      <c r="BS35" s="412">
        <f t="shared" si="24"/>
        <v>0</v>
      </c>
      <c r="BT35" s="412">
        <f t="shared" si="24"/>
        <v>0</v>
      </c>
      <c r="BU35" s="412">
        <f t="shared" si="25"/>
        <v>0</v>
      </c>
      <c r="BV35" s="412">
        <f t="shared" si="20"/>
        <v>0</v>
      </c>
      <c r="BW35" s="412">
        <f t="shared" si="4"/>
        <v>0</v>
      </c>
      <c r="BX35" s="412"/>
      <c r="BY35" s="412">
        <f t="shared" si="21"/>
        <v>0</v>
      </c>
      <c r="BZ35" s="412"/>
      <c r="CA35" s="412">
        <f>IFERROR(VLOOKUP(A35,'Actuals Summer'!A:S,19,FALSE),0)</f>
        <v>0</v>
      </c>
      <c r="CC35" s="412"/>
      <c r="CD35" s="412"/>
      <c r="CE35" s="412"/>
      <c r="CF35" s="412"/>
      <c r="CG35" s="412"/>
      <c r="CH35" s="412"/>
      <c r="CI35" s="412"/>
      <c r="CJ35" s="412"/>
      <c r="CK35" s="412"/>
      <c r="CL35" s="412"/>
      <c r="CM35" s="412"/>
      <c r="CN35" s="412"/>
      <c r="CO35" s="412"/>
      <c r="CQ35" s="363"/>
      <c r="CR35" s="363"/>
      <c r="CS35" s="363"/>
      <c r="CT35" s="363"/>
      <c r="CU35" s="363"/>
      <c r="CV35" s="363"/>
      <c r="CW35" s="363"/>
      <c r="CX35" s="363"/>
      <c r="CZ35" s="414"/>
      <c r="DA35" s="414"/>
      <c r="DB35" s="414"/>
      <c r="DC35" s="414"/>
      <c r="DD35" s="414"/>
      <c r="DE35" s="414"/>
      <c r="DF35" s="414"/>
      <c r="DG35" s="414"/>
      <c r="DI35" s="414">
        <f t="shared" si="22"/>
        <v>0</v>
      </c>
      <c r="DJ35" s="414"/>
      <c r="DK35" s="414"/>
      <c r="DL35" s="414"/>
      <c r="DM35" s="414"/>
      <c r="DN35" s="414"/>
      <c r="DO35" s="414"/>
      <c r="DP35" s="414"/>
      <c r="DQ35" s="414"/>
      <c r="DS35" s="414"/>
      <c r="DT35" s="414"/>
      <c r="DU35" s="414"/>
      <c r="DV35" s="414"/>
      <c r="DW35" s="414"/>
      <c r="DX35" s="414"/>
      <c r="DY35" s="414"/>
      <c r="DZ35" s="414"/>
      <c r="EB35" s="415">
        <f t="shared" si="5"/>
        <v>0</v>
      </c>
      <c r="EC35" s="415">
        <f t="shared" si="6"/>
        <v>0</v>
      </c>
      <c r="ED35" s="416">
        <f t="shared" si="23"/>
        <v>0</v>
      </c>
    </row>
    <row r="36" spans="1:134" hidden="1" x14ac:dyDescent="0.35">
      <c r="A36" s="17">
        <v>7051</v>
      </c>
      <c r="B36" s="4">
        <v>103626</v>
      </c>
      <c r="C36" s="4" t="s">
        <v>919</v>
      </c>
      <c r="D36" s="4" t="s">
        <v>920</v>
      </c>
      <c r="E36" s="15" t="s">
        <v>895</v>
      </c>
      <c r="F36" s="16" t="s">
        <v>27</v>
      </c>
      <c r="G36" s="215"/>
      <c r="H36" s="363">
        <v>0</v>
      </c>
      <c r="I36" s="410"/>
      <c r="J36" s="363">
        <v>0</v>
      </c>
      <c r="K36" s="363">
        <v>0</v>
      </c>
      <c r="L36" s="363">
        <v>0</v>
      </c>
      <c r="M36" s="363">
        <v>0</v>
      </c>
      <c r="N36" s="363">
        <v>0</v>
      </c>
      <c r="O36" s="363">
        <v>0</v>
      </c>
      <c r="P36" s="215">
        <f t="shared" si="7"/>
        <v>0</v>
      </c>
      <c r="Q36" s="363">
        <f t="shared" si="8"/>
        <v>0</v>
      </c>
      <c r="R36" s="410"/>
      <c r="S36" s="363">
        <v>0</v>
      </c>
      <c r="T36" s="363">
        <v>0</v>
      </c>
      <c r="U36" s="363">
        <v>0</v>
      </c>
      <c r="V36" s="363">
        <v>0</v>
      </c>
      <c r="W36" s="363">
        <v>0</v>
      </c>
      <c r="X36" s="363">
        <v>0</v>
      </c>
      <c r="Y36" s="363">
        <f t="shared" si="9"/>
        <v>0</v>
      </c>
      <c r="Z36" s="363">
        <f t="shared" si="10"/>
        <v>0</v>
      </c>
      <c r="AA36" s="410"/>
      <c r="AB36" s="411">
        <v>0</v>
      </c>
      <c r="AC36" s="411">
        <v>0</v>
      </c>
      <c r="AD36" s="411">
        <v>0</v>
      </c>
      <c r="AE36" s="411">
        <v>0</v>
      </c>
      <c r="AF36" s="411">
        <v>0</v>
      </c>
      <c r="AG36" s="411">
        <v>0</v>
      </c>
      <c r="AH36" s="363">
        <f t="shared" si="11"/>
        <v>0</v>
      </c>
      <c r="AI36" s="411">
        <f t="shared" si="12"/>
        <v>0</v>
      </c>
      <c r="AJ36" s="410"/>
      <c r="AK36" s="411">
        <v>0</v>
      </c>
      <c r="AL36" s="411">
        <v>0</v>
      </c>
      <c r="AM36" s="411">
        <v>0</v>
      </c>
      <c r="AN36" s="410"/>
      <c r="AO36" s="411">
        <f t="shared" si="13"/>
        <v>0</v>
      </c>
      <c r="AP36" s="411">
        <f t="shared" si="13"/>
        <v>0</v>
      </c>
      <c r="AQ36" s="411">
        <f t="shared" si="13"/>
        <v>0</v>
      </c>
      <c r="AR36" s="412"/>
      <c r="AS36" s="412">
        <v>0</v>
      </c>
      <c r="AT36" s="413">
        <f t="shared" si="14"/>
        <v>0</v>
      </c>
      <c r="AU36" s="412"/>
      <c r="AV36" s="412">
        <v>0</v>
      </c>
      <c r="AW36" s="412">
        <v>0</v>
      </c>
      <c r="AX36" s="412">
        <v>0</v>
      </c>
      <c r="AY36" s="412">
        <v>0</v>
      </c>
      <c r="AZ36" s="412">
        <v>0</v>
      </c>
      <c r="BA36" s="412">
        <v>0</v>
      </c>
      <c r="BB36" s="412">
        <v>0</v>
      </c>
      <c r="BC36" s="412">
        <f t="shared" si="15"/>
        <v>0</v>
      </c>
      <c r="BE36" s="205">
        <f t="shared" si="16"/>
        <v>0</v>
      </c>
      <c r="BF36" s="205">
        <f t="shared" si="16"/>
        <v>0</v>
      </c>
      <c r="BG36" s="205">
        <f t="shared" si="16"/>
        <v>0</v>
      </c>
      <c r="BH36" s="205">
        <f t="shared" si="16"/>
        <v>0</v>
      </c>
      <c r="BI36" s="205">
        <f t="shared" si="16"/>
        <v>0</v>
      </c>
      <c r="BJ36" s="205">
        <f t="shared" si="16"/>
        <v>0</v>
      </c>
      <c r="BK36" s="205">
        <f t="shared" si="17"/>
        <v>0</v>
      </c>
      <c r="BL36" s="205">
        <f t="shared" si="18"/>
        <v>0</v>
      </c>
      <c r="BM36" s="215">
        <f t="shared" si="19"/>
        <v>0</v>
      </c>
      <c r="BN36" s="215"/>
      <c r="BO36" s="412">
        <f t="shared" si="24"/>
        <v>0</v>
      </c>
      <c r="BP36" s="412">
        <f t="shared" si="24"/>
        <v>0</v>
      </c>
      <c r="BQ36" s="412">
        <f t="shared" si="24"/>
        <v>0</v>
      </c>
      <c r="BR36" s="412">
        <f t="shared" si="24"/>
        <v>0</v>
      </c>
      <c r="BS36" s="412">
        <f t="shared" si="24"/>
        <v>0</v>
      </c>
      <c r="BT36" s="412">
        <f t="shared" si="24"/>
        <v>0</v>
      </c>
      <c r="BU36" s="412">
        <f t="shared" si="25"/>
        <v>0</v>
      </c>
      <c r="BV36" s="412">
        <f t="shared" si="20"/>
        <v>0</v>
      </c>
      <c r="BW36" s="412">
        <f t="shared" si="4"/>
        <v>0</v>
      </c>
      <c r="BX36" s="412"/>
      <c r="BY36" s="412">
        <f t="shared" si="21"/>
        <v>0</v>
      </c>
      <c r="BZ36" s="412"/>
      <c r="CA36" s="412">
        <f>IFERROR(VLOOKUP(A36,'Actuals Summer'!A:S,19,FALSE),0)</f>
        <v>0</v>
      </c>
      <c r="CC36" s="412"/>
      <c r="CD36" s="412"/>
      <c r="CE36" s="412"/>
      <c r="CF36" s="412"/>
      <c r="CG36" s="412"/>
      <c r="CH36" s="412"/>
      <c r="CI36" s="412"/>
      <c r="CJ36" s="412"/>
      <c r="CK36" s="412"/>
      <c r="CL36" s="412"/>
      <c r="CM36" s="412"/>
      <c r="CN36" s="412"/>
      <c r="CO36" s="412"/>
      <c r="CQ36" s="363"/>
      <c r="CR36" s="363"/>
      <c r="CS36" s="363"/>
      <c r="CT36" s="363"/>
      <c r="CU36" s="363"/>
      <c r="CV36" s="363"/>
      <c r="CW36" s="363"/>
      <c r="CX36" s="363"/>
      <c r="CZ36" s="414"/>
      <c r="DA36" s="414"/>
      <c r="DB36" s="414"/>
      <c r="DC36" s="414"/>
      <c r="DD36" s="414"/>
      <c r="DE36" s="414"/>
      <c r="DF36" s="414"/>
      <c r="DG36" s="414"/>
      <c r="DI36" s="414">
        <f t="shared" si="22"/>
        <v>0</v>
      </c>
      <c r="DJ36" s="414"/>
      <c r="DK36" s="414"/>
      <c r="DL36" s="414"/>
      <c r="DM36" s="414"/>
      <c r="DN36" s="414"/>
      <c r="DO36" s="414"/>
      <c r="DP36" s="414"/>
      <c r="DQ36" s="414"/>
      <c r="DS36" s="414"/>
      <c r="DT36" s="414"/>
      <c r="DU36" s="414"/>
      <c r="DV36" s="414"/>
      <c r="DW36" s="414"/>
      <c r="DX36" s="414"/>
      <c r="DY36" s="414"/>
      <c r="DZ36" s="414"/>
      <c r="EB36" s="415">
        <f t="shared" si="5"/>
        <v>0</v>
      </c>
      <c r="EC36" s="415">
        <f t="shared" si="6"/>
        <v>0</v>
      </c>
      <c r="ED36" s="416">
        <f t="shared" si="23"/>
        <v>0</v>
      </c>
    </row>
    <row r="37" spans="1:134" hidden="1" x14ac:dyDescent="0.35">
      <c r="A37" s="17">
        <v>2040</v>
      </c>
      <c r="B37" s="4">
        <v>103178</v>
      </c>
      <c r="C37" s="4" t="s">
        <v>54</v>
      </c>
      <c r="D37" s="4" t="s">
        <v>55</v>
      </c>
      <c r="E37" s="15" t="s">
        <v>32</v>
      </c>
      <c r="F37" s="16" t="s">
        <v>27</v>
      </c>
      <c r="G37" s="215"/>
      <c r="H37" s="363">
        <v>0</v>
      </c>
      <c r="I37" s="410"/>
      <c r="J37" s="363">
        <v>0</v>
      </c>
      <c r="K37" s="363">
        <v>0</v>
      </c>
      <c r="L37" s="363">
        <v>28696.2</v>
      </c>
      <c r="M37" s="363">
        <v>975</v>
      </c>
      <c r="N37" s="363">
        <v>0</v>
      </c>
      <c r="O37" s="363">
        <v>0</v>
      </c>
      <c r="P37" s="215">
        <f t="shared" si="7"/>
        <v>29671.200000000001</v>
      </c>
      <c r="Q37" s="363">
        <f t="shared" si="8"/>
        <v>23736.960000000003</v>
      </c>
      <c r="R37" s="410"/>
      <c r="S37" s="363">
        <v>0</v>
      </c>
      <c r="T37" s="363">
        <v>0</v>
      </c>
      <c r="U37" s="363">
        <v>27592.5</v>
      </c>
      <c r="V37" s="363">
        <v>585</v>
      </c>
      <c r="W37" s="363">
        <v>74.578947368421055</v>
      </c>
      <c r="X37" s="363">
        <v>0</v>
      </c>
      <c r="Y37" s="363">
        <f t="shared" si="9"/>
        <v>28252.07894736842</v>
      </c>
      <c r="Z37" s="363">
        <f t="shared" si="10"/>
        <v>22601.663157894738</v>
      </c>
      <c r="AA37" s="410"/>
      <c r="AB37" s="411">
        <v>0</v>
      </c>
      <c r="AC37" s="411">
        <v>0</v>
      </c>
      <c r="AD37" s="411">
        <v>24772.926315789478</v>
      </c>
      <c r="AE37" s="411">
        <v>682.10526315789468</v>
      </c>
      <c r="AF37" s="411">
        <v>21.739612188365648</v>
      </c>
      <c r="AG37" s="411">
        <v>0</v>
      </c>
      <c r="AH37" s="363">
        <f t="shared" si="11"/>
        <v>25476.771191135736</v>
      </c>
      <c r="AI37" s="411">
        <f t="shared" si="12"/>
        <v>20381.416952908592</v>
      </c>
      <c r="AJ37" s="410"/>
      <c r="AK37" s="411">
        <v>0</v>
      </c>
      <c r="AL37" s="411">
        <v>87.75</v>
      </c>
      <c r="AM37" s="411">
        <v>25.578947368421051</v>
      </c>
      <c r="AN37" s="410"/>
      <c r="AO37" s="411">
        <f t="shared" si="13"/>
        <v>0</v>
      </c>
      <c r="AP37" s="411">
        <f t="shared" si="13"/>
        <v>70.2</v>
      </c>
      <c r="AQ37" s="411">
        <f t="shared" si="13"/>
        <v>20.463157894736842</v>
      </c>
      <c r="AR37" s="412"/>
      <c r="AS37" s="412">
        <v>0</v>
      </c>
      <c r="AT37" s="413">
        <f t="shared" si="14"/>
        <v>0</v>
      </c>
      <c r="AU37" s="412"/>
      <c r="AV37" s="412">
        <v>0</v>
      </c>
      <c r="AW37" s="412">
        <v>0</v>
      </c>
      <c r="AX37" s="412">
        <v>28696.2</v>
      </c>
      <c r="AY37" s="412">
        <v>585</v>
      </c>
      <c r="AZ37" s="412">
        <v>149.15789473684211</v>
      </c>
      <c r="BA37" s="412">
        <v>0</v>
      </c>
      <c r="BB37" s="412">
        <v>87.75</v>
      </c>
      <c r="BC37" s="412">
        <f t="shared" si="15"/>
        <v>29518.107894736844</v>
      </c>
      <c r="BE37" s="205">
        <f t="shared" si="16"/>
        <v>0</v>
      </c>
      <c r="BF37" s="205">
        <f t="shared" si="16"/>
        <v>0</v>
      </c>
      <c r="BG37" s="205">
        <f t="shared" si="16"/>
        <v>0</v>
      </c>
      <c r="BH37" s="205">
        <f t="shared" si="16"/>
        <v>-390</v>
      </c>
      <c r="BI37" s="205">
        <f t="shared" si="16"/>
        <v>149.15789473684211</v>
      </c>
      <c r="BJ37" s="205">
        <f t="shared" si="16"/>
        <v>0</v>
      </c>
      <c r="BK37" s="205">
        <f t="shared" si="17"/>
        <v>87.75</v>
      </c>
      <c r="BL37" s="205">
        <f t="shared" si="18"/>
        <v>-153.09210526315789</v>
      </c>
      <c r="BM37" s="215">
        <f t="shared" si="19"/>
        <v>0</v>
      </c>
      <c r="BN37" s="215"/>
      <c r="BO37" s="412">
        <f t="shared" si="24"/>
        <v>0</v>
      </c>
      <c r="BP37" s="412">
        <f t="shared" si="24"/>
        <v>0</v>
      </c>
      <c r="BQ37" s="412">
        <f t="shared" si="24"/>
        <v>5739.239999999998</v>
      </c>
      <c r="BR37" s="412">
        <f t="shared" si="24"/>
        <v>-195</v>
      </c>
      <c r="BS37" s="412">
        <f t="shared" si="24"/>
        <v>149.15789473684211</v>
      </c>
      <c r="BT37" s="412">
        <f t="shared" si="24"/>
        <v>0</v>
      </c>
      <c r="BU37" s="412">
        <f t="shared" si="25"/>
        <v>87.75</v>
      </c>
      <c r="BV37" s="412">
        <f t="shared" si="20"/>
        <v>5781.1478947368405</v>
      </c>
      <c r="BW37" s="412">
        <f t="shared" si="4"/>
        <v>0</v>
      </c>
      <c r="BX37" s="412"/>
      <c r="BY37" s="412">
        <f t="shared" si="21"/>
        <v>29518.107894736844</v>
      </c>
      <c r="BZ37" s="412"/>
      <c r="CA37" s="412">
        <f>IFERROR(VLOOKUP(A37,'Actuals Summer'!A:S,19,FALSE),0)</f>
        <v>29518.107894736844</v>
      </c>
      <c r="CC37" s="412"/>
      <c r="CD37" s="412"/>
      <c r="CE37" s="412"/>
      <c r="CF37" s="412"/>
      <c r="CG37" s="412"/>
      <c r="CH37" s="412"/>
      <c r="CI37" s="412"/>
      <c r="CJ37" s="412"/>
      <c r="CK37" s="412"/>
      <c r="CL37" s="412"/>
      <c r="CM37" s="412"/>
      <c r="CN37" s="412"/>
      <c r="CO37" s="412"/>
      <c r="CQ37" s="363"/>
      <c r="CR37" s="363"/>
      <c r="CS37" s="363"/>
      <c r="CT37" s="363"/>
      <c r="CU37" s="363"/>
      <c r="CV37" s="363"/>
      <c r="CW37" s="363"/>
      <c r="CX37" s="363"/>
      <c r="CZ37" s="414"/>
      <c r="DA37" s="414"/>
      <c r="DB37" s="414"/>
      <c r="DC37" s="414"/>
      <c r="DD37" s="414"/>
      <c r="DE37" s="414"/>
      <c r="DF37" s="414"/>
      <c r="DG37" s="414"/>
      <c r="DI37" s="414">
        <f t="shared" si="22"/>
        <v>0</v>
      </c>
      <c r="DJ37" s="414"/>
      <c r="DK37" s="414"/>
      <c r="DL37" s="414"/>
      <c r="DM37" s="414"/>
      <c r="DN37" s="414"/>
      <c r="DO37" s="414"/>
      <c r="DP37" s="414"/>
      <c r="DQ37" s="414"/>
      <c r="DS37" s="414"/>
      <c r="DT37" s="414"/>
      <c r="DU37" s="414"/>
      <c r="DV37" s="414"/>
      <c r="DW37" s="414"/>
      <c r="DX37" s="414"/>
      <c r="DY37" s="414"/>
      <c r="DZ37" s="414"/>
      <c r="EB37" s="415">
        <f t="shared" si="5"/>
        <v>72591.851163434912</v>
      </c>
      <c r="EC37" s="415">
        <f t="shared" si="6"/>
        <v>0</v>
      </c>
      <c r="ED37" s="416">
        <f t="shared" si="23"/>
        <v>72591.851163434912</v>
      </c>
    </row>
    <row r="38" spans="1:134" hidden="1" x14ac:dyDescent="0.35">
      <c r="A38" s="17">
        <v>2251</v>
      </c>
      <c r="B38" s="4">
        <v>103298</v>
      </c>
      <c r="C38" s="4" t="s">
        <v>56</v>
      </c>
      <c r="D38" s="4" t="s">
        <v>57</v>
      </c>
      <c r="E38" s="15" t="s">
        <v>32</v>
      </c>
      <c r="F38" s="16" t="s">
        <v>27</v>
      </c>
      <c r="G38" s="215"/>
      <c r="H38" s="363">
        <v>0</v>
      </c>
      <c r="I38" s="410"/>
      <c r="J38" s="363">
        <v>0</v>
      </c>
      <c r="K38" s="363">
        <v>0</v>
      </c>
      <c r="L38" s="363">
        <v>50770.2</v>
      </c>
      <c r="M38" s="363">
        <v>390</v>
      </c>
      <c r="N38" s="363">
        <v>149.15789473684211</v>
      </c>
      <c r="O38" s="363">
        <v>320.89473684210526</v>
      </c>
      <c r="P38" s="215">
        <f t="shared" si="7"/>
        <v>51630.252631578944</v>
      </c>
      <c r="Q38" s="363">
        <f t="shared" si="8"/>
        <v>41304.202105263161</v>
      </c>
      <c r="R38" s="410"/>
      <c r="S38" s="363">
        <v>0</v>
      </c>
      <c r="T38" s="363">
        <v>0</v>
      </c>
      <c r="U38" s="363">
        <v>49666.5</v>
      </c>
      <c r="V38" s="363">
        <v>390</v>
      </c>
      <c r="W38" s="363">
        <v>149.15789473684211</v>
      </c>
      <c r="X38" s="363">
        <v>0</v>
      </c>
      <c r="Y38" s="363">
        <f t="shared" si="9"/>
        <v>50205.65789473684</v>
      </c>
      <c r="Z38" s="363">
        <f t="shared" si="10"/>
        <v>40164.526315789473</v>
      </c>
      <c r="AA38" s="410"/>
      <c r="AB38" s="411">
        <v>0</v>
      </c>
      <c r="AC38" s="411">
        <v>0</v>
      </c>
      <c r="AD38" s="411">
        <v>43754.778947368424</v>
      </c>
      <c r="AE38" s="411">
        <v>284.21052631578948</v>
      </c>
      <c r="AF38" s="411">
        <v>108.69806094182825</v>
      </c>
      <c r="AG38" s="411">
        <v>93.54016620498615</v>
      </c>
      <c r="AH38" s="363">
        <f t="shared" si="11"/>
        <v>44241.227700831027</v>
      </c>
      <c r="AI38" s="411">
        <f t="shared" si="12"/>
        <v>35392.982160664826</v>
      </c>
      <c r="AJ38" s="410"/>
      <c r="AK38" s="411">
        <v>0</v>
      </c>
      <c r="AL38" s="411">
        <v>15.6</v>
      </c>
      <c r="AM38" s="411">
        <v>4.5473684210526315</v>
      </c>
      <c r="AN38" s="410"/>
      <c r="AO38" s="411">
        <f t="shared" si="13"/>
        <v>0</v>
      </c>
      <c r="AP38" s="411">
        <f t="shared" si="13"/>
        <v>12.48</v>
      </c>
      <c r="AQ38" s="411">
        <f t="shared" si="13"/>
        <v>3.6378947368421053</v>
      </c>
      <c r="AR38" s="412"/>
      <c r="AS38" s="412">
        <v>0</v>
      </c>
      <c r="AT38" s="413">
        <f t="shared" si="14"/>
        <v>0</v>
      </c>
      <c r="AU38" s="412"/>
      <c r="AV38" s="412">
        <v>0</v>
      </c>
      <c r="AW38" s="412">
        <v>0</v>
      </c>
      <c r="AX38" s="412">
        <v>49666.5</v>
      </c>
      <c r="AY38" s="412">
        <v>390</v>
      </c>
      <c r="AZ38" s="412">
        <v>149.15789473684211</v>
      </c>
      <c r="BA38" s="412">
        <v>0</v>
      </c>
      <c r="BB38" s="412">
        <v>15.6</v>
      </c>
      <c r="BC38" s="412">
        <f t="shared" si="15"/>
        <v>50221.257894736838</v>
      </c>
      <c r="BE38" s="205">
        <f t="shared" si="16"/>
        <v>0</v>
      </c>
      <c r="BF38" s="205">
        <f t="shared" si="16"/>
        <v>0</v>
      </c>
      <c r="BG38" s="205">
        <f t="shared" si="16"/>
        <v>-1103.6999999999971</v>
      </c>
      <c r="BH38" s="205">
        <f t="shared" si="16"/>
        <v>0</v>
      </c>
      <c r="BI38" s="205">
        <f t="shared" si="16"/>
        <v>0</v>
      </c>
      <c r="BJ38" s="205">
        <f t="shared" si="16"/>
        <v>-320.89473684210526</v>
      </c>
      <c r="BK38" s="205">
        <f t="shared" si="17"/>
        <v>15.6</v>
      </c>
      <c r="BL38" s="205">
        <f t="shared" si="18"/>
        <v>-1408.9947368421024</v>
      </c>
      <c r="BM38" s="215">
        <f t="shared" si="19"/>
        <v>0</v>
      </c>
      <c r="BN38" s="215"/>
      <c r="BO38" s="412">
        <f t="shared" si="24"/>
        <v>0</v>
      </c>
      <c r="BP38" s="412">
        <f t="shared" si="24"/>
        <v>0</v>
      </c>
      <c r="BQ38" s="412">
        <f t="shared" si="24"/>
        <v>9050.3399999999965</v>
      </c>
      <c r="BR38" s="412">
        <f t="shared" si="24"/>
        <v>78</v>
      </c>
      <c r="BS38" s="412">
        <f t="shared" si="24"/>
        <v>29.831578947368413</v>
      </c>
      <c r="BT38" s="412">
        <f t="shared" si="24"/>
        <v>-256.7157894736842</v>
      </c>
      <c r="BU38" s="412">
        <f t="shared" si="25"/>
        <v>15.6</v>
      </c>
      <c r="BV38" s="412">
        <f t="shared" si="20"/>
        <v>8917.0557894736812</v>
      </c>
      <c r="BW38" s="412">
        <f t="shared" si="4"/>
        <v>7.2759576141834259E-12</v>
      </c>
      <c r="BX38" s="412"/>
      <c r="BY38" s="412">
        <f t="shared" si="21"/>
        <v>50221.257894736846</v>
      </c>
      <c r="BZ38" s="412"/>
      <c r="CA38" s="412">
        <f>IFERROR(VLOOKUP(A38,'Actuals Summer'!A:S,19,FALSE),0)</f>
        <v>50221.257894736838</v>
      </c>
      <c r="CC38" s="412"/>
      <c r="CD38" s="412"/>
      <c r="CE38" s="412"/>
      <c r="CF38" s="412"/>
      <c r="CG38" s="412"/>
      <c r="CH38" s="412"/>
      <c r="CI38" s="412"/>
      <c r="CJ38" s="412"/>
      <c r="CK38" s="412"/>
      <c r="CL38" s="412"/>
      <c r="CM38" s="412"/>
      <c r="CN38" s="412"/>
      <c r="CO38" s="412"/>
      <c r="CQ38" s="363"/>
      <c r="CR38" s="363"/>
      <c r="CS38" s="363"/>
      <c r="CT38" s="363"/>
      <c r="CU38" s="363"/>
      <c r="CV38" s="363"/>
      <c r="CW38" s="363"/>
      <c r="CX38" s="363"/>
      <c r="CZ38" s="414"/>
      <c r="DA38" s="414"/>
      <c r="DB38" s="414"/>
      <c r="DC38" s="414"/>
      <c r="DD38" s="414"/>
      <c r="DE38" s="414"/>
      <c r="DF38" s="414"/>
      <c r="DG38" s="414"/>
      <c r="DI38" s="414">
        <f t="shared" si="22"/>
        <v>0</v>
      </c>
      <c r="DJ38" s="414"/>
      <c r="DK38" s="414"/>
      <c r="DL38" s="414"/>
      <c r="DM38" s="414"/>
      <c r="DN38" s="414"/>
      <c r="DO38" s="414"/>
      <c r="DP38" s="414"/>
      <c r="DQ38" s="414"/>
      <c r="DS38" s="414"/>
      <c r="DT38" s="414"/>
      <c r="DU38" s="414"/>
      <c r="DV38" s="414"/>
      <c r="DW38" s="414"/>
      <c r="DX38" s="414"/>
      <c r="DY38" s="414"/>
      <c r="DZ38" s="414"/>
      <c r="EB38" s="415">
        <f t="shared" si="5"/>
        <v>125720.05213296399</v>
      </c>
      <c r="EC38" s="415">
        <f t="shared" si="6"/>
        <v>74.832132963988926</v>
      </c>
      <c r="ED38" s="416">
        <f t="shared" si="23"/>
        <v>125794.88426592798</v>
      </c>
    </row>
    <row r="39" spans="1:134" hidden="1" x14ac:dyDescent="0.35">
      <c r="A39" s="17">
        <v>3002</v>
      </c>
      <c r="B39" s="4">
        <v>103397</v>
      </c>
      <c r="C39" s="4" t="s">
        <v>58</v>
      </c>
      <c r="D39" s="4" t="s">
        <v>59</v>
      </c>
      <c r="E39" s="15" t="s">
        <v>32</v>
      </c>
      <c r="F39" s="16" t="s">
        <v>27</v>
      </c>
      <c r="G39" s="215"/>
      <c r="H39" s="363">
        <v>0</v>
      </c>
      <c r="I39" s="410"/>
      <c r="J39" s="363">
        <v>0</v>
      </c>
      <c r="K39" s="363">
        <v>0</v>
      </c>
      <c r="L39" s="363">
        <v>26488.799999999999</v>
      </c>
      <c r="M39" s="363">
        <v>2535</v>
      </c>
      <c r="N39" s="363">
        <v>969.52631578947376</v>
      </c>
      <c r="O39" s="363">
        <v>0</v>
      </c>
      <c r="P39" s="215">
        <f t="shared" si="7"/>
        <v>29993.326315789473</v>
      </c>
      <c r="Q39" s="363">
        <f t="shared" si="8"/>
        <v>23994.661052631578</v>
      </c>
      <c r="R39" s="410"/>
      <c r="S39" s="363">
        <v>0</v>
      </c>
      <c r="T39" s="363">
        <v>0</v>
      </c>
      <c r="U39" s="363">
        <v>12140.7</v>
      </c>
      <c r="V39" s="363">
        <v>975</v>
      </c>
      <c r="W39" s="363">
        <v>372.89473684210526</v>
      </c>
      <c r="X39" s="363">
        <v>0</v>
      </c>
      <c r="Y39" s="363">
        <f t="shared" si="9"/>
        <v>13488.594736842106</v>
      </c>
      <c r="Z39" s="363">
        <f t="shared" si="10"/>
        <v>10790.875789473685</v>
      </c>
      <c r="AA39" s="410"/>
      <c r="AB39" s="411">
        <v>0</v>
      </c>
      <c r="AC39" s="411">
        <v>0</v>
      </c>
      <c r="AD39" s="411">
        <v>18209.709473684208</v>
      </c>
      <c r="AE39" s="411">
        <v>1648.4210526315792</v>
      </c>
      <c r="AF39" s="411">
        <v>630.44875346260392</v>
      </c>
      <c r="AG39" s="411">
        <v>0</v>
      </c>
      <c r="AH39" s="363">
        <f t="shared" si="11"/>
        <v>20488.579279778391</v>
      </c>
      <c r="AI39" s="411">
        <f t="shared" si="12"/>
        <v>16390.863423822713</v>
      </c>
      <c r="AJ39" s="410"/>
      <c r="AK39" s="411">
        <v>2244.4500000000003</v>
      </c>
      <c r="AL39" s="411">
        <v>998.4</v>
      </c>
      <c r="AM39" s="411">
        <v>1532.8042105263157</v>
      </c>
      <c r="AN39" s="410"/>
      <c r="AO39" s="411">
        <f t="shared" si="13"/>
        <v>1795.5600000000004</v>
      </c>
      <c r="AP39" s="411">
        <f t="shared" si="13"/>
        <v>798.72</v>
      </c>
      <c r="AQ39" s="411">
        <f t="shared" si="13"/>
        <v>1226.2433684210525</v>
      </c>
      <c r="AR39" s="412"/>
      <c r="AS39" s="412">
        <v>0</v>
      </c>
      <c r="AT39" s="413">
        <f t="shared" si="14"/>
        <v>0</v>
      </c>
      <c r="AU39" s="412"/>
      <c r="AV39" s="412">
        <v>0</v>
      </c>
      <c r="AW39" s="412">
        <v>0</v>
      </c>
      <c r="AX39" s="412">
        <v>17659.2</v>
      </c>
      <c r="AY39" s="412">
        <v>1755</v>
      </c>
      <c r="AZ39" s="412">
        <v>671.21052631578948</v>
      </c>
      <c r="BA39" s="412">
        <v>0</v>
      </c>
      <c r="BB39" s="412">
        <v>1515.1499999999999</v>
      </c>
      <c r="BC39" s="412">
        <f t="shared" si="15"/>
        <v>21600.560526315792</v>
      </c>
      <c r="BE39" s="205">
        <f t="shared" si="16"/>
        <v>0</v>
      </c>
      <c r="BF39" s="205">
        <f t="shared" si="16"/>
        <v>0</v>
      </c>
      <c r="BG39" s="205">
        <f t="shared" si="16"/>
        <v>-8829.5999999999985</v>
      </c>
      <c r="BH39" s="205">
        <f t="shared" si="16"/>
        <v>-780</v>
      </c>
      <c r="BI39" s="205">
        <f t="shared" si="16"/>
        <v>-298.31578947368428</v>
      </c>
      <c r="BJ39" s="205">
        <f t="shared" si="16"/>
        <v>0</v>
      </c>
      <c r="BK39" s="205">
        <f t="shared" si="17"/>
        <v>-729.30000000000041</v>
      </c>
      <c r="BL39" s="205">
        <f t="shared" si="18"/>
        <v>-10637.215789473685</v>
      </c>
      <c r="BM39" s="215">
        <f t="shared" si="19"/>
        <v>0</v>
      </c>
      <c r="BN39" s="215"/>
      <c r="BO39" s="412">
        <f t="shared" si="24"/>
        <v>0</v>
      </c>
      <c r="BP39" s="412">
        <f t="shared" si="24"/>
        <v>0</v>
      </c>
      <c r="BQ39" s="412">
        <f t="shared" si="24"/>
        <v>-3531.84</v>
      </c>
      <c r="BR39" s="412">
        <f t="shared" si="24"/>
        <v>-273</v>
      </c>
      <c r="BS39" s="412">
        <f t="shared" si="24"/>
        <v>-104.41052631578953</v>
      </c>
      <c r="BT39" s="412">
        <f t="shared" si="24"/>
        <v>0</v>
      </c>
      <c r="BU39" s="412">
        <f t="shared" si="25"/>
        <v>-280.41000000000054</v>
      </c>
      <c r="BV39" s="412">
        <f t="shared" si="20"/>
        <v>-4189.6605263157899</v>
      </c>
      <c r="BW39" s="412">
        <f t="shared" si="4"/>
        <v>-3.637978807091713E-12</v>
      </c>
      <c r="BX39" s="412"/>
      <c r="BY39" s="412">
        <f t="shared" si="21"/>
        <v>21600.560526315789</v>
      </c>
      <c r="BZ39" s="412"/>
      <c r="CA39" s="412">
        <f>IFERROR(VLOOKUP(A39,'Actuals Summer'!A:S,19,FALSE),0)</f>
        <v>21600.560526315792</v>
      </c>
      <c r="CC39" s="412"/>
      <c r="CD39" s="412"/>
      <c r="CE39" s="412"/>
      <c r="CF39" s="412"/>
      <c r="CG39" s="412"/>
      <c r="CH39" s="412"/>
      <c r="CI39" s="412"/>
      <c r="CJ39" s="412"/>
      <c r="CK39" s="412"/>
      <c r="CL39" s="412"/>
      <c r="CM39" s="412"/>
      <c r="CN39" s="412"/>
      <c r="CO39" s="412"/>
      <c r="CQ39" s="363"/>
      <c r="CR39" s="363"/>
      <c r="CS39" s="363"/>
      <c r="CT39" s="363"/>
      <c r="CU39" s="363"/>
      <c r="CV39" s="363"/>
      <c r="CW39" s="363"/>
      <c r="CX39" s="363"/>
      <c r="CZ39" s="414"/>
      <c r="DA39" s="414"/>
      <c r="DB39" s="414"/>
      <c r="DC39" s="414"/>
      <c r="DD39" s="414"/>
      <c r="DE39" s="414"/>
      <c r="DF39" s="414"/>
      <c r="DG39" s="414"/>
      <c r="DI39" s="414">
        <f t="shared" si="22"/>
        <v>0</v>
      </c>
      <c r="DJ39" s="414"/>
      <c r="DK39" s="414"/>
      <c r="DL39" s="414"/>
      <c r="DM39" s="414"/>
      <c r="DN39" s="414"/>
      <c r="DO39" s="414"/>
      <c r="DP39" s="414"/>
      <c r="DQ39" s="414"/>
      <c r="DS39" s="414"/>
      <c r="DT39" s="414"/>
      <c r="DU39" s="414"/>
      <c r="DV39" s="414"/>
      <c r="DW39" s="414"/>
      <c r="DX39" s="414"/>
      <c r="DY39" s="414"/>
      <c r="DZ39" s="414"/>
      <c r="EB39" s="415">
        <f t="shared" si="5"/>
        <v>50807.26310803325</v>
      </c>
      <c r="EC39" s="415">
        <f t="shared" si="6"/>
        <v>0</v>
      </c>
      <c r="ED39" s="416">
        <f t="shared" si="23"/>
        <v>50807.26310803325</v>
      </c>
    </row>
    <row r="40" spans="1:134" hidden="1" x14ac:dyDescent="0.35">
      <c r="A40" s="17">
        <v>3319</v>
      </c>
      <c r="B40" s="4">
        <v>103423</v>
      </c>
      <c r="C40" s="4" t="s">
        <v>60</v>
      </c>
      <c r="D40" s="4" t="s">
        <v>61</v>
      </c>
      <c r="E40" s="15" t="s">
        <v>32</v>
      </c>
      <c r="F40" s="16" t="s">
        <v>27</v>
      </c>
      <c r="G40" s="215"/>
      <c r="H40" s="363">
        <v>0</v>
      </c>
      <c r="I40" s="410"/>
      <c r="J40" s="363">
        <v>0</v>
      </c>
      <c r="K40" s="363">
        <v>0</v>
      </c>
      <c r="L40" s="363">
        <v>48562.8</v>
      </c>
      <c r="M40" s="363">
        <v>3510</v>
      </c>
      <c r="N40" s="363">
        <v>1342.421052631579</v>
      </c>
      <c r="O40" s="363">
        <v>0</v>
      </c>
      <c r="P40" s="215">
        <f t="shared" si="7"/>
        <v>53415.221052631583</v>
      </c>
      <c r="Q40" s="363">
        <f t="shared" si="8"/>
        <v>42732.176842105269</v>
      </c>
      <c r="R40" s="410"/>
      <c r="S40" s="363">
        <v>0</v>
      </c>
      <c r="T40" s="363">
        <v>0</v>
      </c>
      <c r="U40" s="363">
        <v>46355.4</v>
      </c>
      <c r="V40" s="363">
        <v>3315</v>
      </c>
      <c r="W40" s="363">
        <v>1267.8421052631579</v>
      </c>
      <c r="X40" s="363">
        <v>0</v>
      </c>
      <c r="Y40" s="363">
        <f t="shared" si="9"/>
        <v>50938.242105263162</v>
      </c>
      <c r="Z40" s="363">
        <f t="shared" si="10"/>
        <v>40750.593684210529</v>
      </c>
      <c r="AA40" s="410"/>
      <c r="AB40" s="411">
        <v>0</v>
      </c>
      <c r="AC40" s="411">
        <v>0</v>
      </c>
      <c r="AD40" s="411">
        <v>41502.69473684211</v>
      </c>
      <c r="AE40" s="411">
        <v>2898.9473684210525</v>
      </c>
      <c r="AF40" s="411">
        <v>1108.720221606648</v>
      </c>
      <c r="AG40" s="411">
        <v>0</v>
      </c>
      <c r="AH40" s="363">
        <f t="shared" si="11"/>
        <v>45510.362326869814</v>
      </c>
      <c r="AI40" s="411">
        <f t="shared" si="12"/>
        <v>36408.289861495854</v>
      </c>
      <c r="AJ40" s="410"/>
      <c r="AK40" s="411">
        <v>2080.6499999999996</v>
      </c>
      <c r="AL40" s="411">
        <v>1774.5</v>
      </c>
      <c r="AM40" s="411">
        <v>1746.757894736842</v>
      </c>
      <c r="AN40" s="410"/>
      <c r="AO40" s="411">
        <f t="shared" si="13"/>
        <v>1664.5199999999998</v>
      </c>
      <c r="AP40" s="411">
        <f t="shared" si="13"/>
        <v>1419.6000000000001</v>
      </c>
      <c r="AQ40" s="411">
        <f t="shared" si="13"/>
        <v>1397.4063157894736</v>
      </c>
      <c r="AR40" s="412"/>
      <c r="AS40" s="412">
        <v>0</v>
      </c>
      <c r="AT40" s="413">
        <f t="shared" si="14"/>
        <v>0</v>
      </c>
      <c r="AU40" s="412"/>
      <c r="AV40" s="412">
        <v>0</v>
      </c>
      <c r="AW40" s="412">
        <v>0</v>
      </c>
      <c r="AX40" s="412">
        <v>49666.5</v>
      </c>
      <c r="AY40" s="412">
        <v>3900</v>
      </c>
      <c r="AZ40" s="412">
        <v>1491.578947368421</v>
      </c>
      <c r="BA40" s="412">
        <v>0</v>
      </c>
      <c r="BB40" s="412">
        <v>2068.9499999999998</v>
      </c>
      <c r="BC40" s="412">
        <f t="shared" si="15"/>
        <v>57127.028947368417</v>
      </c>
      <c r="BE40" s="205">
        <f t="shared" si="16"/>
        <v>0</v>
      </c>
      <c r="BF40" s="205">
        <f t="shared" si="16"/>
        <v>0</v>
      </c>
      <c r="BG40" s="205">
        <f t="shared" si="16"/>
        <v>1103.6999999999971</v>
      </c>
      <c r="BH40" s="205">
        <f t="shared" si="16"/>
        <v>390</v>
      </c>
      <c r="BI40" s="205">
        <f t="shared" si="16"/>
        <v>149.15789473684208</v>
      </c>
      <c r="BJ40" s="205">
        <f t="shared" si="16"/>
        <v>0</v>
      </c>
      <c r="BK40" s="205">
        <f t="shared" si="17"/>
        <v>-11.699999999999818</v>
      </c>
      <c r="BL40" s="205">
        <f t="shared" si="18"/>
        <v>1631.1578947368394</v>
      </c>
      <c r="BM40" s="215">
        <f t="shared" si="19"/>
        <v>0</v>
      </c>
      <c r="BN40" s="215"/>
      <c r="BO40" s="412">
        <f t="shared" si="24"/>
        <v>0</v>
      </c>
      <c r="BP40" s="412">
        <f t="shared" si="24"/>
        <v>0</v>
      </c>
      <c r="BQ40" s="412">
        <f t="shared" si="24"/>
        <v>10816.259999999995</v>
      </c>
      <c r="BR40" s="412">
        <f t="shared" si="24"/>
        <v>1092</v>
      </c>
      <c r="BS40" s="412">
        <f t="shared" si="24"/>
        <v>417.64210526315787</v>
      </c>
      <c r="BT40" s="412">
        <f t="shared" si="24"/>
        <v>0</v>
      </c>
      <c r="BU40" s="412">
        <f t="shared" si="25"/>
        <v>404.43000000000006</v>
      </c>
      <c r="BV40" s="412">
        <f t="shared" si="20"/>
        <v>12730.332105263153</v>
      </c>
      <c r="BW40" s="412">
        <f t="shared" si="4"/>
        <v>0</v>
      </c>
      <c r="BX40" s="412"/>
      <c r="BY40" s="412">
        <f t="shared" si="21"/>
        <v>57127.028947368417</v>
      </c>
      <c r="BZ40" s="412"/>
      <c r="CA40" s="412">
        <f>IFERROR(VLOOKUP(A40,'Actuals Summer'!A:S,19,FALSE),0)</f>
        <v>57127.028947368417</v>
      </c>
      <c r="CC40" s="412"/>
      <c r="CD40" s="412"/>
      <c r="CE40" s="412"/>
      <c r="CF40" s="412"/>
      <c r="CG40" s="412"/>
      <c r="CH40" s="412"/>
      <c r="CI40" s="412"/>
      <c r="CJ40" s="412"/>
      <c r="CK40" s="412"/>
      <c r="CL40" s="412"/>
      <c r="CM40" s="412"/>
      <c r="CN40" s="412"/>
      <c r="CO40" s="412"/>
      <c r="CQ40" s="363"/>
      <c r="CR40" s="363"/>
      <c r="CS40" s="363"/>
      <c r="CT40" s="363"/>
      <c r="CU40" s="363"/>
      <c r="CV40" s="363"/>
      <c r="CW40" s="363"/>
      <c r="CX40" s="363"/>
      <c r="CZ40" s="414"/>
      <c r="DA40" s="414"/>
      <c r="DB40" s="414"/>
      <c r="DC40" s="414"/>
      <c r="DD40" s="414"/>
      <c r="DE40" s="414"/>
      <c r="DF40" s="414"/>
      <c r="DG40" s="414"/>
      <c r="DI40" s="414">
        <f t="shared" si="22"/>
        <v>0</v>
      </c>
      <c r="DJ40" s="414"/>
      <c r="DK40" s="414"/>
      <c r="DL40" s="414"/>
      <c r="DM40" s="414"/>
      <c r="DN40" s="414"/>
      <c r="DO40" s="414"/>
      <c r="DP40" s="414"/>
      <c r="DQ40" s="414"/>
      <c r="DS40" s="414"/>
      <c r="DT40" s="414"/>
      <c r="DU40" s="414"/>
      <c r="DV40" s="414"/>
      <c r="DW40" s="414"/>
      <c r="DX40" s="414"/>
      <c r="DY40" s="414"/>
      <c r="DZ40" s="414"/>
      <c r="EB40" s="415">
        <f t="shared" si="5"/>
        <v>137102.91880886428</v>
      </c>
      <c r="EC40" s="415">
        <f t="shared" si="6"/>
        <v>0</v>
      </c>
      <c r="ED40" s="416">
        <f t="shared" si="23"/>
        <v>137102.91880886428</v>
      </c>
    </row>
    <row r="41" spans="1:134" hidden="1" x14ac:dyDescent="0.35">
      <c r="A41" s="17">
        <v>1100</v>
      </c>
      <c r="B41" s="4">
        <v>103146</v>
      </c>
      <c r="C41" s="4" t="s">
        <v>921</v>
      </c>
      <c r="D41" s="4" t="s">
        <v>922</v>
      </c>
      <c r="E41" s="15" t="s">
        <v>923</v>
      </c>
      <c r="F41" s="16" t="s">
        <v>27</v>
      </c>
      <c r="G41" s="215"/>
      <c r="H41" s="363">
        <v>0</v>
      </c>
      <c r="I41" s="410"/>
      <c r="J41" s="363">
        <v>0</v>
      </c>
      <c r="K41" s="363">
        <v>0</v>
      </c>
      <c r="L41" s="363">
        <v>0</v>
      </c>
      <c r="M41" s="363">
        <v>0</v>
      </c>
      <c r="N41" s="363">
        <v>0</v>
      </c>
      <c r="O41" s="363">
        <v>0</v>
      </c>
      <c r="P41" s="215">
        <f t="shared" si="7"/>
        <v>0</v>
      </c>
      <c r="Q41" s="363">
        <f t="shared" si="8"/>
        <v>0</v>
      </c>
      <c r="R41" s="410"/>
      <c r="S41" s="363">
        <v>0</v>
      </c>
      <c r="T41" s="363">
        <v>0</v>
      </c>
      <c r="U41" s="363">
        <v>0</v>
      </c>
      <c r="V41" s="363">
        <v>0</v>
      </c>
      <c r="W41" s="363">
        <v>0</v>
      </c>
      <c r="X41" s="363">
        <v>0</v>
      </c>
      <c r="Y41" s="363">
        <f t="shared" si="9"/>
        <v>0</v>
      </c>
      <c r="Z41" s="363">
        <f t="shared" si="10"/>
        <v>0</v>
      </c>
      <c r="AA41" s="410"/>
      <c r="AB41" s="411">
        <v>0</v>
      </c>
      <c r="AC41" s="411">
        <v>0</v>
      </c>
      <c r="AD41" s="411">
        <v>0</v>
      </c>
      <c r="AE41" s="411">
        <v>0</v>
      </c>
      <c r="AF41" s="411">
        <v>0</v>
      </c>
      <c r="AG41" s="411">
        <v>0</v>
      </c>
      <c r="AH41" s="363">
        <f t="shared" si="11"/>
        <v>0</v>
      </c>
      <c r="AI41" s="411">
        <f t="shared" si="12"/>
        <v>0</v>
      </c>
      <c r="AJ41" s="410"/>
      <c r="AK41" s="411">
        <v>0</v>
      </c>
      <c r="AL41" s="411">
        <v>0</v>
      </c>
      <c r="AM41" s="411">
        <v>0</v>
      </c>
      <c r="AN41" s="410"/>
      <c r="AO41" s="411">
        <f t="shared" si="13"/>
        <v>0</v>
      </c>
      <c r="AP41" s="411">
        <f t="shared" si="13"/>
        <v>0</v>
      </c>
      <c r="AQ41" s="411">
        <f t="shared" si="13"/>
        <v>0</v>
      </c>
      <c r="AR41" s="412"/>
      <c r="AS41" s="412">
        <v>0</v>
      </c>
      <c r="AT41" s="413">
        <f t="shared" si="14"/>
        <v>0</v>
      </c>
      <c r="AU41" s="412"/>
      <c r="AV41" s="412">
        <v>0</v>
      </c>
      <c r="AW41" s="412">
        <v>0</v>
      </c>
      <c r="AX41" s="412">
        <v>0</v>
      </c>
      <c r="AY41" s="412">
        <v>0</v>
      </c>
      <c r="AZ41" s="412">
        <v>0</v>
      </c>
      <c r="BA41" s="412">
        <v>0</v>
      </c>
      <c r="BB41" s="412">
        <v>0</v>
      </c>
      <c r="BC41" s="412">
        <f t="shared" si="15"/>
        <v>0</v>
      </c>
      <c r="BE41" s="205">
        <f t="shared" si="16"/>
        <v>0</v>
      </c>
      <c r="BF41" s="205">
        <f t="shared" si="16"/>
        <v>0</v>
      </c>
      <c r="BG41" s="205">
        <f t="shared" si="16"/>
        <v>0</v>
      </c>
      <c r="BH41" s="205">
        <f t="shared" si="16"/>
        <v>0</v>
      </c>
      <c r="BI41" s="205">
        <f t="shared" si="16"/>
        <v>0</v>
      </c>
      <c r="BJ41" s="205">
        <f t="shared" si="16"/>
        <v>0</v>
      </c>
      <c r="BK41" s="205">
        <f t="shared" si="17"/>
        <v>0</v>
      </c>
      <c r="BL41" s="205">
        <f t="shared" si="18"/>
        <v>0</v>
      </c>
      <c r="BM41" s="215">
        <f t="shared" si="19"/>
        <v>0</v>
      </c>
      <c r="BN41" s="215"/>
      <c r="BO41" s="412">
        <f t="shared" si="24"/>
        <v>0</v>
      </c>
      <c r="BP41" s="412">
        <f t="shared" si="24"/>
        <v>0</v>
      </c>
      <c r="BQ41" s="412">
        <f t="shared" si="24"/>
        <v>0</v>
      </c>
      <c r="BR41" s="412">
        <f t="shared" si="24"/>
        <v>0</v>
      </c>
      <c r="BS41" s="412">
        <f t="shared" si="24"/>
        <v>0</v>
      </c>
      <c r="BT41" s="412">
        <f t="shared" si="24"/>
        <v>0</v>
      </c>
      <c r="BU41" s="412">
        <f t="shared" si="25"/>
        <v>0</v>
      </c>
      <c r="BV41" s="412">
        <f t="shared" si="20"/>
        <v>0</v>
      </c>
      <c r="BW41" s="412">
        <f t="shared" si="4"/>
        <v>0</v>
      </c>
      <c r="BX41" s="412"/>
      <c r="BY41" s="412">
        <f t="shared" si="21"/>
        <v>0</v>
      </c>
      <c r="BZ41" s="412"/>
      <c r="CA41" s="412">
        <f>IFERROR(VLOOKUP(A41,'Actuals Summer'!A:S,19,FALSE),0)</f>
        <v>0</v>
      </c>
      <c r="CC41" s="412"/>
      <c r="CD41" s="412"/>
      <c r="CE41" s="412"/>
      <c r="CF41" s="412"/>
      <c r="CG41" s="412"/>
      <c r="CH41" s="412"/>
      <c r="CI41" s="412"/>
      <c r="CJ41" s="412"/>
      <c r="CK41" s="412"/>
      <c r="CL41" s="412"/>
      <c r="CM41" s="412"/>
      <c r="CN41" s="412"/>
      <c r="CO41" s="412"/>
      <c r="CQ41" s="363"/>
      <c r="CR41" s="363"/>
      <c r="CS41" s="363"/>
      <c r="CT41" s="363"/>
      <c r="CU41" s="363"/>
      <c r="CV41" s="363"/>
      <c r="CW41" s="363"/>
      <c r="CX41" s="363"/>
      <c r="CZ41" s="414"/>
      <c r="DA41" s="414"/>
      <c r="DB41" s="414"/>
      <c r="DC41" s="414"/>
      <c r="DD41" s="414"/>
      <c r="DE41" s="414"/>
      <c r="DF41" s="414"/>
      <c r="DG41" s="414"/>
      <c r="DI41" s="414">
        <f t="shared" si="22"/>
        <v>0</v>
      </c>
      <c r="DJ41" s="414"/>
      <c r="DK41" s="414"/>
      <c r="DL41" s="414"/>
      <c r="DM41" s="414"/>
      <c r="DN41" s="414"/>
      <c r="DO41" s="414"/>
      <c r="DP41" s="414"/>
      <c r="DQ41" s="414"/>
      <c r="DS41" s="414"/>
      <c r="DT41" s="414"/>
      <c r="DU41" s="414"/>
      <c r="DV41" s="414"/>
      <c r="DW41" s="414"/>
      <c r="DX41" s="414"/>
      <c r="DY41" s="414"/>
      <c r="DZ41" s="414"/>
      <c r="EB41" s="415">
        <f t="shared" si="5"/>
        <v>0</v>
      </c>
      <c r="EC41" s="415">
        <f t="shared" si="6"/>
        <v>0</v>
      </c>
      <c r="ED41" s="416">
        <f t="shared" si="23"/>
        <v>0</v>
      </c>
    </row>
    <row r="42" spans="1:134" hidden="1" x14ac:dyDescent="0.35">
      <c r="A42" s="17">
        <v>3432</v>
      </c>
      <c r="B42" s="4">
        <v>134840</v>
      </c>
      <c r="C42" s="4" t="s">
        <v>62</v>
      </c>
      <c r="D42" s="4" t="s">
        <v>63</v>
      </c>
      <c r="E42" s="15" t="s">
        <v>32</v>
      </c>
      <c r="F42" s="16" t="s">
        <v>27</v>
      </c>
      <c r="G42" s="215"/>
      <c r="H42" s="363">
        <v>0</v>
      </c>
      <c r="I42" s="410"/>
      <c r="J42" s="363">
        <v>0</v>
      </c>
      <c r="K42" s="363">
        <v>0</v>
      </c>
      <c r="L42" s="363">
        <v>114784.8</v>
      </c>
      <c r="M42" s="363">
        <v>4680</v>
      </c>
      <c r="N42" s="363">
        <v>0</v>
      </c>
      <c r="O42" s="363">
        <v>641.78947368421052</v>
      </c>
      <c r="P42" s="215">
        <f t="shared" si="7"/>
        <v>120106.58947368422</v>
      </c>
      <c r="Q42" s="363">
        <f t="shared" si="8"/>
        <v>96085.271578947373</v>
      </c>
      <c r="R42" s="410"/>
      <c r="S42" s="363">
        <v>0</v>
      </c>
      <c r="T42" s="363">
        <v>0</v>
      </c>
      <c r="U42" s="363">
        <v>70636.800000000003</v>
      </c>
      <c r="V42" s="363">
        <v>2600</v>
      </c>
      <c r="W42" s="363">
        <v>74.578947368421055</v>
      </c>
      <c r="X42" s="363">
        <v>0</v>
      </c>
      <c r="Y42" s="363">
        <f t="shared" si="9"/>
        <v>73311.37894736843</v>
      </c>
      <c r="Z42" s="363">
        <f t="shared" si="10"/>
        <v>58649.103157894744</v>
      </c>
      <c r="AA42" s="410"/>
      <c r="AB42" s="411">
        <v>0</v>
      </c>
      <c r="AC42" s="411">
        <v>0</v>
      </c>
      <c r="AD42" s="411">
        <v>82040.210526315772</v>
      </c>
      <c r="AE42" s="411">
        <v>3296.8421052631584</v>
      </c>
      <c r="AF42" s="411">
        <v>21.739612188365648</v>
      </c>
      <c r="AG42" s="411">
        <v>5460</v>
      </c>
      <c r="AH42" s="363">
        <f t="shared" si="11"/>
        <v>90818.792243767297</v>
      </c>
      <c r="AI42" s="411">
        <f t="shared" si="12"/>
        <v>72655.033795013835</v>
      </c>
      <c r="AJ42" s="410"/>
      <c r="AK42" s="411">
        <v>6405.7499999999991</v>
      </c>
      <c r="AL42" s="411">
        <v>4529.8499999999995</v>
      </c>
      <c r="AM42" s="411">
        <v>4853.1789473684203</v>
      </c>
      <c r="AN42" s="410"/>
      <c r="AO42" s="411">
        <f t="shared" si="13"/>
        <v>5124.5999999999995</v>
      </c>
      <c r="AP42" s="411">
        <f t="shared" si="13"/>
        <v>3623.8799999999997</v>
      </c>
      <c r="AQ42" s="411">
        <f t="shared" si="13"/>
        <v>3882.5431578947364</v>
      </c>
      <c r="AR42" s="412"/>
      <c r="AS42" s="412">
        <v>0</v>
      </c>
      <c r="AT42" s="413">
        <f t="shared" si="14"/>
        <v>0</v>
      </c>
      <c r="AU42" s="412"/>
      <c r="AV42" s="412">
        <v>0</v>
      </c>
      <c r="AW42" s="412">
        <v>0</v>
      </c>
      <c r="AX42" s="412">
        <v>104682.26600000002</v>
      </c>
      <c r="AY42" s="412">
        <v>6240</v>
      </c>
      <c r="AZ42" s="412">
        <v>0</v>
      </c>
      <c r="BA42" s="412">
        <v>0</v>
      </c>
      <c r="BB42" s="412">
        <v>6398.6389999999992</v>
      </c>
      <c r="BC42" s="412">
        <f t="shared" si="15"/>
        <v>117320.90500000001</v>
      </c>
      <c r="BE42" s="205">
        <f t="shared" si="16"/>
        <v>0</v>
      </c>
      <c r="BF42" s="205">
        <f t="shared" si="16"/>
        <v>0</v>
      </c>
      <c r="BG42" s="205">
        <f t="shared" si="16"/>
        <v>-10102.533999999985</v>
      </c>
      <c r="BH42" s="205">
        <f t="shared" si="16"/>
        <v>1560</v>
      </c>
      <c r="BI42" s="205">
        <f t="shared" si="16"/>
        <v>0</v>
      </c>
      <c r="BJ42" s="205">
        <f t="shared" si="16"/>
        <v>-641.78947368421052</v>
      </c>
      <c r="BK42" s="205">
        <f t="shared" si="17"/>
        <v>-7.1109999999998763</v>
      </c>
      <c r="BL42" s="205">
        <f t="shared" si="18"/>
        <v>-9191.4344736841958</v>
      </c>
      <c r="BM42" s="215">
        <f t="shared" si="19"/>
        <v>0</v>
      </c>
      <c r="BN42" s="215"/>
      <c r="BO42" s="412">
        <f t="shared" si="24"/>
        <v>0</v>
      </c>
      <c r="BP42" s="412">
        <f t="shared" si="24"/>
        <v>0</v>
      </c>
      <c r="BQ42" s="412">
        <f t="shared" si="24"/>
        <v>12854.426000000007</v>
      </c>
      <c r="BR42" s="412">
        <f t="shared" si="24"/>
        <v>2496</v>
      </c>
      <c r="BS42" s="412">
        <f t="shared" si="24"/>
        <v>0</v>
      </c>
      <c r="BT42" s="412">
        <f t="shared" si="24"/>
        <v>-513.43157894736839</v>
      </c>
      <c r="BU42" s="412">
        <f t="shared" si="25"/>
        <v>1274.0389999999998</v>
      </c>
      <c r="BV42" s="412">
        <f t="shared" si="20"/>
        <v>16111.033421052638</v>
      </c>
      <c r="BW42" s="412">
        <f t="shared" si="4"/>
        <v>0</v>
      </c>
      <c r="BX42" s="412"/>
      <c r="BY42" s="412">
        <f t="shared" si="21"/>
        <v>117320.90500000001</v>
      </c>
      <c r="BZ42" s="412"/>
      <c r="CA42" s="412">
        <f>IFERROR(VLOOKUP(A42,'Actuals Summer'!A:S,19,FALSE),0)</f>
        <v>117320.90500000001</v>
      </c>
      <c r="CC42" s="412"/>
      <c r="CD42" s="412"/>
      <c r="CE42" s="412"/>
      <c r="CF42" s="412"/>
      <c r="CG42" s="412"/>
      <c r="CH42" s="412"/>
      <c r="CI42" s="412"/>
      <c r="CJ42" s="412"/>
      <c r="CK42" s="412"/>
      <c r="CL42" s="412"/>
      <c r="CM42" s="412"/>
      <c r="CN42" s="412"/>
      <c r="CO42" s="412"/>
      <c r="CQ42" s="363"/>
      <c r="CR42" s="363"/>
      <c r="CS42" s="363"/>
      <c r="CT42" s="363"/>
      <c r="CU42" s="363"/>
      <c r="CV42" s="363"/>
      <c r="CW42" s="363"/>
      <c r="CX42" s="363"/>
      <c r="CZ42" s="414"/>
      <c r="DA42" s="414"/>
      <c r="DB42" s="414"/>
      <c r="DC42" s="414"/>
      <c r="DD42" s="414"/>
      <c r="DE42" s="414"/>
      <c r="DF42" s="414"/>
      <c r="DG42" s="414"/>
      <c r="DI42" s="414">
        <f t="shared" si="22"/>
        <v>0</v>
      </c>
      <c r="DJ42" s="414"/>
      <c r="DK42" s="414"/>
      <c r="DL42" s="414"/>
      <c r="DM42" s="414"/>
      <c r="DN42" s="414"/>
      <c r="DO42" s="414"/>
      <c r="DP42" s="414"/>
      <c r="DQ42" s="414"/>
      <c r="DS42" s="414"/>
      <c r="DT42" s="414"/>
      <c r="DU42" s="414"/>
      <c r="DV42" s="414"/>
      <c r="DW42" s="414"/>
      <c r="DX42" s="414"/>
      <c r="DY42" s="414"/>
      <c r="DZ42" s="414"/>
      <c r="EB42" s="415">
        <f t="shared" si="5"/>
        <v>251763.46511080331</v>
      </c>
      <c r="EC42" s="415">
        <f t="shared" si="6"/>
        <v>4368</v>
      </c>
      <c r="ED42" s="416">
        <f t="shared" si="23"/>
        <v>256131.46511080331</v>
      </c>
    </row>
    <row r="43" spans="1:134" hidden="1" x14ac:dyDescent="0.35">
      <c r="A43" s="17">
        <v>2289</v>
      </c>
      <c r="B43" s="4">
        <v>103315</v>
      </c>
      <c r="C43" s="4" t="s">
        <v>924</v>
      </c>
      <c r="D43" s="4" t="s">
        <v>925</v>
      </c>
      <c r="E43" s="15" t="s">
        <v>32</v>
      </c>
      <c r="F43" s="16" t="s">
        <v>27</v>
      </c>
      <c r="G43" s="215"/>
      <c r="H43" s="363">
        <v>0</v>
      </c>
      <c r="I43" s="410"/>
      <c r="J43" s="363">
        <v>0</v>
      </c>
      <c r="K43" s="363">
        <v>0</v>
      </c>
      <c r="L43" s="363">
        <v>0</v>
      </c>
      <c r="M43" s="363">
        <v>0</v>
      </c>
      <c r="N43" s="363">
        <v>0</v>
      </c>
      <c r="O43" s="363">
        <v>0</v>
      </c>
      <c r="P43" s="215">
        <f t="shared" si="7"/>
        <v>0</v>
      </c>
      <c r="Q43" s="363">
        <f t="shared" si="8"/>
        <v>0</v>
      </c>
      <c r="R43" s="410"/>
      <c r="S43" s="363">
        <v>0</v>
      </c>
      <c r="T43" s="363">
        <v>0</v>
      </c>
      <c r="U43" s="363">
        <v>0</v>
      </c>
      <c r="V43" s="363">
        <v>0</v>
      </c>
      <c r="W43" s="363">
        <v>0</v>
      </c>
      <c r="X43" s="363">
        <v>0</v>
      </c>
      <c r="Y43" s="363">
        <f t="shared" si="9"/>
        <v>0</v>
      </c>
      <c r="Z43" s="363">
        <f t="shared" si="10"/>
        <v>0</v>
      </c>
      <c r="AA43" s="410"/>
      <c r="AB43" s="411">
        <v>0</v>
      </c>
      <c r="AC43" s="411">
        <v>0</v>
      </c>
      <c r="AD43" s="411">
        <v>0</v>
      </c>
      <c r="AE43" s="411">
        <v>0</v>
      </c>
      <c r="AF43" s="411">
        <v>0</v>
      </c>
      <c r="AG43" s="411">
        <v>0</v>
      </c>
      <c r="AH43" s="363">
        <f t="shared" si="11"/>
        <v>0</v>
      </c>
      <c r="AI43" s="411">
        <f t="shared" si="12"/>
        <v>0</v>
      </c>
      <c r="AJ43" s="410"/>
      <c r="AK43" s="411">
        <v>0</v>
      </c>
      <c r="AL43" s="411">
        <v>0</v>
      </c>
      <c r="AM43" s="411">
        <v>0</v>
      </c>
      <c r="AN43" s="410"/>
      <c r="AO43" s="411">
        <f t="shared" si="13"/>
        <v>0</v>
      </c>
      <c r="AP43" s="411">
        <f t="shared" si="13"/>
        <v>0</v>
      </c>
      <c r="AQ43" s="411">
        <f t="shared" si="13"/>
        <v>0</v>
      </c>
      <c r="AR43" s="412"/>
      <c r="AS43" s="412">
        <v>0</v>
      </c>
      <c r="AT43" s="413">
        <f t="shared" si="14"/>
        <v>0</v>
      </c>
      <c r="AU43" s="412"/>
      <c r="AV43" s="412">
        <v>0</v>
      </c>
      <c r="AW43" s="412">
        <v>0</v>
      </c>
      <c r="AX43" s="412">
        <v>0</v>
      </c>
      <c r="AY43" s="412">
        <v>0</v>
      </c>
      <c r="AZ43" s="412">
        <v>0</v>
      </c>
      <c r="BA43" s="412">
        <v>0</v>
      </c>
      <c r="BB43" s="412">
        <v>0</v>
      </c>
      <c r="BC43" s="412">
        <f t="shared" si="15"/>
        <v>0</v>
      </c>
      <c r="BE43" s="205">
        <f t="shared" si="16"/>
        <v>0</v>
      </c>
      <c r="BF43" s="205">
        <f t="shared" si="16"/>
        <v>0</v>
      </c>
      <c r="BG43" s="205">
        <f t="shared" si="16"/>
        <v>0</v>
      </c>
      <c r="BH43" s="205">
        <f t="shared" si="16"/>
        <v>0</v>
      </c>
      <c r="BI43" s="205">
        <f t="shared" si="16"/>
        <v>0</v>
      </c>
      <c r="BJ43" s="205">
        <f t="shared" si="16"/>
        <v>0</v>
      </c>
      <c r="BK43" s="205">
        <f t="shared" si="17"/>
        <v>0</v>
      </c>
      <c r="BL43" s="205">
        <f t="shared" si="18"/>
        <v>0</v>
      </c>
      <c r="BM43" s="215">
        <f t="shared" si="19"/>
        <v>0</v>
      </c>
      <c r="BN43" s="215"/>
      <c r="BO43" s="412">
        <f t="shared" si="24"/>
        <v>0</v>
      </c>
      <c r="BP43" s="412">
        <f t="shared" si="24"/>
        <v>0</v>
      </c>
      <c r="BQ43" s="412">
        <f t="shared" si="24"/>
        <v>0</v>
      </c>
      <c r="BR43" s="412">
        <f t="shared" si="24"/>
        <v>0</v>
      </c>
      <c r="BS43" s="412">
        <f t="shared" si="24"/>
        <v>0</v>
      </c>
      <c r="BT43" s="412">
        <f t="shared" si="24"/>
        <v>0</v>
      </c>
      <c r="BU43" s="412">
        <f t="shared" si="25"/>
        <v>0</v>
      </c>
      <c r="BV43" s="412">
        <f t="shared" si="20"/>
        <v>0</v>
      </c>
      <c r="BW43" s="412">
        <f t="shared" si="4"/>
        <v>0</v>
      </c>
      <c r="BX43" s="412"/>
      <c r="BY43" s="412">
        <f t="shared" si="21"/>
        <v>0</v>
      </c>
      <c r="BZ43" s="412"/>
      <c r="CA43" s="412">
        <f>IFERROR(VLOOKUP(A43,'Actuals Summer'!A:S,19,FALSE),0)</f>
        <v>0</v>
      </c>
      <c r="CC43" s="412"/>
      <c r="CD43" s="412"/>
      <c r="CE43" s="412"/>
      <c r="CF43" s="412"/>
      <c r="CG43" s="412"/>
      <c r="CH43" s="412"/>
      <c r="CI43" s="412"/>
      <c r="CJ43" s="412"/>
      <c r="CK43" s="412"/>
      <c r="CL43" s="412"/>
      <c r="CM43" s="412"/>
      <c r="CN43" s="412"/>
      <c r="CO43" s="412"/>
      <c r="CQ43" s="363"/>
      <c r="CR43" s="363"/>
      <c r="CS43" s="363"/>
      <c r="CT43" s="363"/>
      <c r="CU43" s="363"/>
      <c r="CV43" s="363"/>
      <c r="CW43" s="363"/>
      <c r="CX43" s="363"/>
      <c r="CZ43" s="414"/>
      <c r="DA43" s="414"/>
      <c r="DB43" s="414"/>
      <c r="DC43" s="414"/>
      <c r="DD43" s="414"/>
      <c r="DE43" s="414"/>
      <c r="DF43" s="414"/>
      <c r="DG43" s="414"/>
      <c r="DI43" s="414">
        <f t="shared" si="22"/>
        <v>0</v>
      </c>
      <c r="DJ43" s="414"/>
      <c r="DK43" s="414"/>
      <c r="DL43" s="414"/>
      <c r="DM43" s="414"/>
      <c r="DN43" s="414"/>
      <c r="DO43" s="414"/>
      <c r="DP43" s="414"/>
      <c r="DQ43" s="414"/>
      <c r="DS43" s="414"/>
      <c r="DT43" s="414"/>
      <c r="DU43" s="414"/>
      <c r="DV43" s="414"/>
      <c r="DW43" s="414"/>
      <c r="DX43" s="414"/>
      <c r="DY43" s="414"/>
      <c r="DZ43" s="414"/>
      <c r="EB43" s="415">
        <f t="shared" si="5"/>
        <v>0</v>
      </c>
      <c r="EC43" s="415">
        <f t="shared" si="6"/>
        <v>0</v>
      </c>
      <c r="ED43" s="416">
        <f t="shared" si="23"/>
        <v>0</v>
      </c>
    </row>
    <row r="44" spans="1:134" hidden="1" x14ac:dyDescent="0.35">
      <c r="A44" s="17">
        <v>2185</v>
      </c>
      <c r="B44" s="4">
        <v>103263</v>
      </c>
      <c r="C44" s="4" t="s">
        <v>64</v>
      </c>
      <c r="D44" s="4" t="s">
        <v>65</v>
      </c>
      <c r="E44" s="15" t="s">
        <v>32</v>
      </c>
      <c r="F44" s="16" t="s">
        <v>27</v>
      </c>
      <c r="G44" s="215"/>
      <c r="H44" s="363">
        <v>0</v>
      </c>
      <c r="I44" s="410"/>
      <c r="J44" s="363">
        <v>0</v>
      </c>
      <c r="K44" s="363">
        <v>0</v>
      </c>
      <c r="L44" s="363">
        <v>55185</v>
      </c>
      <c r="M44" s="363">
        <v>1170</v>
      </c>
      <c r="N44" s="363">
        <v>0</v>
      </c>
      <c r="O44" s="363">
        <v>0</v>
      </c>
      <c r="P44" s="215">
        <f t="shared" si="7"/>
        <v>56355</v>
      </c>
      <c r="Q44" s="363">
        <f t="shared" si="8"/>
        <v>45084</v>
      </c>
      <c r="R44" s="410"/>
      <c r="S44" s="363">
        <v>0</v>
      </c>
      <c r="T44" s="363">
        <v>0</v>
      </c>
      <c r="U44" s="363">
        <v>45251.700000000004</v>
      </c>
      <c r="V44" s="363">
        <v>1365</v>
      </c>
      <c r="W44" s="363">
        <v>0</v>
      </c>
      <c r="X44" s="363">
        <v>0</v>
      </c>
      <c r="Y44" s="363">
        <f t="shared" si="9"/>
        <v>46616.700000000004</v>
      </c>
      <c r="Z44" s="363">
        <f t="shared" si="10"/>
        <v>37293.360000000008</v>
      </c>
      <c r="AA44" s="410"/>
      <c r="AB44" s="411">
        <v>0</v>
      </c>
      <c r="AC44" s="411">
        <v>0</v>
      </c>
      <c r="AD44" s="411">
        <v>45363.410526315798</v>
      </c>
      <c r="AE44" s="411">
        <v>1023.1578947368421</v>
      </c>
      <c r="AF44" s="411">
        <v>0</v>
      </c>
      <c r="AG44" s="411">
        <v>0</v>
      </c>
      <c r="AH44" s="363">
        <f t="shared" si="11"/>
        <v>46386.568421052638</v>
      </c>
      <c r="AI44" s="411">
        <f t="shared" si="12"/>
        <v>37109.254736842115</v>
      </c>
      <c r="AJ44" s="410"/>
      <c r="AK44" s="411">
        <v>87.75</v>
      </c>
      <c r="AL44" s="411">
        <v>72.149999999999991</v>
      </c>
      <c r="AM44" s="411">
        <v>72.189473684210526</v>
      </c>
      <c r="AN44" s="410"/>
      <c r="AO44" s="411">
        <f t="shared" si="13"/>
        <v>70.2</v>
      </c>
      <c r="AP44" s="411">
        <f t="shared" si="13"/>
        <v>57.72</v>
      </c>
      <c r="AQ44" s="411">
        <f t="shared" si="13"/>
        <v>57.751578947368422</v>
      </c>
      <c r="AR44" s="412"/>
      <c r="AS44" s="412">
        <v>0</v>
      </c>
      <c r="AT44" s="413">
        <f t="shared" si="14"/>
        <v>0</v>
      </c>
      <c r="AU44" s="412"/>
      <c r="AV44" s="412">
        <v>0</v>
      </c>
      <c r="AW44" s="412">
        <v>0</v>
      </c>
      <c r="AX44" s="412">
        <v>46355.400000000009</v>
      </c>
      <c r="AY44" s="412">
        <v>1950</v>
      </c>
      <c r="AZ44" s="412">
        <v>74.578947368421055</v>
      </c>
      <c r="BA44" s="412">
        <v>0</v>
      </c>
      <c r="BB44" s="412">
        <v>72.149999999999991</v>
      </c>
      <c r="BC44" s="412">
        <f t="shared" si="15"/>
        <v>48452.12894736843</v>
      </c>
      <c r="BE44" s="205">
        <f t="shared" si="16"/>
        <v>0</v>
      </c>
      <c r="BF44" s="205">
        <f t="shared" si="16"/>
        <v>0</v>
      </c>
      <c r="BG44" s="205">
        <f t="shared" si="16"/>
        <v>-8829.5999999999913</v>
      </c>
      <c r="BH44" s="205">
        <f t="shared" si="16"/>
        <v>780</v>
      </c>
      <c r="BI44" s="205">
        <f t="shared" si="16"/>
        <v>74.578947368421055</v>
      </c>
      <c r="BJ44" s="205">
        <f t="shared" si="16"/>
        <v>0</v>
      </c>
      <c r="BK44" s="205">
        <f t="shared" si="17"/>
        <v>-15.600000000000009</v>
      </c>
      <c r="BL44" s="205">
        <f t="shared" si="18"/>
        <v>-7990.6210526315708</v>
      </c>
      <c r="BM44" s="215">
        <f t="shared" si="19"/>
        <v>0</v>
      </c>
      <c r="BN44" s="215"/>
      <c r="BO44" s="412">
        <f t="shared" si="24"/>
        <v>0</v>
      </c>
      <c r="BP44" s="412">
        <f t="shared" si="24"/>
        <v>0</v>
      </c>
      <c r="BQ44" s="412">
        <f t="shared" si="24"/>
        <v>2207.4000000000087</v>
      </c>
      <c r="BR44" s="412">
        <f t="shared" si="24"/>
        <v>1014</v>
      </c>
      <c r="BS44" s="412">
        <f t="shared" si="24"/>
        <v>74.578947368421055</v>
      </c>
      <c r="BT44" s="412">
        <f t="shared" si="24"/>
        <v>0</v>
      </c>
      <c r="BU44" s="412">
        <f t="shared" si="25"/>
        <v>1.9499999999999886</v>
      </c>
      <c r="BV44" s="412">
        <f t="shared" si="20"/>
        <v>3297.9289473684298</v>
      </c>
      <c r="BW44" s="412">
        <f t="shared" si="4"/>
        <v>0</v>
      </c>
      <c r="BX44" s="412"/>
      <c r="BY44" s="412">
        <f t="shared" si="21"/>
        <v>48452.12894736843</v>
      </c>
      <c r="BZ44" s="412"/>
      <c r="CA44" s="412">
        <f>IFERROR(VLOOKUP(A44,'Actuals Summer'!A:S,19,FALSE),0)</f>
        <v>48452.12894736843</v>
      </c>
      <c r="CC44" s="412"/>
      <c r="CD44" s="412"/>
      <c r="CE44" s="412"/>
      <c r="CF44" s="412"/>
      <c r="CG44" s="412"/>
      <c r="CH44" s="412"/>
      <c r="CI44" s="412"/>
      <c r="CJ44" s="412"/>
      <c r="CK44" s="412"/>
      <c r="CL44" s="412"/>
      <c r="CM44" s="412"/>
      <c r="CN44" s="412"/>
      <c r="CO44" s="412"/>
      <c r="CQ44" s="363"/>
      <c r="CR44" s="363"/>
      <c r="CS44" s="363"/>
      <c r="CT44" s="363"/>
      <c r="CU44" s="363"/>
      <c r="CV44" s="363"/>
      <c r="CW44" s="363"/>
      <c r="CX44" s="363"/>
      <c r="CZ44" s="414"/>
      <c r="DA44" s="414"/>
      <c r="DB44" s="414"/>
      <c r="DC44" s="414"/>
      <c r="DD44" s="414"/>
      <c r="DE44" s="414"/>
      <c r="DF44" s="414"/>
      <c r="DG44" s="414"/>
      <c r="DI44" s="414">
        <f t="shared" si="22"/>
        <v>0</v>
      </c>
      <c r="DJ44" s="414"/>
      <c r="DK44" s="414"/>
      <c r="DL44" s="414"/>
      <c r="DM44" s="414"/>
      <c r="DN44" s="414"/>
      <c r="DO44" s="414"/>
      <c r="DP44" s="414"/>
      <c r="DQ44" s="414"/>
      <c r="DS44" s="414"/>
      <c r="DT44" s="414"/>
      <c r="DU44" s="414"/>
      <c r="DV44" s="414"/>
      <c r="DW44" s="414"/>
      <c r="DX44" s="414"/>
      <c r="DY44" s="414"/>
      <c r="DZ44" s="414"/>
      <c r="EB44" s="415">
        <f t="shared" si="5"/>
        <v>122970.21526315791</v>
      </c>
      <c r="EC44" s="415">
        <f t="shared" si="6"/>
        <v>0</v>
      </c>
      <c r="ED44" s="416">
        <f t="shared" si="23"/>
        <v>122970.21526315791</v>
      </c>
    </row>
    <row r="45" spans="1:134" hidden="1" x14ac:dyDescent="0.35">
      <c r="A45" s="17">
        <v>5416</v>
      </c>
      <c r="B45" s="4">
        <v>103563</v>
      </c>
      <c r="C45" s="4" t="s">
        <v>926</v>
      </c>
      <c r="D45" s="4" t="s">
        <v>927</v>
      </c>
      <c r="E45" s="15" t="s">
        <v>904</v>
      </c>
      <c r="F45" s="16" t="s">
        <v>27</v>
      </c>
      <c r="G45" s="215"/>
      <c r="H45" s="363">
        <v>0</v>
      </c>
      <c r="I45" s="410"/>
      <c r="J45" s="363">
        <v>0</v>
      </c>
      <c r="K45" s="363">
        <v>0</v>
      </c>
      <c r="L45" s="363">
        <v>0</v>
      </c>
      <c r="M45" s="363">
        <v>0</v>
      </c>
      <c r="N45" s="363">
        <v>0</v>
      </c>
      <c r="O45" s="363">
        <v>0</v>
      </c>
      <c r="P45" s="215">
        <f t="shared" si="7"/>
        <v>0</v>
      </c>
      <c r="Q45" s="363">
        <f t="shared" si="8"/>
        <v>0</v>
      </c>
      <c r="R45" s="410"/>
      <c r="S45" s="363">
        <v>0</v>
      </c>
      <c r="T45" s="363">
        <v>0</v>
      </c>
      <c r="U45" s="363">
        <v>0</v>
      </c>
      <c r="V45" s="363">
        <v>0</v>
      </c>
      <c r="W45" s="363">
        <v>0</v>
      </c>
      <c r="X45" s="363">
        <v>0</v>
      </c>
      <c r="Y45" s="363">
        <f t="shared" si="9"/>
        <v>0</v>
      </c>
      <c r="Z45" s="363">
        <f t="shared" si="10"/>
        <v>0</v>
      </c>
      <c r="AA45" s="410"/>
      <c r="AB45" s="411">
        <v>0</v>
      </c>
      <c r="AC45" s="411">
        <v>0</v>
      </c>
      <c r="AD45" s="411">
        <v>0</v>
      </c>
      <c r="AE45" s="411">
        <v>0</v>
      </c>
      <c r="AF45" s="411">
        <v>0</v>
      </c>
      <c r="AG45" s="411">
        <v>0</v>
      </c>
      <c r="AH45" s="363">
        <f t="shared" si="11"/>
        <v>0</v>
      </c>
      <c r="AI45" s="411">
        <f t="shared" si="12"/>
        <v>0</v>
      </c>
      <c r="AJ45" s="410"/>
      <c r="AK45" s="411">
        <v>0</v>
      </c>
      <c r="AL45" s="411">
        <v>0</v>
      </c>
      <c r="AM45" s="411">
        <v>0</v>
      </c>
      <c r="AN45" s="410"/>
      <c r="AO45" s="411">
        <f t="shared" si="13"/>
        <v>0</v>
      </c>
      <c r="AP45" s="411">
        <f t="shared" si="13"/>
        <v>0</v>
      </c>
      <c r="AQ45" s="411">
        <f t="shared" si="13"/>
        <v>0</v>
      </c>
      <c r="AR45" s="412"/>
      <c r="AS45" s="412">
        <v>0</v>
      </c>
      <c r="AT45" s="413">
        <f t="shared" si="14"/>
        <v>0</v>
      </c>
      <c r="AU45" s="412"/>
      <c r="AV45" s="412">
        <v>0</v>
      </c>
      <c r="AW45" s="412">
        <v>0</v>
      </c>
      <c r="AX45" s="412">
        <v>0</v>
      </c>
      <c r="AY45" s="412">
        <v>0</v>
      </c>
      <c r="AZ45" s="412">
        <v>0</v>
      </c>
      <c r="BA45" s="412">
        <v>0</v>
      </c>
      <c r="BB45" s="412">
        <v>0</v>
      </c>
      <c r="BC45" s="412">
        <f t="shared" si="15"/>
        <v>0</v>
      </c>
      <c r="BE45" s="205">
        <f t="shared" si="16"/>
        <v>0</v>
      </c>
      <c r="BF45" s="205">
        <f t="shared" si="16"/>
        <v>0</v>
      </c>
      <c r="BG45" s="205">
        <f t="shared" si="16"/>
        <v>0</v>
      </c>
      <c r="BH45" s="205">
        <f t="shared" si="16"/>
        <v>0</v>
      </c>
      <c r="BI45" s="205">
        <f t="shared" si="16"/>
        <v>0</v>
      </c>
      <c r="BJ45" s="205">
        <f t="shared" si="16"/>
        <v>0</v>
      </c>
      <c r="BK45" s="205">
        <f t="shared" si="17"/>
        <v>0</v>
      </c>
      <c r="BL45" s="205">
        <f t="shared" si="18"/>
        <v>0</v>
      </c>
      <c r="BM45" s="215">
        <f t="shared" si="19"/>
        <v>0</v>
      </c>
      <c r="BN45" s="215"/>
      <c r="BO45" s="412">
        <f t="shared" si="24"/>
        <v>0</v>
      </c>
      <c r="BP45" s="412">
        <f t="shared" si="24"/>
        <v>0</v>
      </c>
      <c r="BQ45" s="412">
        <f t="shared" si="24"/>
        <v>0</v>
      </c>
      <c r="BR45" s="412">
        <f t="shared" si="24"/>
        <v>0</v>
      </c>
      <c r="BS45" s="412">
        <f t="shared" si="24"/>
        <v>0</v>
      </c>
      <c r="BT45" s="412">
        <f t="shared" si="24"/>
        <v>0</v>
      </c>
      <c r="BU45" s="412">
        <f t="shared" si="25"/>
        <v>0</v>
      </c>
      <c r="BV45" s="412">
        <f t="shared" si="20"/>
        <v>0</v>
      </c>
      <c r="BW45" s="412">
        <f t="shared" si="4"/>
        <v>0</v>
      </c>
      <c r="BX45" s="412"/>
      <c r="BY45" s="412">
        <f t="shared" si="21"/>
        <v>0</v>
      </c>
      <c r="BZ45" s="412"/>
      <c r="CA45" s="412">
        <f>IFERROR(VLOOKUP(A45,'Actuals Summer'!A:S,19,FALSE),0)</f>
        <v>0</v>
      </c>
      <c r="CC45" s="412"/>
      <c r="CD45" s="412"/>
      <c r="CE45" s="412"/>
      <c r="CF45" s="412"/>
      <c r="CG45" s="412"/>
      <c r="CH45" s="412"/>
      <c r="CI45" s="412"/>
      <c r="CJ45" s="412"/>
      <c r="CK45" s="412"/>
      <c r="CL45" s="412"/>
      <c r="CM45" s="412"/>
      <c r="CN45" s="412"/>
      <c r="CO45" s="412"/>
      <c r="CQ45" s="363"/>
      <c r="CR45" s="363"/>
      <c r="CS45" s="363"/>
      <c r="CT45" s="363"/>
      <c r="CU45" s="363"/>
      <c r="CV45" s="363"/>
      <c r="CW45" s="363"/>
      <c r="CX45" s="363"/>
      <c r="CZ45" s="414"/>
      <c r="DA45" s="414"/>
      <c r="DB45" s="414"/>
      <c r="DC45" s="414"/>
      <c r="DD45" s="414"/>
      <c r="DE45" s="414"/>
      <c r="DF45" s="414"/>
      <c r="DG45" s="414"/>
      <c r="DI45" s="414">
        <f t="shared" si="22"/>
        <v>0</v>
      </c>
      <c r="DJ45" s="414"/>
      <c r="DK45" s="414"/>
      <c r="DL45" s="414"/>
      <c r="DM45" s="414"/>
      <c r="DN45" s="414"/>
      <c r="DO45" s="414"/>
      <c r="DP45" s="414"/>
      <c r="DQ45" s="414"/>
      <c r="DS45" s="414"/>
      <c r="DT45" s="414"/>
      <c r="DU45" s="414"/>
      <c r="DV45" s="414"/>
      <c r="DW45" s="414"/>
      <c r="DX45" s="414"/>
      <c r="DY45" s="414"/>
      <c r="DZ45" s="414"/>
      <c r="EB45" s="415">
        <f t="shared" si="5"/>
        <v>0</v>
      </c>
      <c r="EC45" s="415">
        <f t="shared" si="6"/>
        <v>0</v>
      </c>
      <c r="ED45" s="416">
        <f t="shared" si="23"/>
        <v>0</v>
      </c>
    </row>
    <row r="46" spans="1:134" hidden="1" x14ac:dyDescent="0.35">
      <c r="A46" s="17">
        <v>2054</v>
      </c>
      <c r="B46" s="4">
        <v>103189</v>
      </c>
      <c r="C46" s="4" t="s">
        <v>66</v>
      </c>
      <c r="D46" s="4" t="s">
        <v>67</v>
      </c>
      <c r="E46" s="15" t="s">
        <v>32</v>
      </c>
      <c r="F46" s="16" t="s">
        <v>27</v>
      </c>
      <c r="G46" s="215"/>
      <c r="H46" s="363">
        <v>0</v>
      </c>
      <c r="I46" s="410"/>
      <c r="J46" s="363">
        <v>0</v>
      </c>
      <c r="K46" s="363">
        <v>0</v>
      </c>
      <c r="L46" s="363">
        <v>55185</v>
      </c>
      <c r="M46" s="363">
        <v>1950</v>
      </c>
      <c r="N46" s="363">
        <v>671.21052631578948</v>
      </c>
      <c r="O46" s="363">
        <v>0</v>
      </c>
      <c r="P46" s="215">
        <f t="shared" si="7"/>
        <v>57806.210526315786</v>
      </c>
      <c r="Q46" s="363">
        <f t="shared" si="8"/>
        <v>46244.968421052632</v>
      </c>
      <c r="R46" s="410"/>
      <c r="S46" s="363">
        <v>0</v>
      </c>
      <c r="T46" s="363">
        <v>0</v>
      </c>
      <c r="U46" s="363">
        <v>52977.600000000006</v>
      </c>
      <c r="V46" s="363">
        <v>1170</v>
      </c>
      <c r="W46" s="363">
        <v>223.73684210526318</v>
      </c>
      <c r="X46" s="363">
        <v>0</v>
      </c>
      <c r="Y46" s="363">
        <f t="shared" si="9"/>
        <v>54371.336842105266</v>
      </c>
      <c r="Z46" s="363">
        <f t="shared" si="10"/>
        <v>43497.069473684212</v>
      </c>
      <c r="AA46" s="410"/>
      <c r="AB46" s="411">
        <v>0</v>
      </c>
      <c r="AC46" s="411">
        <v>0</v>
      </c>
      <c r="AD46" s="411">
        <v>47293.768421052628</v>
      </c>
      <c r="AE46" s="411">
        <v>1477.8947368421054</v>
      </c>
      <c r="AF46" s="411">
        <v>260.8753462603878</v>
      </c>
      <c r="AG46" s="411">
        <v>93.54016620498615</v>
      </c>
      <c r="AH46" s="363">
        <f t="shared" si="11"/>
        <v>49126.078670360104</v>
      </c>
      <c r="AI46" s="411">
        <f t="shared" si="12"/>
        <v>39300.862936288089</v>
      </c>
      <c r="AJ46" s="410"/>
      <c r="AK46" s="411">
        <v>547.94999999999993</v>
      </c>
      <c r="AL46" s="411">
        <v>1168.05</v>
      </c>
      <c r="AM46" s="411">
        <v>729.28421052631563</v>
      </c>
      <c r="AN46" s="410"/>
      <c r="AO46" s="411">
        <f t="shared" si="13"/>
        <v>438.35999999999996</v>
      </c>
      <c r="AP46" s="411">
        <f t="shared" si="13"/>
        <v>934.44</v>
      </c>
      <c r="AQ46" s="411">
        <f t="shared" si="13"/>
        <v>583.42736842105251</v>
      </c>
      <c r="AR46" s="412"/>
      <c r="AS46" s="412">
        <v>0</v>
      </c>
      <c r="AT46" s="413">
        <f t="shared" si="14"/>
        <v>0</v>
      </c>
      <c r="AU46" s="412"/>
      <c r="AV46" s="412">
        <v>0</v>
      </c>
      <c r="AW46" s="412">
        <v>0</v>
      </c>
      <c r="AX46" s="412">
        <v>55185</v>
      </c>
      <c r="AY46" s="412">
        <v>1560</v>
      </c>
      <c r="AZ46" s="412">
        <v>149.15789473684211</v>
      </c>
      <c r="BA46" s="412">
        <v>0</v>
      </c>
      <c r="BB46" s="412">
        <v>992.55</v>
      </c>
      <c r="BC46" s="412">
        <f t="shared" si="15"/>
        <v>57886.707894736843</v>
      </c>
      <c r="BE46" s="205">
        <f t="shared" si="16"/>
        <v>0</v>
      </c>
      <c r="BF46" s="205">
        <f t="shared" si="16"/>
        <v>0</v>
      </c>
      <c r="BG46" s="205">
        <f t="shared" si="16"/>
        <v>0</v>
      </c>
      <c r="BH46" s="205">
        <f t="shared" si="16"/>
        <v>-390</v>
      </c>
      <c r="BI46" s="205">
        <f t="shared" si="16"/>
        <v>-522.0526315789474</v>
      </c>
      <c r="BJ46" s="205">
        <f t="shared" si="16"/>
        <v>0</v>
      </c>
      <c r="BK46" s="205">
        <f t="shared" si="17"/>
        <v>444.6</v>
      </c>
      <c r="BL46" s="205">
        <f t="shared" si="18"/>
        <v>-467.45263157894738</v>
      </c>
      <c r="BM46" s="215">
        <f t="shared" si="19"/>
        <v>0</v>
      </c>
      <c r="BN46" s="215"/>
      <c r="BO46" s="412">
        <f t="shared" si="24"/>
        <v>0</v>
      </c>
      <c r="BP46" s="412">
        <f t="shared" si="24"/>
        <v>0</v>
      </c>
      <c r="BQ46" s="412">
        <f t="shared" si="24"/>
        <v>11037</v>
      </c>
      <c r="BR46" s="412">
        <f t="shared" si="24"/>
        <v>0</v>
      </c>
      <c r="BS46" s="412">
        <f t="shared" si="24"/>
        <v>-387.8105263157895</v>
      </c>
      <c r="BT46" s="412">
        <f t="shared" si="24"/>
        <v>0</v>
      </c>
      <c r="BU46" s="412">
        <f t="shared" si="25"/>
        <v>554.19000000000005</v>
      </c>
      <c r="BV46" s="412">
        <f t="shared" si="20"/>
        <v>11203.379473684212</v>
      </c>
      <c r="BW46" s="412">
        <f t="shared" si="4"/>
        <v>0</v>
      </c>
      <c r="BX46" s="412"/>
      <c r="BY46" s="412">
        <f t="shared" si="21"/>
        <v>57886.707894736843</v>
      </c>
      <c r="BZ46" s="412"/>
      <c r="CA46" s="412">
        <f>IFERROR(VLOOKUP(A46,'Actuals Summer'!A:S,19,FALSE),0)</f>
        <v>57886.707894736843</v>
      </c>
      <c r="CC46" s="412"/>
      <c r="CD46" s="412"/>
      <c r="CE46" s="412"/>
      <c r="CF46" s="412"/>
      <c r="CG46" s="412"/>
      <c r="CH46" s="412"/>
      <c r="CI46" s="412"/>
      <c r="CJ46" s="412"/>
      <c r="CK46" s="412"/>
      <c r="CL46" s="412"/>
      <c r="CM46" s="412"/>
      <c r="CN46" s="412"/>
      <c r="CO46" s="412"/>
      <c r="CQ46" s="363"/>
      <c r="CR46" s="363"/>
      <c r="CS46" s="363"/>
      <c r="CT46" s="363"/>
      <c r="CU46" s="363"/>
      <c r="CV46" s="363"/>
      <c r="CW46" s="363"/>
      <c r="CX46" s="363"/>
      <c r="CZ46" s="414"/>
      <c r="DA46" s="414"/>
      <c r="DB46" s="414"/>
      <c r="DC46" s="414"/>
      <c r="DD46" s="414"/>
      <c r="DE46" s="414"/>
      <c r="DF46" s="414"/>
      <c r="DG46" s="414"/>
      <c r="DI46" s="414">
        <f t="shared" si="22"/>
        <v>0</v>
      </c>
      <c r="DJ46" s="414"/>
      <c r="DK46" s="414"/>
      <c r="DL46" s="414"/>
      <c r="DM46" s="414"/>
      <c r="DN46" s="414"/>
      <c r="DO46" s="414"/>
      <c r="DP46" s="414"/>
      <c r="DQ46" s="414"/>
      <c r="DS46" s="414"/>
      <c r="DT46" s="414"/>
      <c r="DU46" s="414"/>
      <c r="DV46" s="414"/>
      <c r="DW46" s="414"/>
      <c r="DX46" s="414"/>
      <c r="DY46" s="414"/>
      <c r="DZ46" s="414"/>
      <c r="EB46" s="415">
        <f t="shared" si="5"/>
        <v>142127.67554016621</v>
      </c>
      <c r="EC46" s="415">
        <f t="shared" si="6"/>
        <v>74.832132963988926</v>
      </c>
      <c r="ED46" s="416">
        <f t="shared" si="23"/>
        <v>142202.5076731302</v>
      </c>
    </row>
    <row r="47" spans="1:134" hidden="1" x14ac:dyDescent="0.35">
      <c r="A47" s="17">
        <v>2053</v>
      </c>
      <c r="B47" s="4">
        <v>103188</v>
      </c>
      <c r="C47" s="4" t="s">
        <v>928</v>
      </c>
      <c r="D47" s="4" t="s">
        <v>929</v>
      </c>
      <c r="E47" s="15" t="s">
        <v>32</v>
      </c>
      <c r="F47" s="16" t="s">
        <v>27</v>
      </c>
      <c r="G47" s="215"/>
      <c r="H47" s="363">
        <v>0</v>
      </c>
      <c r="I47" s="410"/>
      <c r="J47" s="363">
        <v>0</v>
      </c>
      <c r="K47" s="363">
        <v>0</v>
      </c>
      <c r="L47" s="363">
        <v>0</v>
      </c>
      <c r="M47" s="363">
        <v>0</v>
      </c>
      <c r="N47" s="363">
        <v>0</v>
      </c>
      <c r="O47" s="363">
        <v>0</v>
      </c>
      <c r="P47" s="215">
        <f t="shared" si="7"/>
        <v>0</v>
      </c>
      <c r="Q47" s="363">
        <f t="shared" si="8"/>
        <v>0</v>
      </c>
      <c r="R47" s="410"/>
      <c r="S47" s="363">
        <v>0</v>
      </c>
      <c r="T47" s="363">
        <v>0</v>
      </c>
      <c r="U47" s="363">
        <v>0</v>
      </c>
      <c r="V47" s="363">
        <v>0</v>
      </c>
      <c r="W47" s="363">
        <v>0</v>
      </c>
      <c r="X47" s="363">
        <v>0</v>
      </c>
      <c r="Y47" s="363">
        <f t="shared" si="9"/>
        <v>0</v>
      </c>
      <c r="Z47" s="363">
        <f t="shared" si="10"/>
        <v>0</v>
      </c>
      <c r="AA47" s="410"/>
      <c r="AB47" s="411">
        <v>0</v>
      </c>
      <c r="AC47" s="411">
        <v>0</v>
      </c>
      <c r="AD47" s="411">
        <v>0</v>
      </c>
      <c r="AE47" s="411">
        <v>0</v>
      </c>
      <c r="AF47" s="411">
        <v>0</v>
      </c>
      <c r="AG47" s="411">
        <v>0</v>
      </c>
      <c r="AH47" s="363">
        <f t="shared" si="11"/>
        <v>0</v>
      </c>
      <c r="AI47" s="411">
        <f t="shared" si="12"/>
        <v>0</v>
      </c>
      <c r="AJ47" s="410"/>
      <c r="AK47" s="411">
        <v>0</v>
      </c>
      <c r="AL47" s="411">
        <v>0</v>
      </c>
      <c r="AM47" s="411">
        <v>0</v>
      </c>
      <c r="AN47" s="410"/>
      <c r="AO47" s="411">
        <f t="shared" si="13"/>
        <v>0</v>
      </c>
      <c r="AP47" s="411">
        <f t="shared" si="13"/>
        <v>0</v>
      </c>
      <c r="AQ47" s="411">
        <f t="shared" si="13"/>
        <v>0</v>
      </c>
      <c r="AR47" s="412"/>
      <c r="AS47" s="412">
        <v>0</v>
      </c>
      <c r="AT47" s="413">
        <f t="shared" si="14"/>
        <v>0</v>
      </c>
      <c r="AU47" s="412"/>
      <c r="AV47" s="412">
        <v>0</v>
      </c>
      <c r="AW47" s="412">
        <v>0</v>
      </c>
      <c r="AX47" s="412">
        <v>0</v>
      </c>
      <c r="AY47" s="412">
        <v>0</v>
      </c>
      <c r="AZ47" s="412">
        <v>0</v>
      </c>
      <c r="BA47" s="412">
        <v>0</v>
      </c>
      <c r="BB47" s="412">
        <v>0</v>
      </c>
      <c r="BC47" s="412">
        <f t="shared" si="15"/>
        <v>0</v>
      </c>
      <c r="BE47" s="205">
        <f t="shared" si="16"/>
        <v>0</v>
      </c>
      <c r="BF47" s="205">
        <f t="shared" si="16"/>
        <v>0</v>
      </c>
      <c r="BG47" s="205">
        <f t="shared" si="16"/>
        <v>0</v>
      </c>
      <c r="BH47" s="205">
        <f t="shared" si="16"/>
        <v>0</v>
      </c>
      <c r="BI47" s="205">
        <f t="shared" si="16"/>
        <v>0</v>
      </c>
      <c r="BJ47" s="205">
        <f t="shared" si="16"/>
        <v>0</v>
      </c>
      <c r="BK47" s="205">
        <f t="shared" si="17"/>
        <v>0</v>
      </c>
      <c r="BL47" s="205">
        <f t="shared" si="18"/>
        <v>0</v>
      </c>
      <c r="BM47" s="215">
        <f t="shared" si="19"/>
        <v>0</v>
      </c>
      <c r="BN47" s="215"/>
      <c r="BO47" s="412">
        <f t="shared" si="24"/>
        <v>0</v>
      </c>
      <c r="BP47" s="412">
        <f t="shared" si="24"/>
        <v>0</v>
      </c>
      <c r="BQ47" s="412">
        <f t="shared" si="24"/>
        <v>0</v>
      </c>
      <c r="BR47" s="412">
        <f t="shared" si="24"/>
        <v>0</v>
      </c>
      <c r="BS47" s="412">
        <f t="shared" si="24"/>
        <v>0</v>
      </c>
      <c r="BT47" s="412">
        <f t="shared" si="24"/>
        <v>0</v>
      </c>
      <c r="BU47" s="412">
        <f t="shared" si="25"/>
        <v>0</v>
      </c>
      <c r="BV47" s="412">
        <f t="shared" si="20"/>
        <v>0</v>
      </c>
      <c r="BW47" s="412">
        <f t="shared" si="4"/>
        <v>0</v>
      </c>
      <c r="BX47" s="412"/>
      <c r="BY47" s="412">
        <f t="shared" si="21"/>
        <v>0</v>
      </c>
      <c r="BZ47" s="412"/>
      <c r="CA47" s="412">
        <f>IFERROR(VLOOKUP(A47,'Actuals Summer'!A:S,19,FALSE),0)</f>
        <v>0</v>
      </c>
      <c r="CC47" s="412"/>
      <c r="CD47" s="412"/>
      <c r="CE47" s="412"/>
      <c r="CF47" s="412"/>
      <c r="CG47" s="412"/>
      <c r="CH47" s="412"/>
      <c r="CI47" s="412"/>
      <c r="CJ47" s="412"/>
      <c r="CK47" s="412"/>
      <c r="CL47" s="412"/>
      <c r="CM47" s="412"/>
      <c r="CN47" s="412"/>
      <c r="CO47" s="412"/>
      <c r="CQ47" s="363"/>
      <c r="CR47" s="363"/>
      <c r="CS47" s="363"/>
      <c r="CT47" s="363"/>
      <c r="CU47" s="363"/>
      <c r="CV47" s="363"/>
      <c r="CW47" s="363"/>
      <c r="CX47" s="363"/>
      <c r="CZ47" s="414"/>
      <c r="DA47" s="414"/>
      <c r="DB47" s="414"/>
      <c r="DC47" s="414"/>
      <c r="DD47" s="414"/>
      <c r="DE47" s="414"/>
      <c r="DF47" s="414"/>
      <c r="DG47" s="414"/>
      <c r="DI47" s="414">
        <f t="shared" si="22"/>
        <v>0</v>
      </c>
      <c r="DJ47" s="414"/>
      <c r="DK47" s="414"/>
      <c r="DL47" s="414"/>
      <c r="DM47" s="414"/>
      <c r="DN47" s="414"/>
      <c r="DO47" s="414"/>
      <c r="DP47" s="414"/>
      <c r="DQ47" s="414"/>
      <c r="DS47" s="414"/>
      <c r="DT47" s="414"/>
      <c r="DU47" s="414"/>
      <c r="DV47" s="414"/>
      <c r="DW47" s="414"/>
      <c r="DX47" s="414"/>
      <c r="DY47" s="414"/>
      <c r="DZ47" s="414"/>
      <c r="EB47" s="415">
        <f t="shared" si="5"/>
        <v>0</v>
      </c>
      <c r="EC47" s="415">
        <f t="shared" si="6"/>
        <v>0</v>
      </c>
      <c r="ED47" s="416">
        <f t="shared" si="23"/>
        <v>0</v>
      </c>
    </row>
    <row r="48" spans="1:134" hidden="1" x14ac:dyDescent="0.35">
      <c r="A48" s="17">
        <v>3320</v>
      </c>
      <c r="B48" s="4">
        <v>103424</v>
      </c>
      <c r="C48" s="4" t="s">
        <v>930</v>
      </c>
      <c r="D48" s="4" t="s">
        <v>931</v>
      </c>
      <c r="E48" s="15" t="s">
        <v>32</v>
      </c>
      <c r="F48" s="16" t="s">
        <v>27</v>
      </c>
      <c r="G48" s="215"/>
      <c r="H48" s="363">
        <v>0</v>
      </c>
      <c r="I48" s="410"/>
      <c r="J48" s="363">
        <v>0</v>
      </c>
      <c r="K48" s="363">
        <v>0</v>
      </c>
      <c r="L48" s="363">
        <v>0</v>
      </c>
      <c r="M48" s="363">
        <v>0</v>
      </c>
      <c r="N48" s="363">
        <v>0</v>
      </c>
      <c r="O48" s="363">
        <v>0</v>
      </c>
      <c r="P48" s="215">
        <f t="shared" si="7"/>
        <v>0</v>
      </c>
      <c r="Q48" s="363">
        <f t="shared" si="8"/>
        <v>0</v>
      </c>
      <c r="R48" s="410"/>
      <c r="S48" s="363">
        <v>0</v>
      </c>
      <c r="T48" s="363">
        <v>0</v>
      </c>
      <c r="U48" s="363">
        <v>0</v>
      </c>
      <c r="V48" s="363">
        <v>0</v>
      </c>
      <c r="W48" s="363">
        <v>0</v>
      </c>
      <c r="X48" s="363">
        <v>0</v>
      </c>
      <c r="Y48" s="363">
        <f t="shared" si="9"/>
        <v>0</v>
      </c>
      <c r="Z48" s="363">
        <f t="shared" si="10"/>
        <v>0</v>
      </c>
      <c r="AA48" s="410"/>
      <c r="AB48" s="411">
        <v>0</v>
      </c>
      <c r="AC48" s="411">
        <v>0</v>
      </c>
      <c r="AD48" s="411">
        <v>0</v>
      </c>
      <c r="AE48" s="411">
        <v>0</v>
      </c>
      <c r="AF48" s="411">
        <v>0</v>
      </c>
      <c r="AG48" s="411">
        <v>0</v>
      </c>
      <c r="AH48" s="363">
        <f t="shared" si="11"/>
        <v>0</v>
      </c>
      <c r="AI48" s="411">
        <f t="shared" si="12"/>
        <v>0</v>
      </c>
      <c r="AJ48" s="410"/>
      <c r="AK48" s="411">
        <v>0</v>
      </c>
      <c r="AL48" s="411">
        <v>0</v>
      </c>
      <c r="AM48" s="411">
        <v>0</v>
      </c>
      <c r="AN48" s="410"/>
      <c r="AO48" s="411">
        <f t="shared" si="13"/>
        <v>0</v>
      </c>
      <c r="AP48" s="411">
        <f t="shared" si="13"/>
        <v>0</v>
      </c>
      <c r="AQ48" s="411">
        <f t="shared" si="13"/>
        <v>0</v>
      </c>
      <c r="AR48" s="412"/>
      <c r="AS48" s="412">
        <v>0</v>
      </c>
      <c r="AT48" s="413">
        <f t="shared" si="14"/>
        <v>0</v>
      </c>
      <c r="AU48" s="412"/>
      <c r="AV48" s="412">
        <v>0</v>
      </c>
      <c r="AW48" s="412">
        <v>0</v>
      </c>
      <c r="AX48" s="412">
        <v>0</v>
      </c>
      <c r="AY48" s="412">
        <v>0</v>
      </c>
      <c r="AZ48" s="412">
        <v>0</v>
      </c>
      <c r="BA48" s="412">
        <v>0</v>
      </c>
      <c r="BB48" s="412">
        <v>0</v>
      </c>
      <c r="BC48" s="412">
        <f t="shared" si="15"/>
        <v>0</v>
      </c>
      <c r="BE48" s="205">
        <f t="shared" si="16"/>
        <v>0</v>
      </c>
      <c r="BF48" s="205">
        <f t="shared" si="16"/>
        <v>0</v>
      </c>
      <c r="BG48" s="205">
        <f t="shared" si="16"/>
        <v>0</v>
      </c>
      <c r="BH48" s="205">
        <f t="shared" si="16"/>
        <v>0</v>
      </c>
      <c r="BI48" s="205">
        <f t="shared" si="16"/>
        <v>0</v>
      </c>
      <c r="BJ48" s="205">
        <f t="shared" si="16"/>
        <v>0</v>
      </c>
      <c r="BK48" s="205">
        <f t="shared" si="17"/>
        <v>0</v>
      </c>
      <c r="BL48" s="205">
        <f t="shared" si="18"/>
        <v>0</v>
      </c>
      <c r="BM48" s="215">
        <f t="shared" si="19"/>
        <v>0</v>
      </c>
      <c r="BN48" s="215"/>
      <c r="BO48" s="412">
        <f t="shared" si="24"/>
        <v>0</v>
      </c>
      <c r="BP48" s="412">
        <f t="shared" si="24"/>
        <v>0</v>
      </c>
      <c r="BQ48" s="412">
        <f t="shared" si="24"/>
        <v>0</v>
      </c>
      <c r="BR48" s="412">
        <f t="shared" si="24"/>
        <v>0</v>
      </c>
      <c r="BS48" s="412">
        <f t="shared" si="24"/>
        <v>0</v>
      </c>
      <c r="BT48" s="412">
        <f t="shared" si="24"/>
        <v>0</v>
      </c>
      <c r="BU48" s="412">
        <f t="shared" si="25"/>
        <v>0</v>
      </c>
      <c r="BV48" s="412">
        <f t="shared" si="20"/>
        <v>0</v>
      </c>
      <c r="BW48" s="412">
        <f t="shared" si="4"/>
        <v>0</v>
      </c>
      <c r="BX48" s="412"/>
      <c r="BY48" s="412">
        <f t="shared" si="21"/>
        <v>0</v>
      </c>
      <c r="BZ48" s="412"/>
      <c r="CA48" s="412">
        <f>IFERROR(VLOOKUP(A48,'Actuals Summer'!A:S,19,FALSE),0)</f>
        <v>0</v>
      </c>
      <c r="CC48" s="412"/>
      <c r="CD48" s="412"/>
      <c r="CE48" s="412"/>
      <c r="CF48" s="412"/>
      <c r="CG48" s="412"/>
      <c r="CH48" s="412"/>
      <c r="CI48" s="412"/>
      <c r="CJ48" s="412"/>
      <c r="CK48" s="412"/>
      <c r="CL48" s="412"/>
      <c r="CM48" s="412"/>
      <c r="CN48" s="412"/>
      <c r="CO48" s="412"/>
      <c r="CQ48" s="363"/>
      <c r="CR48" s="363"/>
      <c r="CS48" s="363"/>
      <c r="CT48" s="363"/>
      <c r="CU48" s="363"/>
      <c r="CV48" s="363"/>
      <c r="CW48" s="363"/>
      <c r="CX48" s="363"/>
      <c r="CZ48" s="414"/>
      <c r="DA48" s="414"/>
      <c r="DB48" s="414"/>
      <c r="DC48" s="414"/>
      <c r="DD48" s="414"/>
      <c r="DE48" s="414"/>
      <c r="DF48" s="414"/>
      <c r="DG48" s="414"/>
      <c r="DI48" s="414">
        <f t="shared" si="22"/>
        <v>0</v>
      </c>
      <c r="DJ48" s="414"/>
      <c r="DK48" s="414"/>
      <c r="DL48" s="414"/>
      <c r="DM48" s="414"/>
      <c r="DN48" s="414"/>
      <c r="DO48" s="414"/>
      <c r="DP48" s="414"/>
      <c r="DQ48" s="414"/>
      <c r="DS48" s="414"/>
      <c r="DT48" s="414"/>
      <c r="DU48" s="414"/>
      <c r="DV48" s="414"/>
      <c r="DW48" s="414"/>
      <c r="DX48" s="414"/>
      <c r="DY48" s="414"/>
      <c r="DZ48" s="414"/>
      <c r="EB48" s="415">
        <f t="shared" si="5"/>
        <v>0</v>
      </c>
      <c r="EC48" s="415">
        <f t="shared" si="6"/>
        <v>0</v>
      </c>
      <c r="ED48" s="416">
        <f t="shared" si="23"/>
        <v>0</v>
      </c>
    </row>
    <row r="49" spans="1:134" hidden="1" x14ac:dyDescent="0.35">
      <c r="A49" s="17">
        <v>2055</v>
      </c>
      <c r="B49" s="4">
        <v>103190</v>
      </c>
      <c r="C49" s="4" t="s">
        <v>68</v>
      </c>
      <c r="D49" s="4" t="s">
        <v>69</v>
      </c>
      <c r="E49" s="15" t="s">
        <v>32</v>
      </c>
      <c r="F49" s="16" t="s">
        <v>27</v>
      </c>
      <c r="G49" s="215"/>
      <c r="H49" s="363">
        <v>0</v>
      </c>
      <c r="I49" s="410"/>
      <c r="J49" s="363">
        <v>0</v>
      </c>
      <c r="K49" s="363">
        <v>0</v>
      </c>
      <c r="L49" s="363">
        <v>51653.16</v>
      </c>
      <c r="M49" s="363">
        <v>585</v>
      </c>
      <c r="N49" s="363">
        <v>0</v>
      </c>
      <c r="O49" s="363">
        <v>0</v>
      </c>
      <c r="P49" s="215">
        <f t="shared" si="7"/>
        <v>52238.16</v>
      </c>
      <c r="Q49" s="363">
        <f t="shared" si="8"/>
        <v>41790.528000000006</v>
      </c>
      <c r="R49" s="410"/>
      <c r="S49" s="363">
        <v>0</v>
      </c>
      <c r="T49" s="363">
        <v>0</v>
      </c>
      <c r="U49" s="363">
        <v>51873.9</v>
      </c>
      <c r="V49" s="363">
        <v>195</v>
      </c>
      <c r="W49" s="363">
        <v>0</v>
      </c>
      <c r="X49" s="363">
        <v>0</v>
      </c>
      <c r="Y49" s="363">
        <f t="shared" si="9"/>
        <v>52068.9</v>
      </c>
      <c r="Z49" s="363">
        <f t="shared" si="10"/>
        <v>41655.120000000003</v>
      </c>
      <c r="AA49" s="410"/>
      <c r="AB49" s="411">
        <v>0</v>
      </c>
      <c r="AC49" s="411">
        <v>0</v>
      </c>
      <c r="AD49" s="411">
        <v>44912.993684210531</v>
      </c>
      <c r="AE49" s="411">
        <v>341.05263157894734</v>
      </c>
      <c r="AF49" s="411">
        <v>0</v>
      </c>
      <c r="AG49" s="411">
        <v>0</v>
      </c>
      <c r="AH49" s="363">
        <f t="shared" si="11"/>
        <v>45254.046315789477</v>
      </c>
      <c r="AI49" s="411">
        <f t="shared" si="12"/>
        <v>36203.237052631586</v>
      </c>
      <c r="AJ49" s="410"/>
      <c r="AK49" s="411">
        <v>285.48</v>
      </c>
      <c r="AL49" s="411">
        <v>532.34999999999991</v>
      </c>
      <c r="AM49" s="411">
        <v>321.61263157894734</v>
      </c>
      <c r="AN49" s="410"/>
      <c r="AO49" s="411">
        <f t="shared" si="13"/>
        <v>228.38400000000001</v>
      </c>
      <c r="AP49" s="411">
        <f t="shared" si="13"/>
        <v>425.87999999999994</v>
      </c>
      <c r="AQ49" s="411">
        <f t="shared" si="13"/>
        <v>257.2901052631579</v>
      </c>
      <c r="AR49" s="412"/>
      <c r="AS49" s="412">
        <v>0</v>
      </c>
      <c r="AT49" s="413">
        <f t="shared" si="14"/>
        <v>0</v>
      </c>
      <c r="AU49" s="412"/>
      <c r="AV49" s="412">
        <v>0</v>
      </c>
      <c r="AW49" s="412">
        <v>0</v>
      </c>
      <c r="AX49" s="412">
        <v>54081.3</v>
      </c>
      <c r="AY49" s="412">
        <v>390</v>
      </c>
      <c r="AZ49" s="412">
        <v>0</v>
      </c>
      <c r="BA49" s="412">
        <v>0</v>
      </c>
      <c r="BB49" s="412">
        <v>413.4</v>
      </c>
      <c r="BC49" s="412">
        <f t="shared" si="15"/>
        <v>54884.700000000004</v>
      </c>
      <c r="BE49" s="205">
        <f t="shared" si="16"/>
        <v>0</v>
      </c>
      <c r="BF49" s="205">
        <f t="shared" si="16"/>
        <v>0</v>
      </c>
      <c r="BG49" s="205">
        <f t="shared" si="16"/>
        <v>2428.1399999999994</v>
      </c>
      <c r="BH49" s="205">
        <f t="shared" si="16"/>
        <v>-195</v>
      </c>
      <c r="BI49" s="205">
        <f t="shared" si="16"/>
        <v>0</v>
      </c>
      <c r="BJ49" s="205">
        <f t="shared" si="16"/>
        <v>0</v>
      </c>
      <c r="BK49" s="205">
        <f t="shared" si="17"/>
        <v>127.91999999999996</v>
      </c>
      <c r="BL49" s="205">
        <f t="shared" si="18"/>
        <v>2361.0599999999995</v>
      </c>
      <c r="BM49" s="215">
        <f t="shared" si="19"/>
        <v>0</v>
      </c>
      <c r="BN49" s="215"/>
      <c r="BO49" s="412">
        <f t="shared" si="24"/>
        <v>0</v>
      </c>
      <c r="BP49" s="412">
        <f t="shared" si="24"/>
        <v>0</v>
      </c>
      <c r="BQ49" s="412">
        <f t="shared" si="24"/>
        <v>12758.771999999997</v>
      </c>
      <c r="BR49" s="412">
        <f t="shared" si="24"/>
        <v>-78</v>
      </c>
      <c r="BS49" s="412">
        <f t="shared" si="24"/>
        <v>0</v>
      </c>
      <c r="BT49" s="412">
        <f t="shared" si="24"/>
        <v>0</v>
      </c>
      <c r="BU49" s="412">
        <f t="shared" si="25"/>
        <v>185.01599999999996</v>
      </c>
      <c r="BV49" s="412">
        <f t="shared" si="20"/>
        <v>12865.787999999997</v>
      </c>
      <c r="BW49" s="412">
        <f t="shared" si="4"/>
        <v>-7.2759576141834259E-12</v>
      </c>
      <c r="BX49" s="412"/>
      <c r="BY49" s="412">
        <f t="shared" si="21"/>
        <v>54884.700000000004</v>
      </c>
      <c r="BZ49" s="412"/>
      <c r="CA49" s="412">
        <f>IFERROR(VLOOKUP(A49,'Actuals Summer'!A:S,19,FALSE),0)</f>
        <v>54884.700000000004</v>
      </c>
      <c r="CC49" s="412"/>
      <c r="CD49" s="412"/>
      <c r="CE49" s="412"/>
      <c r="CF49" s="412"/>
      <c r="CG49" s="412"/>
      <c r="CH49" s="412"/>
      <c r="CI49" s="412"/>
      <c r="CJ49" s="412"/>
      <c r="CK49" s="412"/>
      <c r="CL49" s="412"/>
      <c r="CM49" s="412"/>
      <c r="CN49" s="412"/>
      <c r="CO49" s="412"/>
      <c r="CQ49" s="363"/>
      <c r="CR49" s="363"/>
      <c r="CS49" s="363"/>
      <c r="CT49" s="363"/>
      <c r="CU49" s="363"/>
      <c r="CV49" s="363"/>
      <c r="CW49" s="363"/>
      <c r="CX49" s="363"/>
      <c r="CZ49" s="414"/>
      <c r="DA49" s="414"/>
      <c r="DB49" s="414"/>
      <c r="DC49" s="414"/>
      <c r="DD49" s="414"/>
      <c r="DE49" s="414"/>
      <c r="DF49" s="414"/>
      <c r="DG49" s="414"/>
      <c r="DI49" s="414">
        <f t="shared" si="22"/>
        <v>0</v>
      </c>
      <c r="DJ49" s="414"/>
      <c r="DK49" s="414"/>
      <c r="DL49" s="414"/>
      <c r="DM49" s="414"/>
      <c r="DN49" s="414"/>
      <c r="DO49" s="414"/>
      <c r="DP49" s="414"/>
      <c r="DQ49" s="414"/>
      <c r="DS49" s="414"/>
      <c r="DT49" s="414"/>
      <c r="DU49" s="414"/>
      <c r="DV49" s="414"/>
      <c r="DW49" s="414"/>
      <c r="DX49" s="414"/>
      <c r="DY49" s="414"/>
      <c r="DZ49" s="414"/>
      <c r="EB49" s="415">
        <f t="shared" si="5"/>
        <v>133426.22715789475</v>
      </c>
      <c r="EC49" s="415">
        <f t="shared" si="6"/>
        <v>0</v>
      </c>
      <c r="ED49" s="416">
        <f t="shared" si="23"/>
        <v>133426.22715789475</v>
      </c>
    </row>
    <row r="50" spans="1:134" hidden="1" x14ac:dyDescent="0.35">
      <c r="A50" s="17">
        <v>2454</v>
      </c>
      <c r="B50" s="4">
        <v>103381</v>
      </c>
      <c r="C50" s="4" t="s">
        <v>70</v>
      </c>
      <c r="D50" s="4" t="s">
        <v>71</v>
      </c>
      <c r="E50" s="15" t="s">
        <v>32</v>
      </c>
      <c r="F50" s="16" t="s">
        <v>27</v>
      </c>
      <c r="G50" s="215"/>
      <c r="H50" s="363">
        <v>0</v>
      </c>
      <c r="I50" s="410"/>
      <c r="J50" s="363">
        <v>0</v>
      </c>
      <c r="K50" s="363">
        <v>0</v>
      </c>
      <c r="L50" s="363">
        <v>61807.199999999997</v>
      </c>
      <c r="M50" s="363">
        <v>2535</v>
      </c>
      <c r="N50" s="363">
        <v>223.73684210526318</v>
      </c>
      <c r="O50" s="363">
        <v>0</v>
      </c>
      <c r="P50" s="215">
        <f t="shared" si="7"/>
        <v>64565.936842105257</v>
      </c>
      <c r="Q50" s="363">
        <f t="shared" si="8"/>
        <v>51652.749473684205</v>
      </c>
      <c r="R50" s="410"/>
      <c r="S50" s="363">
        <v>0</v>
      </c>
      <c r="T50" s="363">
        <v>0</v>
      </c>
      <c r="U50" s="363">
        <v>51873.9</v>
      </c>
      <c r="V50" s="363">
        <v>2340</v>
      </c>
      <c r="W50" s="363">
        <v>894.94736842105272</v>
      </c>
      <c r="X50" s="363">
        <v>0</v>
      </c>
      <c r="Y50" s="363">
        <f t="shared" si="9"/>
        <v>55108.847368421055</v>
      </c>
      <c r="Z50" s="363">
        <f t="shared" si="10"/>
        <v>44087.077894736845</v>
      </c>
      <c r="AA50" s="410"/>
      <c r="AB50" s="411">
        <v>0</v>
      </c>
      <c r="AC50" s="411">
        <v>0</v>
      </c>
      <c r="AD50" s="411">
        <v>49867.578947368427</v>
      </c>
      <c r="AE50" s="411">
        <v>2103.1578947368421</v>
      </c>
      <c r="AF50" s="411">
        <v>456.53185595567868</v>
      </c>
      <c r="AG50" s="411">
        <v>0</v>
      </c>
      <c r="AH50" s="363">
        <f t="shared" si="11"/>
        <v>52427.268698060943</v>
      </c>
      <c r="AI50" s="411">
        <f t="shared" si="12"/>
        <v>41941.814958448755</v>
      </c>
      <c r="AJ50" s="410"/>
      <c r="AK50" s="411">
        <v>3020.5499999999997</v>
      </c>
      <c r="AL50" s="411">
        <v>2632.5</v>
      </c>
      <c r="AM50" s="411">
        <v>2493.6631578947367</v>
      </c>
      <c r="AN50" s="410"/>
      <c r="AO50" s="411">
        <f t="shared" si="13"/>
        <v>2416.44</v>
      </c>
      <c r="AP50" s="411">
        <f t="shared" si="13"/>
        <v>2106</v>
      </c>
      <c r="AQ50" s="411">
        <f t="shared" si="13"/>
        <v>1994.9305263157894</v>
      </c>
      <c r="AR50" s="412"/>
      <c r="AS50" s="412">
        <v>0</v>
      </c>
      <c r="AT50" s="413">
        <f t="shared" si="14"/>
        <v>0</v>
      </c>
      <c r="AU50" s="412"/>
      <c r="AV50" s="412">
        <v>0</v>
      </c>
      <c r="AW50" s="412">
        <v>0</v>
      </c>
      <c r="AX50" s="412">
        <v>66222</v>
      </c>
      <c r="AY50" s="412">
        <v>3120</v>
      </c>
      <c r="AZ50" s="412">
        <v>1193.2631578947369</v>
      </c>
      <c r="BA50" s="412">
        <v>0</v>
      </c>
      <c r="BB50" s="412">
        <v>3408.6000000000004</v>
      </c>
      <c r="BC50" s="412">
        <f t="shared" si="15"/>
        <v>73943.863157894739</v>
      </c>
      <c r="BE50" s="205">
        <f t="shared" si="16"/>
        <v>0</v>
      </c>
      <c r="BF50" s="205">
        <f t="shared" si="16"/>
        <v>0</v>
      </c>
      <c r="BG50" s="205">
        <f t="shared" si="16"/>
        <v>4414.8000000000029</v>
      </c>
      <c r="BH50" s="205">
        <f t="shared" si="16"/>
        <v>585</v>
      </c>
      <c r="BI50" s="205">
        <f t="shared" si="16"/>
        <v>969.52631578947376</v>
      </c>
      <c r="BJ50" s="205">
        <f t="shared" si="16"/>
        <v>0</v>
      </c>
      <c r="BK50" s="205">
        <f t="shared" si="17"/>
        <v>388.05000000000064</v>
      </c>
      <c r="BL50" s="205">
        <f t="shared" si="18"/>
        <v>6357.3763157894773</v>
      </c>
      <c r="BM50" s="215">
        <f t="shared" si="19"/>
        <v>0</v>
      </c>
      <c r="BN50" s="215"/>
      <c r="BO50" s="412">
        <f t="shared" si="24"/>
        <v>0</v>
      </c>
      <c r="BP50" s="412">
        <f t="shared" si="24"/>
        <v>0</v>
      </c>
      <c r="BQ50" s="412">
        <f t="shared" si="24"/>
        <v>16776.239999999998</v>
      </c>
      <c r="BR50" s="412">
        <f t="shared" si="24"/>
        <v>1092</v>
      </c>
      <c r="BS50" s="412">
        <f t="shared" si="24"/>
        <v>1014.2736842105263</v>
      </c>
      <c r="BT50" s="412">
        <f t="shared" si="24"/>
        <v>0</v>
      </c>
      <c r="BU50" s="412">
        <f t="shared" si="25"/>
        <v>992.16000000000031</v>
      </c>
      <c r="BV50" s="412">
        <f t="shared" si="20"/>
        <v>19874.673684210524</v>
      </c>
      <c r="BW50" s="412">
        <f t="shared" si="4"/>
        <v>-1.4551915228366852E-11</v>
      </c>
      <c r="BX50" s="412"/>
      <c r="BY50" s="412">
        <f t="shared" si="21"/>
        <v>73943.863157894724</v>
      </c>
      <c r="BZ50" s="412"/>
      <c r="CA50" s="412">
        <f>IFERROR(VLOOKUP(A50,'Actuals Summer'!A:S,19,FALSE),0)</f>
        <v>73943.863157894739</v>
      </c>
      <c r="CC50" s="412"/>
      <c r="CD50" s="412"/>
      <c r="CE50" s="412"/>
      <c r="CF50" s="412"/>
      <c r="CG50" s="412"/>
      <c r="CH50" s="412"/>
      <c r="CI50" s="412"/>
      <c r="CJ50" s="412"/>
      <c r="CK50" s="412"/>
      <c r="CL50" s="412"/>
      <c r="CM50" s="412"/>
      <c r="CN50" s="412"/>
      <c r="CO50" s="412"/>
      <c r="CQ50" s="363"/>
      <c r="CR50" s="363"/>
      <c r="CS50" s="363"/>
      <c r="CT50" s="363"/>
      <c r="CU50" s="363"/>
      <c r="CV50" s="363"/>
      <c r="CW50" s="363"/>
      <c r="CX50" s="363"/>
      <c r="CZ50" s="414"/>
      <c r="DA50" s="414"/>
      <c r="DB50" s="414"/>
      <c r="DC50" s="414"/>
      <c r="DD50" s="414"/>
      <c r="DE50" s="414"/>
      <c r="DF50" s="414"/>
      <c r="DG50" s="414"/>
      <c r="DI50" s="414">
        <f t="shared" si="22"/>
        <v>0</v>
      </c>
      <c r="DJ50" s="414"/>
      <c r="DK50" s="414"/>
      <c r="DL50" s="414"/>
      <c r="DM50" s="414"/>
      <c r="DN50" s="414"/>
      <c r="DO50" s="414"/>
      <c r="DP50" s="414"/>
      <c r="DQ50" s="414"/>
      <c r="DS50" s="414"/>
      <c r="DT50" s="414"/>
      <c r="DU50" s="414"/>
      <c r="DV50" s="414"/>
      <c r="DW50" s="414"/>
      <c r="DX50" s="414"/>
      <c r="DY50" s="414"/>
      <c r="DZ50" s="414"/>
      <c r="EB50" s="415">
        <f t="shared" si="5"/>
        <v>164073.68653739616</v>
      </c>
      <c r="EC50" s="415">
        <f t="shared" si="6"/>
        <v>0</v>
      </c>
      <c r="ED50" s="416">
        <f t="shared" si="23"/>
        <v>164073.68653739616</v>
      </c>
    </row>
    <row r="51" spans="1:134" hidden="1" x14ac:dyDescent="0.35">
      <c r="A51" s="17">
        <v>3321</v>
      </c>
      <c r="B51" s="4">
        <v>103425</v>
      </c>
      <c r="C51" s="4" t="s">
        <v>932</v>
      </c>
      <c r="D51" s="4" t="s">
        <v>933</v>
      </c>
      <c r="E51" s="15" t="s">
        <v>32</v>
      </c>
      <c r="F51" s="16" t="s">
        <v>27</v>
      </c>
      <c r="G51" s="215"/>
      <c r="H51" s="363">
        <v>0</v>
      </c>
      <c r="I51" s="410"/>
      <c r="J51" s="363">
        <v>0</v>
      </c>
      <c r="K51" s="363">
        <v>0</v>
      </c>
      <c r="L51" s="363">
        <v>0</v>
      </c>
      <c r="M51" s="363">
        <v>0</v>
      </c>
      <c r="N51" s="363">
        <v>0</v>
      </c>
      <c r="O51" s="363">
        <v>0</v>
      </c>
      <c r="P51" s="215">
        <f t="shared" si="7"/>
        <v>0</v>
      </c>
      <c r="Q51" s="363">
        <f t="shared" si="8"/>
        <v>0</v>
      </c>
      <c r="R51" s="410"/>
      <c r="S51" s="363">
        <v>0</v>
      </c>
      <c r="T51" s="363">
        <v>0</v>
      </c>
      <c r="U51" s="363">
        <v>0</v>
      </c>
      <c r="V51" s="363">
        <v>0</v>
      </c>
      <c r="W51" s="363">
        <v>0</v>
      </c>
      <c r="X51" s="363">
        <v>0</v>
      </c>
      <c r="Y51" s="363">
        <f t="shared" si="9"/>
        <v>0</v>
      </c>
      <c r="Z51" s="363">
        <f t="shared" si="10"/>
        <v>0</v>
      </c>
      <c r="AA51" s="410"/>
      <c r="AB51" s="411">
        <v>0</v>
      </c>
      <c r="AC51" s="411">
        <v>0</v>
      </c>
      <c r="AD51" s="411">
        <v>0</v>
      </c>
      <c r="AE51" s="411">
        <v>0</v>
      </c>
      <c r="AF51" s="411">
        <v>0</v>
      </c>
      <c r="AG51" s="411">
        <v>0</v>
      </c>
      <c r="AH51" s="363">
        <f t="shared" si="11"/>
        <v>0</v>
      </c>
      <c r="AI51" s="411">
        <f t="shared" si="12"/>
        <v>0</v>
      </c>
      <c r="AJ51" s="410"/>
      <c r="AK51" s="411">
        <v>0</v>
      </c>
      <c r="AL51" s="411">
        <v>0</v>
      </c>
      <c r="AM51" s="411">
        <v>0</v>
      </c>
      <c r="AN51" s="410"/>
      <c r="AO51" s="411">
        <f t="shared" si="13"/>
        <v>0</v>
      </c>
      <c r="AP51" s="411">
        <f t="shared" si="13"/>
        <v>0</v>
      </c>
      <c r="AQ51" s="411">
        <f t="shared" si="13"/>
        <v>0</v>
      </c>
      <c r="AR51" s="412"/>
      <c r="AS51" s="412">
        <v>0</v>
      </c>
      <c r="AT51" s="413">
        <f t="shared" si="14"/>
        <v>0</v>
      </c>
      <c r="AU51" s="412"/>
      <c r="AV51" s="412">
        <v>0</v>
      </c>
      <c r="AW51" s="412">
        <v>0</v>
      </c>
      <c r="AX51" s="412">
        <v>0</v>
      </c>
      <c r="AY51" s="412">
        <v>0</v>
      </c>
      <c r="AZ51" s="412">
        <v>0</v>
      </c>
      <c r="BA51" s="412">
        <v>0</v>
      </c>
      <c r="BB51" s="412">
        <v>0</v>
      </c>
      <c r="BC51" s="412">
        <f t="shared" si="15"/>
        <v>0</v>
      </c>
      <c r="BE51" s="205">
        <f t="shared" si="16"/>
        <v>0</v>
      </c>
      <c r="BF51" s="205">
        <f t="shared" si="16"/>
        <v>0</v>
      </c>
      <c r="BG51" s="205">
        <f t="shared" si="16"/>
        <v>0</v>
      </c>
      <c r="BH51" s="205">
        <f t="shared" si="16"/>
        <v>0</v>
      </c>
      <c r="BI51" s="205">
        <f t="shared" si="16"/>
        <v>0</v>
      </c>
      <c r="BJ51" s="205">
        <f t="shared" si="16"/>
        <v>0</v>
      </c>
      <c r="BK51" s="205">
        <f t="shared" si="17"/>
        <v>0</v>
      </c>
      <c r="BL51" s="205">
        <f t="shared" si="18"/>
        <v>0</v>
      </c>
      <c r="BM51" s="215">
        <f t="shared" si="19"/>
        <v>0</v>
      </c>
      <c r="BN51" s="215"/>
      <c r="BO51" s="412">
        <f t="shared" si="24"/>
        <v>0</v>
      </c>
      <c r="BP51" s="412">
        <f t="shared" si="24"/>
        <v>0</v>
      </c>
      <c r="BQ51" s="412">
        <f t="shared" si="24"/>
        <v>0</v>
      </c>
      <c r="BR51" s="412">
        <f t="shared" si="24"/>
        <v>0</v>
      </c>
      <c r="BS51" s="412">
        <f t="shared" si="24"/>
        <v>0</v>
      </c>
      <c r="BT51" s="412">
        <f t="shared" si="24"/>
        <v>0</v>
      </c>
      <c r="BU51" s="412">
        <f t="shared" si="25"/>
        <v>0</v>
      </c>
      <c r="BV51" s="412">
        <f t="shared" si="20"/>
        <v>0</v>
      </c>
      <c r="BW51" s="412">
        <f t="shared" si="4"/>
        <v>0</v>
      </c>
      <c r="BX51" s="412"/>
      <c r="BY51" s="412">
        <f t="shared" si="21"/>
        <v>0</v>
      </c>
      <c r="BZ51" s="412"/>
      <c r="CA51" s="412">
        <f>IFERROR(VLOOKUP(A51,'Actuals Summer'!A:S,19,FALSE),0)</f>
        <v>0</v>
      </c>
      <c r="CC51" s="412"/>
      <c r="CD51" s="412"/>
      <c r="CE51" s="412"/>
      <c r="CF51" s="412"/>
      <c r="CG51" s="412"/>
      <c r="CH51" s="412"/>
      <c r="CI51" s="412"/>
      <c r="CJ51" s="412"/>
      <c r="CK51" s="412"/>
      <c r="CL51" s="412"/>
      <c r="CM51" s="412"/>
      <c r="CN51" s="412"/>
      <c r="CO51" s="412"/>
      <c r="CQ51" s="363"/>
      <c r="CR51" s="363"/>
      <c r="CS51" s="363"/>
      <c r="CT51" s="363"/>
      <c r="CU51" s="363"/>
      <c r="CV51" s="363"/>
      <c r="CW51" s="363"/>
      <c r="CX51" s="363"/>
      <c r="CZ51" s="414"/>
      <c r="DA51" s="414"/>
      <c r="DB51" s="414"/>
      <c r="DC51" s="414"/>
      <c r="DD51" s="414"/>
      <c r="DE51" s="414"/>
      <c r="DF51" s="414"/>
      <c r="DG51" s="414"/>
      <c r="DI51" s="414">
        <f t="shared" si="22"/>
        <v>0</v>
      </c>
      <c r="DJ51" s="414"/>
      <c r="DK51" s="414"/>
      <c r="DL51" s="414"/>
      <c r="DM51" s="414"/>
      <c r="DN51" s="414"/>
      <c r="DO51" s="414"/>
      <c r="DP51" s="414"/>
      <c r="DQ51" s="414"/>
      <c r="DS51" s="414"/>
      <c r="DT51" s="414"/>
      <c r="DU51" s="414"/>
      <c r="DV51" s="414"/>
      <c r="DW51" s="414"/>
      <c r="DX51" s="414"/>
      <c r="DY51" s="414"/>
      <c r="DZ51" s="414"/>
      <c r="EB51" s="415">
        <f t="shared" si="5"/>
        <v>0</v>
      </c>
      <c r="EC51" s="415">
        <f t="shared" si="6"/>
        <v>0</v>
      </c>
      <c r="ED51" s="416">
        <f t="shared" si="23"/>
        <v>0</v>
      </c>
    </row>
    <row r="52" spans="1:134" hidden="1" x14ac:dyDescent="0.35">
      <c r="A52" s="17">
        <v>1026</v>
      </c>
      <c r="B52" s="4">
        <v>103139</v>
      </c>
      <c r="C52" s="4" t="s">
        <v>72</v>
      </c>
      <c r="D52" s="4" t="s">
        <v>73</v>
      </c>
      <c r="E52" s="15" t="s">
        <v>26</v>
      </c>
      <c r="F52" s="16" t="s">
        <v>27</v>
      </c>
      <c r="G52" s="215"/>
      <c r="H52" s="363">
        <v>266645.40133057069</v>
      </c>
      <c r="I52" s="410"/>
      <c r="J52" s="363">
        <v>0</v>
      </c>
      <c r="K52" s="363">
        <v>49783.5</v>
      </c>
      <c r="L52" s="363">
        <v>139066.20000000001</v>
      </c>
      <c r="M52" s="363">
        <v>12480</v>
      </c>
      <c r="N52" s="363">
        <v>1491.578947368421</v>
      </c>
      <c r="O52" s="363">
        <v>1604.4736842105262</v>
      </c>
      <c r="P52" s="215">
        <f t="shared" si="7"/>
        <v>204425.75263157897</v>
      </c>
      <c r="Q52" s="363">
        <f t="shared" si="8"/>
        <v>163540.60210526318</v>
      </c>
      <c r="R52" s="410"/>
      <c r="S52" s="363">
        <v>0</v>
      </c>
      <c r="T52" s="363">
        <v>51442.95</v>
      </c>
      <c r="U52" s="363">
        <v>102644.1</v>
      </c>
      <c r="V52" s="363">
        <v>8970</v>
      </c>
      <c r="W52" s="363">
        <v>1417</v>
      </c>
      <c r="X52" s="363">
        <v>962.68421052631584</v>
      </c>
      <c r="Y52" s="363">
        <f t="shared" si="9"/>
        <v>165436.73421052631</v>
      </c>
      <c r="Z52" s="363">
        <f t="shared" si="10"/>
        <v>132349.38736842104</v>
      </c>
      <c r="AA52" s="410"/>
      <c r="AB52" s="411">
        <v>0</v>
      </c>
      <c r="AC52" s="411">
        <v>35312.021052631579</v>
      </c>
      <c r="AD52" s="411">
        <v>107456.58947368422</v>
      </c>
      <c r="AE52" s="411">
        <v>8583.1578947368434</v>
      </c>
      <c r="AF52" s="411">
        <v>1195.6786703601108</v>
      </c>
      <c r="AG52" s="411">
        <v>935.40166204986156</v>
      </c>
      <c r="AH52" s="363">
        <f t="shared" si="11"/>
        <v>153482.84875346266</v>
      </c>
      <c r="AI52" s="411">
        <f t="shared" si="12"/>
        <v>122786.27900277014</v>
      </c>
      <c r="AJ52" s="410"/>
      <c r="AK52" s="411">
        <v>2375.1</v>
      </c>
      <c r="AL52" s="411">
        <v>1823.25</v>
      </c>
      <c r="AM52" s="411">
        <v>1845.094736842105</v>
      </c>
      <c r="AN52" s="410"/>
      <c r="AO52" s="411">
        <f t="shared" si="13"/>
        <v>1900.08</v>
      </c>
      <c r="AP52" s="411">
        <f t="shared" si="13"/>
        <v>1458.6000000000001</v>
      </c>
      <c r="AQ52" s="411">
        <f t="shared" si="13"/>
        <v>1476.0757894736842</v>
      </c>
      <c r="AR52" s="412"/>
      <c r="AS52" s="412">
        <v>266130.65076991537</v>
      </c>
      <c r="AT52" s="413">
        <f t="shared" si="14"/>
        <v>-514.7505606553168</v>
      </c>
      <c r="AU52" s="412"/>
      <c r="AV52" s="412">
        <v>0</v>
      </c>
      <c r="AW52" s="412">
        <v>49783.5</v>
      </c>
      <c r="AX52" s="412">
        <v>140169.90000000002</v>
      </c>
      <c r="AY52" s="412">
        <v>11700</v>
      </c>
      <c r="AZ52" s="412">
        <v>2088.2105263157896</v>
      </c>
      <c r="BA52" s="412">
        <v>1604.4499999999998</v>
      </c>
      <c r="BB52" s="412">
        <v>2086.5</v>
      </c>
      <c r="BC52" s="412">
        <f t="shared" si="15"/>
        <v>473563.21129623119</v>
      </c>
      <c r="BE52" s="205">
        <f t="shared" si="16"/>
        <v>0</v>
      </c>
      <c r="BF52" s="205">
        <f t="shared" si="16"/>
        <v>0</v>
      </c>
      <c r="BG52" s="205">
        <f t="shared" si="16"/>
        <v>1103.7000000000116</v>
      </c>
      <c r="BH52" s="205">
        <f t="shared" si="16"/>
        <v>-780</v>
      </c>
      <c r="BI52" s="205">
        <f t="shared" si="16"/>
        <v>596.63157894736855</v>
      </c>
      <c r="BJ52" s="205">
        <f t="shared" si="16"/>
        <v>-2.3684210526425886E-2</v>
      </c>
      <c r="BK52" s="205">
        <f t="shared" si="17"/>
        <v>-288.59999999999991</v>
      </c>
      <c r="BL52" s="205">
        <f t="shared" si="18"/>
        <v>116.95733408153706</v>
      </c>
      <c r="BM52" s="215">
        <f t="shared" si="19"/>
        <v>0</v>
      </c>
      <c r="BN52" s="215"/>
      <c r="BO52" s="412">
        <f t="shared" si="24"/>
        <v>0</v>
      </c>
      <c r="BP52" s="412">
        <f t="shared" si="24"/>
        <v>9956.6999999999971</v>
      </c>
      <c r="BQ52" s="412">
        <f t="shared" si="24"/>
        <v>28916.940000000002</v>
      </c>
      <c r="BR52" s="412">
        <f t="shared" si="24"/>
        <v>1716</v>
      </c>
      <c r="BS52" s="412">
        <f t="shared" si="24"/>
        <v>894.94736842105272</v>
      </c>
      <c r="BT52" s="412">
        <f t="shared" si="24"/>
        <v>320.87105263157878</v>
      </c>
      <c r="BU52" s="412">
        <f t="shared" si="25"/>
        <v>186.42000000000007</v>
      </c>
      <c r="BV52" s="412">
        <f t="shared" si="20"/>
        <v>41991.878421052628</v>
      </c>
      <c r="BW52" s="412">
        <f t="shared" si="4"/>
        <v>514.7505606553168</v>
      </c>
      <c r="BX52" s="412"/>
      <c r="BY52" s="412">
        <f t="shared" si="21"/>
        <v>207432.56052631579</v>
      </c>
      <c r="BZ52" s="412"/>
      <c r="CA52" s="412">
        <f>IFERROR(VLOOKUP(A52,'Actuals Summer'!A:S,19,FALSE),0)</f>
        <v>207432.56052631582</v>
      </c>
      <c r="CC52" s="412"/>
      <c r="CD52" s="412"/>
      <c r="CE52" s="412"/>
      <c r="CF52" s="412"/>
      <c r="CG52" s="412"/>
      <c r="CH52" s="412"/>
      <c r="CI52" s="412"/>
      <c r="CJ52" s="412"/>
      <c r="CK52" s="412"/>
      <c r="CL52" s="412"/>
      <c r="CM52" s="412"/>
      <c r="CN52" s="412"/>
      <c r="CO52" s="412"/>
      <c r="CQ52" s="363"/>
      <c r="CR52" s="363"/>
      <c r="CS52" s="363"/>
      <c r="CT52" s="363"/>
      <c r="CU52" s="363"/>
      <c r="CV52" s="363"/>
      <c r="CW52" s="363"/>
      <c r="CX52" s="363"/>
      <c r="CZ52" s="414"/>
      <c r="DA52" s="414"/>
      <c r="DB52" s="414"/>
      <c r="DC52" s="414"/>
      <c r="DD52" s="414"/>
      <c r="DE52" s="414"/>
      <c r="DF52" s="414"/>
      <c r="DG52" s="414"/>
      <c r="DI52" s="414">
        <f t="shared" si="22"/>
        <v>0</v>
      </c>
      <c r="DJ52" s="414"/>
      <c r="DK52" s="414"/>
      <c r="DL52" s="414"/>
      <c r="DM52" s="414"/>
      <c r="DN52" s="414"/>
      <c r="DO52" s="414"/>
      <c r="DP52" s="414"/>
      <c r="DQ52" s="414"/>
      <c r="DS52" s="414"/>
      <c r="DT52" s="414"/>
      <c r="DU52" s="414"/>
      <c r="DV52" s="414"/>
      <c r="DW52" s="414"/>
      <c r="DX52" s="414"/>
      <c r="DY52" s="414"/>
      <c r="DZ52" s="414"/>
      <c r="EB52" s="415">
        <f t="shared" si="5"/>
        <v>728510.63475883508</v>
      </c>
      <c r="EC52" s="415">
        <f t="shared" si="6"/>
        <v>3122.918698060942</v>
      </c>
      <c r="ED52" s="416">
        <f t="shared" si="23"/>
        <v>731633.55345689598</v>
      </c>
    </row>
    <row r="53" spans="1:134" hidden="1" x14ac:dyDescent="0.35">
      <c r="A53" s="17">
        <v>2294</v>
      </c>
      <c r="B53" s="4">
        <v>103318</v>
      </c>
      <c r="C53" s="4" t="s">
        <v>934</v>
      </c>
      <c r="D53" s="4" t="s">
        <v>935</v>
      </c>
      <c r="E53" s="15" t="s">
        <v>32</v>
      </c>
      <c r="F53" s="16" t="s">
        <v>27</v>
      </c>
      <c r="G53" s="215"/>
      <c r="H53" s="363">
        <v>0</v>
      </c>
      <c r="I53" s="410"/>
      <c r="J53" s="363">
        <v>0</v>
      </c>
      <c r="K53" s="363">
        <v>0</v>
      </c>
      <c r="L53" s="363">
        <v>0</v>
      </c>
      <c r="M53" s="363">
        <v>0</v>
      </c>
      <c r="N53" s="363">
        <v>0</v>
      </c>
      <c r="O53" s="363">
        <v>0</v>
      </c>
      <c r="P53" s="215">
        <f t="shared" si="7"/>
        <v>0</v>
      </c>
      <c r="Q53" s="363">
        <f t="shared" si="8"/>
        <v>0</v>
      </c>
      <c r="R53" s="410"/>
      <c r="S53" s="363">
        <v>0</v>
      </c>
      <c r="T53" s="363">
        <v>0</v>
      </c>
      <c r="U53" s="363">
        <v>0</v>
      </c>
      <c r="V53" s="363">
        <v>0</v>
      </c>
      <c r="W53" s="363">
        <v>0</v>
      </c>
      <c r="X53" s="363">
        <v>0</v>
      </c>
      <c r="Y53" s="363">
        <f t="shared" si="9"/>
        <v>0</v>
      </c>
      <c r="Z53" s="363">
        <f t="shared" si="10"/>
        <v>0</v>
      </c>
      <c r="AA53" s="410"/>
      <c r="AB53" s="411">
        <v>0</v>
      </c>
      <c r="AC53" s="411">
        <v>0</v>
      </c>
      <c r="AD53" s="411">
        <v>0</v>
      </c>
      <c r="AE53" s="411">
        <v>0</v>
      </c>
      <c r="AF53" s="411">
        <v>0</v>
      </c>
      <c r="AG53" s="411">
        <v>0</v>
      </c>
      <c r="AH53" s="363">
        <f t="shared" si="11"/>
        <v>0</v>
      </c>
      <c r="AI53" s="411">
        <f t="shared" si="12"/>
        <v>0</v>
      </c>
      <c r="AJ53" s="410"/>
      <c r="AK53" s="411">
        <v>0</v>
      </c>
      <c r="AL53" s="411">
        <v>0</v>
      </c>
      <c r="AM53" s="411">
        <v>0</v>
      </c>
      <c r="AN53" s="410"/>
      <c r="AO53" s="411">
        <f t="shared" si="13"/>
        <v>0</v>
      </c>
      <c r="AP53" s="411">
        <f t="shared" si="13"/>
        <v>0</v>
      </c>
      <c r="AQ53" s="411">
        <f t="shared" si="13"/>
        <v>0</v>
      </c>
      <c r="AR53" s="412"/>
      <c r="AS53" s="412">
        <v>0</v>
      </c>
      <c r="AT53" s="413">
        <f t="shared" si="14"/>
        <v>0</v>
      </c>
      <c r="AU53" s="412"/>
      <c r="AV53" s="412">
        <v>0</v>
      </c>
      <c r="AW53" s="412">
        <v>0</v>
      </c>
      <c r="AX53" s="412">
        <v>0</v>
      </c>
      <c r="AY53" s="412">
        <v>0</v>
      </c>
      <c r="AZ53" s="412">
        <v>0</v>
      </c>
      <c r="BA53" s="412">
        <v>0</v>
      </c>
      <c r="BB53" s="412">
        <v>0</v>
      </c>
      <c r="BC53" s="412">
        <f t="shared" si="15"/>
        <v>0</v>
      </c>
      <c r="BE53" s="205">
        <f t="shared" si="16"/>
        <v>0</v>
      </c>
      <c r="BF53" s="205">
        <f t="shared" si="16"/>
        <v>0</v>
      </c>
      <c r="BG53" s="205">
        <f t="shared" si="16"/>
        <v>0</v>
      </c>
      <c r="BH53" s="205">
        <f t="shared" si="16"/>
        <v>0</v>
      </c>
      <c r="BI53" s="205">
        <f t="shared" si="16"/>
        <v>0</v>
      </c>
      <c r="BJ53" s="205">
        <f t="shared" si="16"/>
        <v>0</v>
      </c>
      <c r="BK53" s="205">
        <f t="shared" si="17"/>
        <v>0</v>
      </c>
      <c r="BL53" s="205">
        <f t="shared" si="18"/>
        <v>0</v>
      </c>
      <c r="BM53" s="215">
        <f t="shared" si="19"/>
        <v>0</v>
      </c>
      <c r="BN53" s="215"/>
      <c r="BO53" s="412">
        <f t="shared" si="24"/>
        <v>0</v>
      </c>
      <c r="BP53" s="412">
        <f t="shared" si="24"/>
        <v>0</v>
      </c>
      <c r="BQ53" s="412">
        <f t="shared" si="24"/>
        <v>0</v>
      </c>
      <c r="BR53" s="412">
        <f t="shared" si="24"/>
        <v>0</v>
      </c>
      <c r="BS53" s="412">
        <f t="shared" si="24"/>
        <v>0</v>
      </c>
      <c r="BT53" s="412">
        <f t="shared" si="24"/>
        <v>0</v>
      </c>
      <c r="BU53" s="412">
        <f t="shared" si="25"/>
        <v>0</v>
      </c>
      <c r="BV53" s="412">
        <f t="shared" si="20"/>
        <v>0</v>
      </c>
      <c r="BW53" s="412">
        <f t="shared" si="4"/>
        <v>0</v>
      </c>
      <c r="BX53" s="412"/>
      <c r="BY53" s="412">
        <f t="shared" si="21"/>
        <v>0</v>
      </c>
      <c r="BZ53" s="412"/>
      <c r="CA53" s="412">
        <f>IFERROR(VLOOKUP(A53,'Actuals Summer'!A:S,19,FALSE),0)</f>
        <v>0</v>
      </c>
      <c r="CC53" s="412"/>
      <c r="CD53" s="412"/>
      <c r="CE53" s="412"/>
      <c r="CF53" s="412"/>
      <c r="CG53" s="412"/>
      <c r="CH53" s="412"/>
      <c r="CI53" s="412"/>
      <c r="CJ53" s="412"/>
      <c r="CK53" s="412"/>
      <c r="CL53" s="412"/>
      <c r="CM53" s="412"/>
      <c r="CN53" s="412"/>
      <c r="CO53" s="412"/>
      <c r="CQ53" s="363"/>
      <c r="CR53" s="363"/>
      <c r="CS53" s="363"/>
      <c r="CT53" s="363"/>
      <c r="CU53" s="363"/>
      <c r="CV53" s="363"/>
      <c r="CW53" s="363"/>
      <c r="CX53" s="363"/>
      <c r="CZ53" s="414"/>
      <c r="DA53" s="414"/>
      <c r="DB53" s="414"/>
      <c r="DC53" s="414"/>
      <c r="DD53" s="414"/>
      <c r="DE53" s="414"/>
      <c r="DF53" s="414"/>
      <c r="DG53" s="414"/>
      <c r="DI53" s="414">
        <f t="shared" si="22"/>
        <v>0</v>
      </c>
      <c r="DJ53" s="414"/>
      <c r="DK53" s="414"/>
      <c r="DL53" s="414"/>
      <c r="DM53" s="414"/>
      <c r="DN53" s="414"/>
      <c r="DO53" s="414"/>
      <c r="DP53" s="414"/>
      <c r="DQ53" s="414"/>
      <c r="DS53" s="414"/>
      <c r="DT53" s="414"/>
      <c r="DU53" s="414"/>
      <c r="DV53" s="414"/>
      <c r="DW53" s="414"/>
      <c r="DX53" s="414"/>
      <c r="DY53" s="414"/>
      <c r="DZ53" s="414"/>
      <c r="EB53" s="415">
        <f t="shared" si="5"/>
        <v>0</v>
      </c>
      <c r="EC53" s="415">
        <f t="shared" si="6"/>
        <v>0</v>
      </c>
      <c r="ED53" s="416">
        <f t="shared" si="23"/>
        <v>0</v>
      </c>
    </row>
    <row r="54" spans="1:134" hidden="1" x14ac:dyDescent="0.35">
      <c r="A54" s="17">
        <v>2486</v>
      </c>
      <c r="B54" s="4">
        <v>133759</v>
      </c>
      <c r="C54" s="4" t="s">
        <v>74</v>
      </c>
      <c r="D54" s="4" t="s">
        <v>75</v>
      </c>
      <c r="E54" s="15" t="s">
        <v>32</v>
      </c>
      <c r="F54" s="16" t="s">
        <v>27</v>
      </c>
      <c r="G54" s="215"/>
      <c r="H54" s="363">
        <v>0</v>
      </c>
      <c r="I54" s="410"/>
      <c r="J54" s="363">
        <v>0</v>
      </c>
      <c r="K54" s="363">
        <v>0</v>
      </c>
      <c r="L54" s="363">
        <v>19866.600000000002</v>
      </c>
      <c r="M54" s="363">
        <v>2340</v>
      </c>
      <c r="N54" s="363">
        <v>745.78947368421052</v>
      </c>
      <c r="O54" s="363">
        <v>0</v>
      </c>
      <c r="P54" s="215">
        <f t="shared" si="7"/>
        <v>22952.389473684212</v>
      </c>
      <c r="Q54" s="363">
        <f t="shared" si="8"/>
        <v>18361.911578947369</v>
      </c>
      <c r="R54" s="410"/>
      <c r="S54" s="363">
        <v>0</v>
      </c>
      <c r="T54" s="363">
        <v>0</v>
      </c>
      <c r="U54" s="363">
        <v>14348.1</v>
      </c>
      <c r="V54" s="363">
        <v>975</v>
      </c>
      <c r="W54" s="363">
        <v>298.31578947368422</v>
      </c>
      <c r="X54" s="363">
        <v>0</v>
      </c>
      <c r="Y54" s="363">
        <f t="shared" si="9"/>
        <v>15621.415789473685</v>
      </c>
      <c r="Z54" s="363">
        <f t="shared" si="10"/>
        <v>12497.132631578948</v>
      </c>
      <c r="AA54" s="410"/>
      <c r="AB54" s="411">
        <v>0</v>
      </c>
      <c r="AC54" s="411">
        <v>0</v>
      </c>
      <c r="AD54" s="411">
        <v>15764.589473684209</v>
      </c>
      <c r="AE54" s="411">
        <v>1534.7368421052633</v>
      </c>
      <c r="AF54" s="411">
        <v>478.27146814404432</v>
      </c>
      <c r="AG54" s="411">
        <v>0</v>
      </c>
      <c r="AH54" s="363">
        <f t="shared" si="11"/>
        <v>17777.597783933517</v>
      </c>
      <c r="AI54" s="411">
        <f t="shared" si="12"/>
        <v>14222.078227146814</v>
      </c>
      <c r="AJ54" s="410"/>
      <c r="AK54" s="411">
        <v>1953.9</v>
      </c>
      <c r="AL54" s="411">
        <v>1483.9499999999998</v>
      </c>
      <c r="AM54" s="411">
        <v>1537.0105263157895</v>
      </c>
      <c r="AN54" s="410"/>
      <c r="AO54" s="411">
        <f t="shared" si="13"/>
        <v>1563.1200000000001</v>
      </c>
      <c r="AP54" s="411">
        <f t="shared" si="13"/>
        <v>1187.1599999999999</v>
      </c>
      <c r="AQ54" s="411">
        <f t="shared" si="13"/>
        <v>1229.6084210526317</v>
      </c>
      <c r="AR54" s="412"/>
      <c r="AS54" s="412">
        <v>0</v>
      </c>
      <c r="AT54" s="413">
        <f t="shared" si="14"/>
        <v>0</v>
      </c>
      <c r="AU54" s="412"/>
      <c r="AV54" s="412">
        <v>0</v>
      </c>
      <c r="AW54" s="412">
        <v>0</v>
      </c>
      <c r="AX54" s="412">
        <v>19866.600000000002</v>
      </c>
      <c r="AY54" s="412">
        <v>1755</v>
      </c>
      <c r="AZ54" s="412">
        <v>671.21052631578948</v>
      </c>
      <c r="BA54" s="412">
        <v>0</v>
      </c>
      <c r="BB54" s="412">
        <v>2016.3</v>
      </c>
      <c r="BC54" s="412">
        <f t="shared" si="15"/>
        <v>24309.110526315792</v>
      </c>
      <c r="BE54" s="205">
        <f t="shared" si="16"/>
        <v>0</v>
      </c>
      <c r="BF54" s="205">
        <f t="shared" si="16"/>
        <v>0</v>
      </c>
      <c r="BG54" s="205">
        <f t="shared" si="16"/>
        <v>0</v>
      </c>
      <c r="BH54" s="205">
        <f t="shared" si="16"/>
        <v>-585</v>
      </c>
      <c r="BI54" s="205">
        <f t="shared" si="16"/>
        <v>-74.578947368421041</v>
      </c>
      <c r="BJ54" s="205">
        <f t="shared" si="16"/>
        <v>0</v>
      </c>
      <c r="BK54" s="205">
        <f t="shared" si="17"/>
        <v>62.399999999999864</v>
      </c>
      <c r="BL54" s="205">
        <f t="shared" si="18"/>
        <v>-597.17894736842118</v>
      </c>
      <c r="BM54" s="215">
        <f t="shared" si="19"/>
        <v>0</v>
      </c>
      <c r="BN54" s="215"/>
      <c r="BO54" s="412">
        <f t="shared" si="24"/>
        <v>0</v>
      </c>
      <c r="BP54" s="412">
        <f t="shared" si="24"/>
        <v>0</v>
      </c>
      <c r="BQ54" s="412">
        <f t="shared" si="24"/>
        <v>3973.3199999999997</v>
      </c>
      <c r="BR54" s="412">
        <f t="shared" si="24"/>
        <v>-117</v>
      </c>
      <c r="BS54" s="412">
        <f t="shared" si="24"/>
        <v>74.578947368421041</v>
      </c>
      <c r="BT54" s="412">
        <f t="shared" si="24"/>
        <v>0</v>
      </c>
      <c r="BU54" s="412">
        <f t="shared" si="25"/>
        <v>453.17999999999984</v>
      </c>
      <c r="BV54" s="412">
        <f t="shared" si="20"/>
        <v>4384.0789473684199</v>
      </c>
      <c r="BW54" s="412">
        <f t="shared" si="4"/>
        <v>-3.637978807091713E-12</v>
      </c>
      <c r="BX54" s="412"/>
      <c r="BY54" s="412">
        <f t="shared" si="21"/>
        <v>24309.110526315788</v>
      </c>
      <c r="BZ54" s="412"/>
      <c r="CA54" s="412">
        <f>IFERROR(VLOOKUP(A54,'Actuals Summer'!A:S,19,FALSE),0)</f>
        <v>24309.110526315792</v>
      </c>
      <c r="CC54" s="412"/>
      <c r="CD54" s="412"/>
      <c r="CE54" s="412"/>
      <c r="CF54" s="412"/>
      <c r="CG54" s="412"/>
      <c r="CH54" s="412"/>
      <c r="CI54" s="412"/>
      <c r="CJ54" s="412"/>
      <c r="CK54" s="412"/>
      <c r="CL54" s="412"/>
      <c r="CM54" s="412"/>
      <c r="CN54" s="412"/>
      <c r="CO54" s="412"/>
      <c r="CQ54" s="363"/>
      <c r="CR54" s="363"/>
      <c r="CS54" s="363"/>
      <c r="CT54" s="363"/>
      <c r="CU54" s="363"/>
      <c r="CV54" s="363"/>
      <c r="CW54" s="363"/>
      <c r="CX54" s="363"/>
      <c r="CZ54" s="414"/>
      <c r="DA54" s="414"/>
      <c r="DB54" s="414"/>
      <c r="DC54" s="414"/>
      <c r="DD54" s="414"/>
      <c r="DE54" s="414"/>
      <c r="DF54" s="414"/>
      <c r="DG54" s="414"/>
      <c r="DI54" s="414">
        <f t="shared" si="22"/>
        <v>0</v>
      </c>
      <c r="DJ54" s="414"/>
      <c r="DK54" s="414"/>
      <c r="DL54" s="414"/>
      <c r="DM54" s="414"/>
      <c r="DN54" s="414"/>
      <c r="DO54" s="414"/>
      <c r="DP54" s="414"/>
      <c r="DQ54" s="414"/>
      <c r="DS54" s="414"/>
      <c r="DT54" s="414"/>
      <c r="DU54" s="414"/>
      <c r="DV54" s="414"/>
      <c r="DW54" s="414"/>
      <c r="DX54" s="414"/>
      <c r="DY54" s="414"/>
      <c r="DZ54" s="414"/>
      <c r="EB54" s="415">
        <f t="shared" si="5"/>
        <v>53445.089806094184</v>
      </c>
      <c r="EC54" s="415">
        <f t="shared" si="6"/>
        <v>0</v>
      </c>
      <c r="ED54" s="416">
        <f t="shared" si="23"/>
        <v>53445.089806094184</v>
      </c>
    </row>
    <row r="55" spans="1:134" hidden="1" x14ac:dyDescent="0.35">
      <c r="A55" s="17">
        <v>3435</v>
      </c>
      <c r="B55" s="4">
        <v>131920</v>
      </c>
      <c r="C55" s="4" t="s">
        <v>936</v>
      </c>
      <c r="D55" s="4" t="s">
        <v>937</v>
      </c>
      <c r="E55" s="15" t="s">
        <v>32</v>
      </c>
      <c r="F55" s="16" t="s">
        <v>27</v>
      </c>
      <c r="G55" s="215"/>
      <c r="H55" s="363">
        <v>0</v>
      </c>
      <c r="I55" s="410"/>
      <c r="J55" s="363">
        <v>0</v>
      </c>
      <c r="K55" s="363">
        <v>0</v>
      </c>
      <c r="L55" s="363">
        <v>0</v>
      </c>
      <c r="M55" s="363">
        <v>0</v>
      </c>
      <c r="N55" s="363">
        <v>0</v>
      </c>
      <c r="O55" s="363">
        <v>0</v>
      </c>
      <c r="P55" s="215">
        <f t="shared" si="7"/>
        <v>0</v>
      </c>
      <c r="Q55" s="363">
        <f t="shared" si="8"/>
        <v>0</v>
      </c>
      <c r="R55" s="410"/>
      <c r="S55" s="363">
        <v>0</v>
      </c>
      <c r="T55" s="363">
        <v>0</v>
      </c>
      <c r="U55" s="363">
        <v>0</v>
      </c>
      <c r="V55" s="363">
        <v>0</v>
      </c>
      <c r="W55" s="363">
        <v>0</v>
      </c>
      <c r="X55" s="363">
        <v>0</v>
      </c>
      <c r="Y55" s="363">
        <f t="shared" si="9"/>
        <v>0</v>
      </c>
      <c r="Z55" s="363">
        <f t="shared" si="10"/>
        <v>0</v>
      </c>
      <c r="AA55" s="410"/>
      <c r="AB55" s="411">
        <v>0</v>
      </c>
      <c r="AC55" s="411">
        <v>0</v>
      </c>
      <c r="AD55" s="411">
        <v>0</v>
      </c>
      <c r="AE55" s="411">
        <v>0</v>
      </c>
      <c r="AF55" s="411">
        <v>0</v>
      </c>
      <c r="AG55" s="411">
        <v>0</v>
      </c>
      <c r="AH55" s="363">
        <f t="shared" si="11"/>
        <v>0</v>
      </c>
      <c r="AI55" s="411">
        <f t="shared" si="12"/>
        <v>0</v>
      </c>
      <c r="AJ55" s="410"/>
      <c r="AK55" s="411">
        <v>0</v>
      </c>
      <c r="AL55" s="411">
        <v>0</v>
      </c>
      <c r="AM55" s="411">
        <v>0</v>
      </c>
      <c r="AN55" s="410"/>
      <c r="AO55" s="411">
        <f t="shared" si="13"/>
        <v>0</v>
      </c>
      <c r="AP55" s="411">
        <f t="shared" si="13"/>
        <v>0</v>
      </c>
      <c r="AQ55" s="411">
        <f t="shared" si="13"/>
        <v>0</v>
      </c>
      <c r="AR55" s="412"/>
      <c r="AS55" s="412">
        <v>0</v>
      </c>
      <c r="AT55" s="413">
        <f t="shared" si="14"/>
        <v>0</v>
      </c>
      <c r="AU55" s="412"/>
      <c r="AV55" s="412">
        <v>0</v>
      </c>
      <c r="AW55" s="412">
        <v>0</v>
      </c>
      <c r="AX55" s="412">
        <v>0</v>
      </c>
      <c r="AY55" s="412">
        <v>0</v>
      </c>
      <c r="AZ55" s="412">
        <v>0</v>
      </c>
      <c r="BA55" s="412">
        <v>0</v>
      </c>
      <c r="BB55" s="412">
        <v>0</v>
      </c>
      <c r="BC55" s="412">
        <f t="shared" si="15"/>
        <v>0</v>
      </c>
      <c r="BE55" s="205">
        <f t="shared" si="16"/>
        <v>0</v>
      </c>
      <c r="BF55" s="205">
        <f t="shared" si="16"/>
        <v>0</v>
      </c>
      <c r="BG55" s="205">
        <f t="shared" si="16"/>
        <v>0</v>
      </c>
      <c r="BH55" s="205">
        <f t="shared" si="16"/>
        <v>0</v>
      </c>
      <c r="BI55" s="205">
        <f t="shared" si="16"/>
        <v>0</v>
      </c>
      <c r="BJ55" s="205">
        <f t="shared" si="16"/>
        <v>0</v>
      </c>
      <c r="BK55" s="205">
        <f t="shared" si="17"/>
        <v>0</v>
      </c>
      <c r="BL55" s="205">
        <f t="shared" si="18"/>
        <v>0</v>
      </c>
      <c r="BM55" s="215">
        <f t="shared" si="19"/>
        <v>0</v>
      </c>
      <c r="BN55" s="215"/>
      <c r="BO55" s="412">
        <f t="shared" si="24"/>
        <v>0</v>
      </c>
      <c r="BP55" s="412">
        <f t="shared" si="24"/>
        <v>0</v>
      </c>
      <c r="BQ55" s="412">
        <f t="shared" si="24"/>
        <v>0</v>
      </c>
      <c r="BR55" s="412">
        <f t="shared" si="24"/>
        <v>0</v>
      </c>
      <c r="BS55" s="412">
        <f t="shared" si="24"/>
        <v>0</v>
      </c>
      <c r="BT55" s="412">
        <f t="shared" si="24"/>
        <v>0</v>
      </c>
      <c r="BU55" s="412">
        <f t="shared" si="25"/>
        <v>0</v>
      </c>
      <c r="BV55" s="412">
        <f t="shared" si="20"/>
        <v>0</v>
      </c>
      <c r="BW55" s="412">
        <f t="shared" si="4"/>
        <v>0</v>
      </c>
      <c r="BX55" s="412"/>
      <c r="BY55" s="412">
        <f t="shared" si="21"/>
        <v>0</v>
      </c>
      <c r="BZ55" s="412"/>
      <c r="CA55" s="412">
        <f>IFERROR(VLOOKUP(A55,'Actuals Summer'!A:S,19,FALSE),0)</f>
        <v>0</v>
      </c>
      <c r="CC55" s="412"/>
      <c r="CD55" s="412"/>
      <c r="CE55" s="412"/>
      <c r="CF55" s="412"/>
      <c r="CG55" s="412"/>
      <c r="CH55" s="412"/>
      <c r="CI55" s="412"/>
      <c r="CJ55" s="412"/>
      <c r="CK55" s="412"/>
      <c r="CL55" s="412"/>
      <c r="CM55" s="412"/>
      <c r="CN55" s="412"/>
      <c r="CO55" s="412"/>
      <c r="CQ55" s="363"/>
      <c r="CR55" s="363"/>
      <c r="CS55" s="363"/>
      <c r="CT55" s="363"/>
      <c r="CU55" s="363"/>
      <c r="CV55" s="363"/>
      <c r="CW55" s="363"/>
      <c r="CX55" s="363"/>
      <c r="CZ55" s="414"/>
      <c r="DA55" s="414"/>
      <c r="DB55" s="414"/>
      <c r="DC55" s="414"/>
      <c r="DD55" s="414"/>
      <c r="DE55" s="414"/>
      <c r="DF55" s="414"/>
      <c r="DG55" s="414"/>
      <c r="DI55" s="414">
        <f t="shared" si="22"/>
        <v>0</v>
      </c>
      <c r="DJ55" s="414"/>
      <c r="DK55" s="414"/>
      <c r="DL55" s="414"/>
      <c r="DM55" s="414"/>
      <c r="DN55" s="414"/>
      <c r="DO55" s="414"/>
      <c r="DP55" s="414"/>
      <c r="DQ55" s="414"/>
      <c r="DS55" s="414"/>
      <c r="DT55" s="414"/>
      <c r="DU55" s="414"/>
      <c r="DV55" s="414"/>
      <c r="DW55" s="414"/>
      <c r="DX55" s="414"/>
      <c r="DY55" s="414"/>
      <c r="DZ55" s="414"/>
      <c r="EB55" s="415">
        <f t="shared" si="5"/>
        <v>0</v>
      </c>
      <c r="EC55" s="415">
        <f t="shared" si="6"/>
        <v>0</v>
      </c>
      <c r="ED55" s="416">
        <f t="shared" si="23"/>
        <v>0</v>
      </c>
    </row>
    <row r="56" spans="1:134" hidden="1" x14ac:dyDescent="0.35">
      <c r="A56" s="17">
        <v>7050</v>
      </c>
      <c r="B56" s="4">
        <v>103625</v>
      </c>
      <c r="C56" s="4" t="s">
        <v>938</v>
      </c>
      <c r="D56" s="4" t="s">
        <v>939</v>
      </c>
      <c r="E56" s="15" t="s">
        <v>895</v>
      </c>
      <c r="F56" s="16" t="s">
        <v>27</v>
      </c>
      <c r="G56" s="215"/>
      <c r="H56" s="363">
        <v>0</v>
      </c>
      <c r="I56" s="410"/>
      <c r="J56" s="363">
        <v>0</v>
      </c>
      <c r="K56" s="363">
        <v>0</v>
      </c>
      <c r="L56" s="363">
        <v>0</v>
      </c>
      <c r="M56" s="363">
        <v>0</v>
      </c>
      <c r="N56" s="363">
        <v>0</v>
      </c>
      <c r="O56" s="363">
        <v>0</v>
      </c>
      <c r="P56" s="215">
        <f t="shared" si="7"/>
        <v>0</v>
      </c>
      <c r="Q56" s="363">
        <f t="shared" si="8"/>
        <v>0</v>
      </c>
      <c r="R56" s="410"/>
      <c r="S56" s="363">
        <v>0</v>
      </c>
      <c r="T56" s="363">
        <v>0</v>
      </c>
      <c r="U56" s="363">
        <v>0</v>
      </c>
      <c r="V56" s="363">
        <v>0</v>
      </c>
      <c r="W56" s="363">
        <v>0</v>
      </c>
      <c r="X56" s="363">
        <v>0</v>
      </c>
      <c r="Y56" s="363">
        <f t="shared" si="9"/>
        <v>0</v>
      </c>
      <c r="Z56" s="363">
        <f t="shared" si="10"/>
        <v>0</v>
      </c>
      <c r="AA56" s="410"/>
      <c r="AB56" s="411">
        <v>0</v>
      </c>
      <c r="AC56" s="411">
        <v>0</v>
      </c>
      <c r="AD56" s="411">
        <v>0</v>
      </c>
      <c r="AE56" s="411">
        <v>0</v>
      </c>
      <c r="AF56" s="411">
        <v>0</v>
      </c>
      <c r="AG56" s="411">
        <v>0</v>
      </c>
      <c r="AH56" s="363">
        <f t="shared" si="11"/>
        <v>0</v>
      </c>
      <c r="AI56" s="411">
        <f t="shared" si="12"/>
        <v>0</v>
      </c>
      <c r="AJ56" s="410"/>
      <c r="AK56" s="411">
        <v>0</v>
      </c>
      <c r="AL56" s="411">
        <v>0</v>
      </c>
      <c r="AM56" s="411">
        <v>0</v>
      </c>
      <c r="AN56" s="410"/>
      <c r="AO56" s="411">
        <f t="shared" si="13"/>
        <v>0</v>
      </c>
      <c r="AP56" s="411">
        <f t="shared" si="13"/>
        <v>0</v>
      </c>
      <c r="AQ56" s="411">
        <f t="shared" si="13"/>
        <v>0</v>
      </c>
      <c r="AR56" s="412"/>
      <c r="AS56" s="412">
        <v>0</v>
      </c>
      <c r="AT56" s="413">
        <f t="shared" si="14"/>
        <v>0</v>
      </c>
      <c r="AU56" s="412"/>
      <c r="AV56" s="412">
        <v>0</v>
      </c>
      <c r="AW56" s="412">
        <v>0</v>
      </c>
      <c r="AX56" s="412">
        <v>0</v>
      </c>
      <c r="AY56" s="412">
        <v>0</v>
      </c>
      <c r="AZ56" s="412">
        <v>0</v>
      </c>
      <c r="BA56" s="412">
        <v>0</v>
      </c>
      <c r="BB56" s="412">
        <v>0</v>
      </c>
      <c r="BC56" s="412">
        <f t="shared" si="15"/>
        <v>0</v>
      </c>
      <c r="BE56" s="205">
        <f t="shared" si="16"/>
        <v>0</v>
      </c>
      <c r="BF56" s="205">
        <f t="shared" si="16"/>
        <v>0</v>
      </c>
      <c r="BG56" s="205">
        <f t="shared" si="16"/>
        <v>0</v>
      </c>
      <c r="BH56" s="205">
        <f t="shared" si="16"/>
        <v>0</v>
      </c>
      <c r="BI56" s="205">
        <f t="shared" si="16"/>
        <v>0</v>
      </c>
      <c r="BJ56" s="205">
        <f t="shared" si="16"/>
        <v>0</v>
      </c>
      <c r="BK56" s="205">
        <f t="shared" si="17"/>
        <v>0</v>
      </c>
      <c r="BL56" s="205">
        <f t="shared" si="18"/>
        <v>0</v>
      </c>
      <c r="BM56" s="215">
        <f t="shared" si="19"/>
        <v>0</v>
      </c>
      <c r="BN56" s="215"/>
      <c r="BO56" s="412">
        <f t="shared" si="24"/>
        <v>0</v>
      </c>
      <c r="BP56" s="412">
        <f t="shared" si="24"/>
        <v>0</v>
      </c>
      <c r="BQ56" s="412">
        <f t="shared" si="24"/>
        <v>0</v>
      </c>
      <c r="BR56" s="412">
        <f t="shared" si="24"/>
        <v>0</v>
      </c>
      <c r="BS56" s="412">
        <f t="shared" si="24"/>
        <v>0</v>
      </c>
      <c r="BT56" s="412">
        <f t="shared" si="24"/>
        <v>0</v>
      </c>
      <c r="BU56" s="412">
        <f t="shared" si="25"/>
        <v>0</v>
      </c>
      <c r="BV56" s="412">
        <f t="shared" si="20"/>
        <v>0</v>
      </c>
      <c r="BW56" s="412">
        <f t="shared" si="4"/>
        <v>0</v>
      </c>
      <c r="BX56" s="412"/>
      <c r="BY56" s="412">
        <f t="shared" si="21"/>
        <v>0</v>
      </c>
      <c r="BZ56" s="412"/>
      <c r="CA56" s="412">
        <f>IFERROR(VLOOKUP(A56,'Actuals Summer'!A:S,19,FALSE),0)</f>
        <v>0</v>
      </c>
      <c r="CC56" s="412"/>
      <c r="CD56" s="412"/>
      <c r="CE56" s="412"/>
      <c r="CF56" s="412"/>
      <c r="CG56" s="412"/>
      <c r="CH56" s="412"/>
      <c r="CI56" s="412"/>
      <c r="CJ56" s="412"/>
      <c r="CK56" s="412"/>
      <c r="CL56" s="412"/>
      <c r="CM56" s="412"/>
      <c r="CN56" s="412"/>
      <c r="CO56" s="412"/>
      <c r="CQ56" s="363"/>
      <c r="CR56" s="363"/>
      <c r="CS56" s="363"/>
      <c r="CT56" s="363"/>
      <c r="CU56" s="363"/>
      <c r="CV56" s="363"/>
      <c r="CW56" s="363"/>
      <c r="CX56" s="363"/>
      <c r="CZ56" s="414"/>
      <c r="DA56" s="414"/>
      <c r="DB56" s="414"/>
      <c r="DC56" s="414"/>
      <c r="DD56" s="414"/>
      <c r="DE56" s="414"/>
      <c r="DF56" s="414"/>
      <c r="DG56" s="414"/>
      <c r="DI56" s="414">
        <f t="shared" si="22"/>
        <v>0</v>
      </c>
      <c r="DJ56" s="414"/>
      <c r="DK56" s="414"/>
      <c r="DL56" s="414"/>
      <c r="DM56" s="414"/>
      <c r="DN56" s="414"/>
      <c r="DO56" s="414"/>
      <c r="DP56" s="414"/>
      <c r="DQ56" s="414"/>
      <c r="DS56" s="414"/>
      <c r="DT56" s="414"/>
      <c r="DU56" s="414"/>
      <c r="DV56" s="414"/>
      <c r="DW56" s="414"/>
      <c r="DX56" s="414"/>
      <c r="DY56" s="414"/>
      <c r="DZ56" s="414"/>
      <c r="EB56" s="415">
        <f t="shared" si="5"/>
        <v>0</v>
      </c>
      <c r="EC56" s="415">
        <f t="shared" si="6"/>
        <v>0</v>
      </c>
      <c r="ED56" s="416">
        <f t="shared" si="23"/>
        <v>0</v>
      </c>
    </row>
    <row r="57" spans="1:134" hidden="1" x14ac:dyDescent="0.35">
      <c r="A57" s="17">
        <v>1006</v>
      </c>
      <c r="B57" s="4">
        <v>103122</v>
      </c>
      <c r="C57" s="4" t="s">
        <v>76</v>
      </c>
      <c r="D57" s="4" t="s">
        <v>77</v>
      </c>
      <c r="E57" s="15" t="s">
        <v>26</v>
      </c>
      <c r="F57" s="16" t="s">
        <v>27</v>
      </c>
      <c r="G57" s="215"/>
      <c r="H57" s="363">
        <v>191156.74801733508</v>
      </c>
      <c r="I57" s="410"/>
      <c r="J57" s="363">
        <v>0</v>
      </c>
      <c r="K57" s="363">
        <v>0</v>
      </c>
      <c r="L57" s="363">
        <v>115888.5</v>
      </c>
      <c r="M57" s="363">
        <v>3510</v>
      </c>
      <c r="N57" s="363">
        <v>0</v>
      </c>
      <c r="O57" s="363">
        <v>2246.2631578947367</v>
      </c>
      <c r="P57" s="215">
        <f t="shared" si="7"/>
        <v>121644.76315789473</v>
      </c>
      <c r="Q57" s="363">
        <f t="shared" si="8"/>
        <v>97315.810526315792</v>
      </c>
      <c r="R57" s="410"/>
      <c r="S57" s="363">
        <v>0</v>
      </c>
      <c r="T57" s="363">
        <v>8297.25</v>
      </c>
      <c r="U57" s="363">
        <v>93814.5</v>
      </c>
      <c r="V57" s="363">
        <v>2340</v>
      </c>
      <c r="W57" s="363">
        <v>149.15789473684211</v>
      </c>
      <c r="X57" s="363">
        <v>1925.3684210526317</v>
      </c>
      <c r="Y57" s="363">
        <f t="shared" si="9"/>
        <v>106526.27631578947</v>
      </c>
      <c r="Z57" s="363">
        <f t="shared" si="10"/>
        <v>85221.021052631579</v>
      </c>
      <c r="AA57" s="410"/>
      <c r="AB57" s="411">
        <v>0</v>
      </c>
      <c r="AC57" s="411">
        <v>483.72631578947363</v>
      </c>
      <c r="AD57" s="411">
        <v>94909.263157894748</v>
      </c>
      <c r="AE57" s="411">
        <v>2728.4210526315787</v>
      </c>
      <c r="AF57" s="411">
        <v>130.4376731301939</v>
      </c>
      <c r="AG57" s="411">
        <v>1777.2631578947369</v>
      </c>
      <c r="AH57" s="363">
        <f t="shared" si="11"/>
        <v>100029.11135734072</v>
      </c>
      <c r="AI57" s="411">
        <f t="shared" si="12"/>
        <v>80023.289085872588</v>
      </c>
      <c r="AJ57" s="410"/>
      <c r="AK57" s="411">
        <v>1649.6999999999998</v>
      </c>
      <c r="AL57" s="411">
        <v>1994.8500000000001</v>
      </c>
      <c r="AM57" s="411">
        <v>1543.2631578947367</v>
      </c>
      <c r="AN57" s="410"/>
      <c r="AO57" s="411">
        <f t="shared" si="13"/>
        <v>1319.76</v>
      </c>
      <c r="AP57" s="411">
        <f t="shared" si="13"/>
        <v>1595.88</v>
      </c>
      <c r="AQ57" s="411">
        <f t="shared" si="13"/>
        <v>1234.6105263157895</v>
      </c>
      <c r="AR57" s="412"/>
      <c r="AS57" s="412">
        <v>193450.09155452694</v>
      </c>
      <c r="AT57" s="413">
        <f t="shared" si="14"/>
        <v>2293.3435371918604</v>
      </c>
      <c r="AU57" s="412"/>
      <c r="AV57" s="412">
        <v>0</v>
      </c>
      <c r="AW57" s="412">
        <v>0</v>
      </c>
      <c r="AX57" s="412">
        <v>116992.2</v>
      </c>
      <c r="AY57" s="412">
        <v>4485</v>
      </c>
      <c r="AZ57" s="412">
        <v>149.15789473684211</v>
      </c>
      <c r="BA57" s="412">
        <v>2888.0099999999998</v>
      </c>
      <c r="BB57" s="412">
        <v>2145</v>
      </c>
      <c r="BC57" s="412">
        <f t="shared" si="15"/>
        <v>320109.45944926376</v>
      </c>
      <c r="BE57" s="205">
        <f t="shared" si="16"/>
        <v>0</v>
      </c>
      <c r="BF57" s="205">
        <f t="shared" si="16"/>
        <v>0</v>
      </c>
      <c r="BG57" s="205">
        <f t="shared" si="16"/>
        <v>1103.6999999999971</v>
      </c>
      <c r="BH57" s="205">
        <f t="shared" si="16"/>
        <v>975</v>
      </c>
      <c r="BI57" s="205">
        <f t="shared" si="16"/>
        <v>149.15789473684211</v>
      </c>
      <c r="BJ57" s="205">
        <f t="shared" si="16"/>
        <v>641.74684210526311</v>
      </c>
      <c r="BK57" s="205">
        <f t="shared" si="17"/>
        <v>495.30000000000018</v>
      </c>
      <c r="BL57" s="205">
        <f t="shared" si="18"/>
        <v>5658.2482740339628</v>
      </c>
      <c r="BM57" s="215">
        <f t="shared" si="19"/>
        <v>0</v>
      </c>
      <c r="BN57" s="215"/>
      <c r="BO57" s="412">
        <f t="shared" si="24"/>
        <v>0</v>
      </c>
      <c r="BP57" s="412">
        <f t="shared" si="24"/>
        <v>0</v>
      </c>
      <c r="BQ57" s="412">
        <f t="shared" si="24"/>
        <v>24281.399999999994</v>
      </c>
      <c r="BR57" s="412">
        <f t="shared" si="24"/>
        <v>1677</v>
      </c>
      <c r="BS57" s="412">
        <f t="shared" si="24"/>
        <v>149.15789473684211</v>
      </c>
      <c r="BT57" s="412">
        <f t="shared" si="24"/>
        <v>1090.9994736842104</v>
      </c>
      <c r="BU57" s="412">
        <f t="shared" si="25"/>
        <v>825.24</v>
      </c>
      <c r="BV57" s="412">
        <f t="shared" si="20"/>
        <v>28023.797368421048</v>
      </c>
      <c r="BW57" s="412">
        <f t="shared" si="4"/>
        <v>-2293.3435371918604</v>
      </c>
      <c r="BX57" s="412"/>
      <c r="BY57" s="412">
        <f t="shared" si="21"/>
        <v>126659.36789473683</v>
      </c>
      <c r="BZ57" s="412"/>
      <c r="CA57" s="412">
        <f>IFERROR(VLOOKUP(A57,'Actuals Summer'!A:S,19,FALSE),0)</f>
        <v>126659.36789473683</v>
      </c>
      <c r="CC57" s="412"/>
      <c r="CD57" s="412"/>
      <c r="CE57" s="412"/>
      <c r="CF57" s="412"/>
      <c r="CG57" s="412"/>
      <c r="CH57" s="412"/>
      <c r="CI57" s="412"/>
      <c r="CJ57" s="412"/>
      <c r="CK57" s="412"/>
      <c r="CL57" s="412"/>
      <c r="CM57" s="412"/>
      <c r="CN57" s="412"/>
      <c r="CO57" s="412"/>
      <c r="CQ57" s="363"/>
      <c r="CR57" s="363"/>
      <c r="CS57" s="363"/>
      <c r="CT57" s="363"/>
      <c r="CU57" s="363"/>
      <c r="CV57" s="363"/>
      <c r="CW57" s="363"/>
      <c r="CX57" s="363"/>
      <c r="CZ57" s="414"/>
      <c r="DA57" s="414"/>
      <c r="DB57" s="414"/>
      <c r="DC57" s="414"/>
      <c r="DD57" s="414"/>
      <c r="DE57" s="414"/>
      <c r="DF57" s="414"/>
      <c r="DG57" s="414"/>
      <c r="DI57" s="414">
        <f t="shared" si="22"/>
        <v>0</v>
      </c>
      <c r="DJ57" s="414"/>
      <c r="DK57" s="414"/>
      <c r="DL57" s="414"/>
      <c r="DM57" s="414"/>
      <c r="DN57" s="414"/>
      <c r="DO57" s="414"/>
      <c r="DP57" s="414"/>
      <c r="DQ57" s="414"/>
      <c r="DS57" s="414"/>
      <c r="DT57" s="414"/>
      <c r="DU57" s="414"/>
      <c r="DV57" s="414"/>
      <c r="DW57" s="414"/>
      <c r="DX57" s="414"/>
      <c r="DY57" s="414"/>
      <c r="DZ57" s="414"/>
      <c r="EB57" s="415">
        <f t="shared" si="5"/>
        <v>482334.14485092589</v>
      </c>
      <c r="EC57" s="415">
        <f t="shared" si="6"/>
        <v>5850.1152631578952</v>
      </c>
      <c r="ED57" s="416">
        <f t="shared" si="23"/>
        <v>488184.26011408377</v>
      </c>
    </row>
    <row r="58" spans="1:134" hidden="1" x14ac:dyDescent="0.35">
      <c r="A58" s="17">
        <v>2081</v>
      </c>
      <c r="B58" s="4">
        <v>103201</v>
      </c>
      <c r="C58" s="4" t="s">
        <v>940</v>
      </c>
      <c r="D58" s="4" t="s">
        <v>941</v>
      </c>
      <c r="E58" s="15" t="s">
        <v>32</v>
      </c>
      <c r="F58" s="16" t="s">
        <v>27</v>
      </c>
      <c r="G58" s="215"/>
      <c r="H58" s="363">
        <v>0</v>
      </c>
      <c r="I58" s="410"/>
      <c r="J58" s="363">
        <v>0</v>
      </c>
      <c r="K58" s="363">
        <v>0</v>
      </c>
      <c r="L58" s="363">
        <v>0</v>
      </c>
      <c r="M58" s="363">
        <v>0</v>
      </c>
      <c r="N58" s="363">
        <v>0</v>
      </c>
      <c r="O58" s="363">
        <v>0</v>
      </c>
      <c r="P58" s="215">
        <f t="shared" si="7"/>
        <v>0</v>
      </c>
      <c r="Q58" s="363">
        <f t="shared" si="8"/>
        <v>0</v>
      </c>
      <c r="R58" s="410"/>
      <c r="S58" s="363">
        <v>0</v>
      </c>
      <c r="T58" s="363">
        <v>0</v>
      </c>
      <c r="U58" s="363">
        <v>0</v>
      </c>
      <c r="V58" s="363">
        <v>0</v>
      </c>
      <c r="W58" s="363">
        <v>0</v>
      </c>
      <c r="X58" s="363">
        <v>0</v>
      </c>
      <c r="Y58" s="363">
        <f t="shared" si="9"/>
        <v>0</v>
      </c>
      <c r="Z58" s="363">
        <f t="shared" si="10"/>
        <v>0</v>
      </c>
      <c r="AA58" s="410"/>
      <c r="AB58" s="411">
        <v>0</v>
      </c>
      <c r="AC58" s="411">
        <v>0</v>
      </c>
      <c r="AD58" s="411">
        <v>0</v>
      </c>
      <c r="AE58" s="411">
        <v>0</v>
      </c>
      <c r="AF58" s="411">
        <v>0</v>
      </c>
      <c r="AG58" s="411">
        <v>0</v>
      </c>
      <c r="AH58" s="363">
        <f t="shared" si="11"/>
        <v>0</v>
      </c>
      <c r="AI58" s="411">
        <f t="shared" si="12"/>
        <v>0</v>
      </c>
      <c r="AJ58" s="410"/>
      <c r="AK58" s="411">
        <v>0</v>
      </c>
      <c r="AL58" s="411">
        <v>0</v>
      </c>
      <c r="AM58" s="411">
        <v>0</v>
      </c>
      <c r="AN58" s="410"/>
      <c r="AO58" s="411">
        <f t="shared" si="13"/>
        <v>0</v>
      </c>
      <c r="AP58" s="411">
        <f t="shared" si="13"/>
        <v>0</v>
      </c>
      <c r="AQ58" s="411">
        <f t="shared" si="13"/>
        <v>0</v>
      </c>
      <c r="AR58" s="412"/>
      <c r="AS58" s="412">
        <v>0</v>
      </c>
      <c r="AT58" s="413">
        <f t="shared" si="14"/>
        <v>0</v>
      </c>
      <c r="AU58" s="412"/>
      <c r="AV58" s="412">
        <v>0</v>
      </c>
      <c r="AW58" s="412">
        <v>0</v>
      </c>
      <c r="AX58" s="412">
        <v>0</v>
      </c>
      <c r="AY58" s="412">
        <v>0</v>
      </c>
      <c r="AZ58" s="412">
        <v>0</v>
      </c>
      <c r="BA58" s="412">
        <v>0</v>
      </c>
      <c r="BB58" s="412">
        <v>0</v>
      </c>
      <c r="BC58" s="412">
        <f t="shared" si="15"/>
        <v>0</v>
      </c>
      <c r="BE58" s="205">
        <f t="shared" si="16"/>
        <v>0</v>
      </c>
      <c r="BF58" s="205">
        <f t="shared" si="16"/>
        <v>0</v>
      </c>
      <c r="BG58" s="205">
        <f t="shared" si="16"/>
        <v>0</v>
      </c>
      <c r="BH58" s="205">
        <f t="shared" si="16"/>
        <v>0</v>
      </c>
      <c r="BI58" s="205">
        <f t="shared" si="16"/>
        <v>0</v>
      </c>
      <c r="BJ58" s="205">
        <f t="shared" si="16"/>
        <v>0</v>
      </c>
      <c r="BK58" s="205">
        <f t="shared" si="17"/>
        <v>0</v>
      </c>
      <c r="BL58" s="205">
        <f t="shared" si="18"/>
        <v>0</v>
      </c>
      <c r="BM58" s="215">
        <f t="shared" si="19"/>
        <v>0</v>
      </c>
      <c r="BN58" s="215"/>
      <c r="BO58" s="412">
        <f t="shared" si="24"/>
        <v>0</v>
      </c>
      <c r="BP58" s="412">
        <f t="shared" si="24"/>
        <v>0</v>
      </c>
      <c r="BQ58" s="412">
        <f t="shared" si="24"/>
        <v>0</v>
      </c>
      <c r="BR58" s="412">
        <f t="shared" si="24"/>
        <v>0</v>
      </c>
      <c r="BS58" s="412">
        <f t="shared" si="24"/>
        <v>0</v>
      </c>
      <c r="BT58" s="412">
        <f t="shared" si="24"/>
        <v>0</v>
      </c>
      <c r="BU58" s="412">
        <f t="shared" si="25"/>
        <v>0</v>
      </c>
      <c r="BV58" s="412">
        <f t="shared" si="20"/>
        <v>0</v>
      </c>
      <c r="BW58" s="412">
        <f t="shared" si="4"/>
        <v>0</v>
      </c>
      <c r="BX58" s="412"/>
      <c r="BY58" s="412">
        <f t="shared" si="21"/>
        <v>0</v>
      </c>
      <c r="BZ58" s="412"/>
      <c r="CA58" s="412">
        <f>IFERROR(VLOOKUP(A58,'Actuals Summer'!A:S,19,FALSE),0)</f>
        <v>0</v>
      </c>
      <c r="CC58" s="412"/>
      <c r="CD58" s="412"/>
      <c r="CE58" s="412"/>
      <c r="CF58" s="412"/>
      <c r="CG58" s="412"/>
      <c r="CH58" s="412"/>
      <c r="CI58" s="412"/>
      <c r="CJ58" s="412"/>
      <c r="CK58" s="412"/>
      <c r="CL58" s="412"/>
      <c r="CM58" s="412"/>
      <c r="CN58" s="412"/>
      <c r="CO58" s="412"/>
      <c r="CQ58" s="363"/>
      <c r="CR58" s="363"/>
      <c r="CS58" s="363"/>
      <c r="CT58" s="363"/>
      <c r="CU58" s="363"/>
      <c r="CV58" s="363"/>
      <c r="CW58" s="363"/>
      <c r="CX58" s="363"/>
      <c r="CZ58" s="414"/>
      <c r="DA58" s="414"/>
      <c r="DB58" s="414"/>
      <c r="DC58" s="414"/>
      <c r="DD58" s="414"/>
      <c r="DE58" s="414"/>
      <c r="DF58" s="414"/>
      <c r="DG58" s="414"/>
      <c r="DI58" s="414">
        <f t="shared" si="22"/>
        <v>0</v>
      </c>
      <c r="DJ58" s="414"/>
      <c r="DK58" s="414"/>
      <c r="DL58" s="414"/>
      <c r="DM58" s="414"/>
      <c r="DN58" s="414"/>
      <c r="DO58" s="414"/>
      <c r="DP58" s="414"/>
      <c r="DQ58" s="414"/>
      <c r="DS58" s="414"/>
      <c r="DT58" s="414"/>
      <c r="DU58" s="414"/>
      <c r="DV58" s="414"/>
      <c r="DW58" s="414"/>
      <c r="DX58" s="414"/>
      <c r="DY58" s="414"/>
      <c r="DZ58" s="414"/>
      <c r="EB58" s="415">
        <f t="shared" si="5"/>
        <v>0</v>
      </c>
      <c r="EC58" s="415">
        <f t="shared" si="6"/>
        <v>0</v>
      </c>
      <c r="ED58" s="416">
        <f t="shared" si="23"/>
        <v>0</v>
      </c>
    </row>
    <row r="59" spans="1:134" hidden="1" x14ac:dyDescent="0.35">
      <c r="A59" s="17">
        <v>2296</v>
      </c>
      <c r="B59" s="4">
        <v>103320</v>
      </c>
      <c r="C59" s="4" t="s">
        <v>942</v>
      </c>
      <c r="D59" s="4" t="s">
        <v>943</v>
      </c>
      <c r="E59" s="15" t="s">
        <v>32</v>
      </c>
      <c r="F59" s="16" t="s">
        <v>1131</v>
      </c>
      <c r="G59" s="215"/>
      <c r="H59" s="363">
        <v>0</v>
      </c>
      <c r="I59" s="410"/>
      <c r="J59" s="363">
        <v>0</v>
      </c>
      <c r="K59" s="363">
        <v>0</v>
      </c>
      <c r="L59" s="363">
        <v>0</v>
      </c>
      <c r="M59" s="363">
        <v>0</v>
      </c>
      <c r="N59" s="363">
        <v>0</v>
      </c>
      <c r="O59" s="363">
        <v>0</v>
      </c>
      <c r="P59" s="215">
        <f t="shared" si="7"/>
        <v>0</v>
      </c>
      <c r="Q59" s="363">
        <f t="shared" si="8"/>
        <v>0</v>
      </c>
      <c r="R59" s="410"/>
      <c r="S59" s="363">
        <v>0</v>
      </c>
      <c r="T59" s="363">
        <v>0</v>
      </c>
      <c r="U59" s="363">
        <v>0</v>
      </c>
      <c r="V59" s="363">
        <v>0</v>
      </c>
      <c r="W59" s="363">
        <v>0</v>
      </c>
      <c r="X59" s="363">
        <v>0</v>
      </c>
      <c r="Y59" s="363">
        <f t="shared" si="9"/>
        <v>0</v>
      </c>
      <c r="Z59" s="363">
        <f t="shared" si="10"/>
        <v>0</v>
      </c>
      <c r="AA59" s="410"/>
      <c r="AB59" s="411">
        <v>0</v>
      </c>
      <c r="AC59" s="411">
        <v>0</v>
      </c>
      <c r="AD59" s="411">
        <v>0</v>
      </c>
      <c r="AE59" s="411">
        <v>0</v>
      </c>
      <c r="AF59" s="411">
        <v>0</v>
      </c>
      <c r="AG59" s="411">
        <v>0</v>
      </c>
      <c r="AH59" s="363">
        <f t="shared" si="11"/>
        <v>0</v>
      </c>
      <c r="AI59" s="411">
        <f t="shared" si="12"/>
        <v>0</v>
      </c>
      <c r="AJ59" s="410"/>
      <c r="AK59" s="411">
        <v>0</v>
      </c>
      <c r="AL59" s="411">
        <v>0</v>
      </c>
      <c r="AM59" s="411">
        <v>0</v>
      </c>
      <c r="AN59" s="410"/>
      <c r="AO59" s="411">
        <f t="shared" si="13"/>
        <v>0</v>
      </c>
      <c r="AP59" s="411">
        <f t="shared" si="13"/>
        <v>0</v>
      </c>
      <c r="AQ59" s="411">
        <f t="shared" si="13"/>
        <v>0</v>
      </c>
      <c r="AR59" s="412"/>
      <c r="AS59" s="412">
        <v>0</v>
      </c>
      <c r="AT59" s="413">
        <f t="shared" si="14"/>
        <v>0</v>
      </c>
      <c r="AU59" s="412"/>
      <c r="AV59" s="412">
        <v>0</v>
      </c>
      <c r="AW59" s="412">
        <v>0</v>
      </c>
      <c r="AX59" s="412">
        <v>0</v>
      </c>
      <c r="AY59" s="412">
        <v>0</v>
      </c>
      <c r="AZ59" s="412">
        <v>0</v>
      </c>
      <c r="BA59" s="412">
        <v>0</v>
      </c>
      <c r="BB59" s="412">
        <v>0</v>
      </c>
      <c r="BC59" s="412">
        <f t="shared" si="15"/>
        <v>0</v>
      </c>
      <c r="BE59" s="205">
        <f t="shared" si="16"/>
        <v>0</v>
      </c>
      <c r="BF59" s="205">
        <f t="shared" si="16"/>
        <v>0</v>
      </c>
      <c r="BG59" s="205">
        <f t="shared" si="16"/>
        <v>0</v>
      </c>
      <c r="BH59" s="205">
        <f t="shared" si="16"/>
        <v>0</v>
      </c>
      <c r="BI59" s="205">
        <f t="shared" si="16"/>
        <v>0</v>
      </c>
      <c r="BJ59" s="205">
        <f t="shared" si="16"/>
        <v>0</v>
      </c>
      <c r="BK59" s="205">
        <f t="shared" si="17"/>
        <v>0</v>
      </c>
      <c r="BL59" s="205">
        <f t="shared" si="18"/>
        <v>0</v>
      </c>
      <c r="BM59" s="215">
        <f t="shared" si="19"/>
        <v>0</v>
      </c>
      <c r="BN59" s="215"/>
      <c r="BO59" s="412">
        <f t="shared" si="24"/>
        <v>0</v>
      </c>
      <c r="BP59" s="412">
        <f t="shared" si="24"/>
        <v>0</v>
      </c>
      <c r="BQ59" s="412">
        <f t="shared" si="24"/>
        <v>0</v>
      </c>
      <c r="BR59" s="412">
        <f t="shared" si="24"/>
        <v>0</v>
      </c>
      <c r="BS59" s="412">
        <f t="shared" si="24"/>
        <v>0</v>
      </c>
      <c r="BT59" s="412">
        <f t="shared" si="24"/>
        <v>0</v>
      </c>
      <c r="BU59" s="412">
        <f t="shared" si="25"/>
        <v>0</v>
      </c>
      <c r="BV59" s="412">
        <f t="shared" si="20"/>
        <v>0</v>
      </c>
      <c r="BW59" s="412">
        <f t="shared" si="4"/>
        <v>0</v>
      </c>
      <c r="BX59" s="412"/>
      <c r="BY59" s="412">
        <f t="shared" si="21"/>
        <v>0</v>
      </c>
      <c r="BZ59" s="412"/>
      <c r="CA59" s="412">
        <f>IFERROR(VLOOKUP(A59,'Actuals Summer'!A:S,19,FALSE),0)</f>
        <v>0</v>
      </c>
      <c r="CC59" s="412"/>
      <c r="CD59" s="412"/>
      <c r="CE59" s="412"/>
      <c r="CF59" s="412"/>
      <c r="CG59" s="412"/>
      <c r="CH59" s="412"/>
      <c r="CI59" s="412"/>
      <c r="CJ59" s="412"/>
      <c r="CK59" s="412"/>
      <c r="CL59" s="412"/>
      <c r="CM59" s="412"/>
      <c r="CN59" s="412"/>
      <c r="CO59" s="412"/>
      <c r="CQ59" s="363"/>
      <c r="CR59" s="363"/>
      <c r="CS59" s="363"/>
      <c r="CT59" s="363"/>
      <c r="CU59" s="363"/>
      <c r="CV59" s="363"/>
      <c r="CW59" s="363"/>
      <c r="CX59" s="363"/>
      <c r="CZ59" s="414"/>
      <c r="DA59" s="414"/>
      <c r="DB59" s="414"/>
      <c r="DC59" s="414"/>
      <c r="DD59" s="414"/>
      <c r="DE59" s="414"/>
      <c r="DF59" s="414"/>
      <c r="DG59" s="414"/>
      <c r="DI59" s="414">
        <f t="shared" si="22"/>
        <v>0</v>
      </c>
      <c r="DJ59" s="414"/>
      <c r="DK59" s="414"/>
      <c r="DL59" s="414"/>
      <c r="DM59" s="414"/>
      <c r="DN59" s="414"/>
      <c r="DO59" s="414"/>
      <c r="DP59" s="414"/>
      <c r="DQ59" s="414"/>
      <c r="DS59" s="414"/>
      <c r="DT59" s="414"/>
      <c r="DU59" s="414"/>
      <c r="DV59" s="414"/>
      <c r="DW59" s="414"/>
      <c r="DX59" s="414"/>
      <c r="DY59" s="414"/>
      <c r="DZ59" s="414"/>
      <c r="EB59" s="415">
        <f t="shared" si="5"/>
        <v>0</v>
      </c>
      <c r="EC59" s="415">
        <f t="shared" si="6"/>
        <v>0</v>
      </c>
      <c r="ED59" s="416">
        <f t="shared" si="23"/>
        <v>0</v>
      </c>
    </row>
    <row r="60" spans="1:134" hidden="1" x14ac:dyDescent="0.35">
      <c r="A60" s="17">
        <v>1015</v>
      </c>
      <c r="B60" s="4">
        <v>103128</v>
      </c>
      <c r="C60" s="4" t="s">
        <v>78</v>
      </c>
      <c r="D60" s="4" t="s">
        <v>79</v>
      </c>
      <c r="E60" s="15" t="s">
        <v>26</v>
      </c>
      <c r="F60" s="16" t="s">
        <v>27</v>
      </c>
      <c r="G60" s="215"/>
      <c r="H60" s="363">
        <v>239170.68324842979</v>
      </c>
      <c r="I60" s="410"/>
      <c r="J60" s="363">
        <v>0</v>
      </c>
      <c r="K60" s="363">
        <v>24891.75</v>
      </c>
      <c r="L60" s="363">
        <v>142377.29999999999</v>
      </c>
      <c r="M60" s="363">
        <v>8385</v>
      </c>
      <c r="N60" s="363">
        <v>3057.7368421052633</v>
      </c>
      <c r="O60" s="363">
        <v>1283.578947368421</v>
      </c>
      <c r="P60" s="215">
        <f t="shared" si="7"/>
        <v>179995.36578947367</v>
      </c>
      <c r="Q60" s="363">
        <f t="shared" si="8"/>
        <v>143996.29263157895</v>
      </c>
      <c r="R60" s="410"/>
      <c r="S60" s="363">
        <v>0</v>
      </c>
      <c r="T60" s="363">
        <v>53102.400000000001</v>
      </c>
      <c r="U60" s="363">
        <v>118095.9</v>
      </c>
      <c r="V60" s="363">
        <v>7020</v>
      </c>
      <c r="W60" s="363">
        <v>2684.8421052631579</v>
      </c>
      <c r="X60" s="363">
        <v>1925.3684210526317</v>
      </c>
      <c r="Y60" s="363">
        <f t="shared" si="9"/>
        <v>182828.51052631577</v>
      </c>
      <c r="Z60" s="363">
        <f t="shared" si="10"/>
        <v>146262.80842105261</v>
      </c>
      <c r="AA60" s="410"/>
      <c r="AB60" s="411">
        <v>0</v>
      </c>
      <c r="AC60" s="411">
        <v>23702.589473684209</v>
      </c>
      <c r="AD60" s="411">
        <v>114856.29473684212</v>
      </c>
      <c r="AE60" s="411">
        <v>6195.78947368421</v>
      </c>
      <c r="AF60" s="411">
        <v>2326.1385041551248</v>
      </c>
      <c r="AG60" s="411">
        <v>1216.0221606648201</v>
      </c>
      <c r="AH60" s="363">
        <f t="shared" si="11"/>
        <v>148296.83434903048</v>
      </c>
      <c r="AI60" s="411">
        <f t="shared" si="12"/>
        <v>118637.46747922439</v>
      </c>
      <c r="AJ60" s="410"/>
      <c r="AK60" s="411">
        <v>2224.9499999999998</v>
      </c>
      <c r="AL60" s="411">
        <v>1889.55</v>
      </c>
      <c r="AM60" s="411">
        <v>1700.7157894736843</v>
      </c>
      <c r="AN60" s="410"/>
      <c r="AO60" s="411">
        <f t="shared" si="13"/>
        <v>1779.96</v>
      </c>
      <c r="AP60" s="411">
        <f t="shared" si="13"/>
        <v>1511.64</v>
      </c>
      <c r="AQ60" s="411">
        <f t="shared" si="13"/>
        <v>1360.5726315789475</v>
      </c>
      <c r="AR60" s="412"/>
      <c r="AS60" s="412">
        <v>239539.71773641926</v>
      </c>
      <c r="AT60" s="413">
        <f t="shared" si="14"/>
        <v>369.0344879894692</v>
      </c>
      <c r="AU60" s="412"/>
      <c r="AV60" s="412">
        <v>0</v>
      </c>
      <c r="AW60" s="412">
        <v>24891.75</v>
      </c>
      <c r="AX60" s="412">
        <v>146792.1</v>
      </c>
      <c r="AY60" s="412">
        <v>8970</v>
      </c>
      <c r="AZ60" s="412">
        <v>3430.6315789473683</v>
      </c>
      <c r="BA60" s="412">
        <v>3208.8999999999996</v>
      </c>
      <c r="BB60" s="412">
        <v>1848.6</v>
      </c>
      <c r="BC60" s="412">
        <f t="shared" si="15"/>
        <v>428681.69931536663</v>
      </c>
      <c r="BE60" s="205">
        <f t="shared" si="16"/>
        <v>0</v>
      </c>
      <c r="BF60" s="205">
        <f t="shared" si="16"/>
        <v>0</v>
      </c>
      <c r="BG60" s="205">
        <f t="shared" si="16"/>
        <v>4414.8000000000175</v>
      </c>
      <c r="BH60" s="205">
        <f t="shared" si="16"/>
        <v>585</v>
      </c>
      <c r="BI60" s="205">
        <f t="shared" si="16"/>
        <v>372.89473684210498</v>
      </c>
      <c r="BJ60" s="205">
        <f t="shared" si="16"/>
        <v>1925.3210526315786</v>
      </c>
      <c r="BK60" s="205">
        <f t="shared" si="17"/>
        <v>-376.34999999999991</v>
      </c>
      <c r="BL60" s="205">
        <f t="shared" si="18"/>
        <v>7290.700277463171</v>
      </c>
      <c r="BM60" s="215">
        <f t="shared" si="19"/>
        <v>0</v>
      </c>
      <c r="BN60" s="215"/>
      <c r="BO60" s="412">
        <f t="shared" si="24"/>
        <v>0</v>
      </c>
      <c r="BP60" s="412">
        <f t="shared" si="24"/>
        <v>4978.3499999999985</v>
      </c>
      <c r="BQ60" s="412">
        <f t="shared" si="24"/>
        <v>32890.260000000009</v>
      </c>
      <c r="BR60" s="412">
        <f t="shared" si="24"/>
        <v>2262</v>
      </c>
      <c r="BS60" s="412">
        <f t="shared" si="24"/>
        <v>984.44210526315737</v>
      </c>
      <c r="BT60" s="412">
        <f t="shared" si="24"/>
        <v>2182.0368421052626</v>
      </c>
      <c r="BU60" s="412">
        <f t="shared" si="25"/>
        <v>68.639999999999873</v>
      </c>
      <c r="BV60" s="412">
        <f t="shared" si="20"/>
        <v>43365.728947368429</v>
      </c>
      <c r="BW60" s="412">
        <f t="shared" si="4"/>
        <v>-369.03448798941099</v>
      </c>
      <c r="BX60" s="412"/>
      <c r="BY60" s="412">
        <f t="shared" si="21"/>
        <v>189141.98157894737</v>
      </c>
      <c r="BZ60" s="412"/>
      <c r="CA60" s="412">
        <f>IFERROR(VLOOKUP(A60,'Actuals Summer'!A:S,19,FALSE),0)</f>
        <v>189141.98157894737</v>
      </c>
      <c r="CC60" s="412"/>
      <c r="CD60" s="412"/>
      <c r="CE60" s="412"/>
      <c r="CF60" s="412"/>
      <c r="CG60" s="412"/>
      <c r="CH60" s="412"/>
      <c r="CI60" s="412"/>
      <c r="CJ60" s="412"/>
      <c r="CK60" s="412"/>
      <c r="CL60" s="412"/>
      <c r="CM60" s="412"/>
      <c r="CN60" s="412"/>
      <c r="CO60" s="412"/>
      <c r="CQ60" s="363"/>
      <c r="CR60" s="363"/>
      <c r="CS60" s="363"/>
      <c r="CT60" s="363"/>
      <c r="CU60" s="363"/>
      <c r="CV60" s="363"/>
      <c r="CW60" s="363"/>
      <c r="CX60" s="363"/>
      <c r="CZ60" s="414"/>
      <c r="DA60" s="414"/>
      <c r="DB60" s="414"/>
      <c r="DC60" s="414"/>
      <c r="DD60" s="414"/>
      <c r="DE60" s="414"/>
      <c r="DF60" s="414"/>
      <c r="DG60" s="414"/>
      <c r="DI60" s="414">
        <f t="shared" si="22"/>
        <v>0</v>
      </c>
      <c r="DJ60" s="414"/>
      <c r="DK60" s="414"/>
      <c r="DL60" s="414"/>
      <c r="DM60" s="414"/>
      <c r="DN60" s="414"/>
      <c r="DO60" s="414"/>
      <c r="DP60" s="414"/>
      <c r="DQ60" s="414"/>
      <c r="DS60" s="414"/>
      <c r="DT60" s="414"/>
      <c r="DU60" s="414"/>
      <c r="DV60" s="414"/>
      <c r="DW60" s="414"/>
      <c r="DX60" s="414"/>
      <c r="DY60" s="414"/>
      <c r="DZ60" s="414"/>
      <c r="EB60" s="415">
        <f t="shared" si="5"/>
        <v>690732.17538184859</v>
      </c>
      <c r="EC60" s="415">
        <f t="shared" si="6"/>
        <v>5722.0124653739613</v>
      </c>
      <c r="ED60" s="416">
        <f t="shared" si="23"/>
        <v>696454.18784722255</v>
      </c>
    </row>
    <row r="61" spans="1:134" hidden="1" x14ac:dyDescent="0.35">
      <c r="A61" s="17">
        <v>1022</v>
      </c>
      <c r="B61" s="4">
        <v>103135</v>
      </c>
      <c r="C61" s="4" t="s">
        <v>80</v>
      </c>
      <c r="D61" s="4" t="s">
        <v>81</v>
      </c>
      <c r="E61" s="15" t="s">
        <v>26</v>
      </c>
      <c r="F61" s="16" t="s">
        <v>27</v>
      </c>
      <c r="G61" s="215"/>
      <c r="H61" s="363">
        <v>210295.48774378013</v>
      </c>
      <c r="I61" s="410"/>
      <c r="J61" s="363">
        <v>2324.4</v>
      </c>
      <c r="K61" s="363">
        <v>41486.25</v>
      </c>
      <c r="L61" s="363">
        <v>109266.30000000002</v>
      </c>
      <c r="M61" s="363">
        <v>7995</v>
      </c>
      <c r="N61" s="363">
        <v>1118.6842105263158</v>
      </c>
      <c r="O61" s="363">
        <v>3529.8421052631579</v>
      </c>
      <c r="P61" s="215">
        <f t="shared" si="7"/>
        <v>165720.47631578948</v>
      </c>
      <c r="Q61" s="363">
        <f t="shared" si="8"/>
        <v>132576.38105263159</v>
      </c>
      <c r="R61" s="410"/>
      <c r="S61" s="363">
        <v>2324.4</v>
      </c>
      <c r="T61" s="363">
        <v>49783.5</v>
      </c>
      <c r="U61" s="363">
        <v>55185</v>
      </c>
      <c r="V61" s="363">
        <v>5460</v>
      </c>
      <c r="W61" s="363">
        <v>2088.2105263157896</v>
      </c>
      <c r="X61" s="363">
        <v>0</v>
      </c>
      <c r="Y61" s="363">
        <f t="shared" si="9"/>
        <v>114841.11052631578</v>
      </c>
      <c r="Z61" s="363">
        <f t="shared" si="10"/>
        <v>91872.88842105263</v>
      </c>
      <c r="AA61" s="410"/>
      <c r="AB61" s="411">
        <v>2145.6000000000004</v>
      </c>
      <c r="AC61" s="411">
        <v>31442.21052631579</v>
      </c>
      <c r="AD61" s="411">
        <v>76570.863157894739</v>
      </c>
      <c r="AE61" s="411">
        <v>5115.78947368421</v>
      </c>
      <c r="AF61" s="411">
        <v>1239.1578947368421</v>
      </c>
      <c r="AG61" s="411">
        <v>1964.3434903047093</v>
      </c>
      <c r="AH61" s="363">
        <f t="shared" si="11"/>
        <v>118477.9645429363</v>
      </c>
      <c r="AI61" s="411">
        <f t="shared" si="12"/>
        <v>94782.371634349052</v>
      </c>
      <c r="AJ61" s="410"/>
      <c r="AK61" s="411">
        <v>4572.75</v>
      </c>
      <c r="AL61" s="411">
        <v>3344.25</v>
      </c>
      <c r="AM61" s="411">
        <v>3200.7789473684211</v>
      </c>
      <c r="AN61" s="410"/>
      <c r="AO61" s="411">
        <f t="shared" si="13"/>
        <v>3658.2000000000003</v>
      </c>
      <c r="AP61" s="411">
        <f t="shared" si="13"/>
        <v>2675.4</v>
      </c>
      <c r="AQ61" s="411">
        <f t="shared" si="13"/>
        <v>2560.6231578947372</v>
      </c>
      <c r="AR61" s="412"/>
      <c r="AS61" s="412">
        <v>213318.27699272748</v>
      </c>
      <c r="AT61" s="413">
        <f t="shared" si="14"/>
        <v>3022.7892489473452</v>
      </c>
      <c r="AU61" s="412"/>
      <c r="AV61" s="412">
        <v>0</v>
      </c>
      <c r="AW61" s="412">
        <v>41486.25</v>
      </c>
      <c r="AX61" s="412">
        <v>105955.20000000001</v>
      </c>
      <c r="AY61" s="412">
        <v>8580</v>
      </c>
      <c r="AZ61" s="412">
        <v>1267.8421052631579</v>
      </c>
      <c r="BA61" s="412">
        <v>1604.4499999999998</v>
      </c>
      <c r="BB61" s="412">
        <v>4543.5</v>
      </c>
      <c r="BC61" s="412">
        <f t="shared" si="15"/>
        <v>376755.51909799065</v>
      </c>
      <c r="BE61" s="205">
        <f t="shared" si="16"/>
        <v>-2324.4</v>
      </c>
      <c r="BF61" s="205">
        <f t="shared" si="16"/>
        <v>0</v>
      </c>
      <c r="BG61" s="205">
        <f t="shared" si="16"/>
        <v>-3311.1000000000058</v>
      </c>
      <c r="BH61" s="205">
        <f t="shared" si="16"/>
        <v>585</v>
      </c>
      <c r="BI61" s="205">
        <f t="shared" si="16"/>
        <v>149.15789473684208</v>
      </c>
      <c r="BJ61" s="205">
        <f t="shared" si="16"/>
        <v>-1925.3921052631581</v>
      </c>
      <c r="BK61" s="205">
        <f t="shared" si="17"/>
        <v>-29.25</v>
      </c>
      <c r="BL61" s="205">
        <f t="shared" si="18"/>
        <v>-3833.1949615789763</v>
      </c>
      <c r="BM61" s="215">
        <f t="shared" si="19"/>
        <v>0</v>
      </c>
      <c r="BN61" s="215"/>
      <c r="BO61" s="412">
        <f t="shared" si="24"/>
        <v>-1859.5200000000002</v>
      </c>
      <c r="BP61" s="412">
        <f t="shared" si="24"/>
        <v>8297.25</v>
      </c>
      <c r="BQ61" s="412">
        <f t="shared" si="24"/>
        <v>18542.159999999989</v>
      </c>
      <c r="BR61" s="412">
        <f t="shared" si="24"/>
        <v>2184</v>
      </c>
      <c r="BS61" s="412">
        <f t="shared" si="24"/>
        <v>372.8947368421052</v>
      </c>
      <c r="BT61" s="412">
        <f t="shared" si="24"/>
        <v>-1219.4236842105265</v>
      </c>
      <c r="BU61" s="412">
        <f t="shared" si="25"/>
        <v>885.29999999999973</v>
      </c>
      <c r="BV61" s="412">
        <f t="shared" si="20"/>
        <v>27202.661052631567</v>
      </c>
      <c r="BW61" s="412">
        <f t="shared" si="4"/>
        <v>-3022.7892489473452</v>
      </c>
      <c r="BX61" s="412"/>
      <c r="BY61" s="412">
        <f t="shared" si="21"/>
        <v>163437.24210526317</v>
      </c>
      <c r="BZ61" s="412"/>
      <c r="CA61" s="412">
        <f>IFERROR(VLOOKUP(A61,'Actuals Summer'!A:S,19,FALSE),0)</f>
        <v>163437.24210526317</v>
      </c>
      <c r="CC61" s="412"/>
      <c r="CD61" s="412"/>
      <c r="CE61" s="412"/>
      <c r="CF61" s="412"/>
      <c r="CG61" s="412"/>
      <c r="CH61" s="412"/>
      <c r="CI61" s="412"/>
      <c r="CJ61" s="412"/>
      <c r="CK61" s="412"/>
      <c r="CL61" s="412"/>
      <c r="CM61" s="412"/>
      <c r="CN61" s="412"/>
      <c r="CO61" s="412"/>
      <c r="CQ61" s="363"/>
      <c r="CR61" s="363"/>
      <c r="CS61" s="363"/>
      <c r="CT61" s="363"/>
      <c r="CU61" s="363"/>
      <c r="CV61" s="363"/>
      <c r="CW61" s="363"/>
      <c r="CX61" s="363"/>
      <c r="CZ61" s="414"/>
      <c r="DA61" s="414"/>
      <c r="DB61" s="414"/>
      <c r="DC61" s="414"/>
      <c r="DD61" s="414"/>
      <c r="DE61" s="414"/>
      <c r="DF61" s="414"/>
      <c r="DG61" s="414"/>
      <c r="DI61" s="414">
        <f t="shared" si="22"/>
        <v>0</v>
      </c>
      <c r="DJ61" s="414"/>
      <c r="DK61" s="414"/>
      <c r="DL61" s="414"/>
      <c r="DM61" s="414"/>
      <c r="DN61" s="414"/>
      <c r="DO61" s="414"/>
      <c r="DP61" s="414"/>
      <c r="DQ61" s="414"/>
      <c r="DS61" s="414"/>
      <c r="DT61" s="414"/>
      <c r="DU61" s="414"/>
      <c r="DV61" s="414"/>
      <c r="DW61" s="414"/>
      <c r="DX61" s="414"/>
      <c r="DY61" s="414"/>
      <c r="DZ61" s="414"/>
      <c r="EB61" s="415">
        <f t="shared" si="5"/>
        <v>565470.87751904328</v>
      </c>
      <c r="EC61" s="415">
        <f t="shared" si="6"/>
        <v>3175.9247922437671</v>
      </c>
      <c r="ED61" s="416">
        <f t="shared" si="23"/>
        <v>568646.80231128703</v>
      </c>
    </row>
    <row r="62" spans="1:134" hidden="1" x14ac:dyDescent="0.35">
      <c r="A62" s="17">
        <v>2087</v>
      </c>
      <c r="B62" s="4">
        <v>103205</v>
      </c>
      <c r="C62" s="4" t="s">
        <v>944</v>
      </c>
      <c r="D62" s="4" t="s">
        <v>945</v>
      </c>
      <c r="E62" s="15" t="s">
        <v>32</v>
      </c>
      <c r="F62" s="16" t="s">
        <v>27</v>
      </c>
      <c r="G62" s="215"/>
      <c r="H62" s="363">
        <v>0</v>
      </c>
      <c r="I62" s="410"/>
      <c r="J62" s="363">
        <v>0</v>
      </c>
      <c r="K62" s="363">
        <v>0</v>
      </c>
      <c r="L62" s="363">
        <v>0</v>
      </c>
      <c r="M62" s="363">
        <v>0</v>
      </c>
      <c r="N62" s="363">
        <v>0</v>
      </c>
      <c r="O62" s="363">
        <v>0</v>
      </c>
      <c r="P62" s="215">
        <f t="shared" si="7"/>
        <v>0</v>
      </c>
      <c r="Q62" s="363">
        <f t="shared" si="8"/>
        <v>0</v>
      </c>
      <c r="R62" s="410"/>
      <c r="S62" s="363">
        <v>0</v>
      </c>
      <c r="T62" s="363">
        <v>0</v>
      </c>
      <c r="U62" s="363">
        <v>0</v>
      </c>
      <c r="V62" s="363">
        <v>0</v>
      </c>
      <c r="W62" s="363">
        <v>0</v>
      </c>
      <c r="X62" s="363">
        <v>0</v>
      </c>
      <c r="Y62" s="363">
        <f t="shared" si="9"/>
        <v>0</v>
      </c>
      <c r="Z62" s="363">
        <f t="shared" si="10"/>
        <v>0</v>
      </c>
      <c r="AA62" s="410"/>
      <c r="AB62" s="411">
        <v>0</v>
      </c>
      <c r="AC62" s="411">
        <v>0</v>
      </c>
      <c r="AD62" s="411">
        <v>0</v>
      </c>
      <c r="AE62" s="411">
        <v>0</v>
      </c>
      <c r="AF62" s="411">
        <v>0</v>
      </c>
      <c r="AG62" s="411">
        <v>0</v>
      </c>
      <c r="AH62" s="363">
        <f t="shared" si="11"/>
        <v>0</v>
      </c>
      <c r="AI62" s="411">
        <f t="shared" si="12"/>
        <v>0</v>
      </c>
      <c r="AJ62" s="410"/>
      <c r="AK62" s="411">
        <v>0</v>
      </c>
      <c r="AL62" s="411">
        <v>0</v>
      </c>
      <c r="AM62" s="411">
        <v>0</v>
      </c>
      <c r="AN62" s="410"/>
      <c r="AO62" s="411">
        <f t="shared" si="13"/>
        <v>0</v>
      </c>
      <c r="AP62" s="411">
        <f t="shared" si="13"/>
        <v>0</v>
      </c>
      <c r="AQ62" s="411">
        <f t="shared" si="13"/>
        <v>0</v>
      </c>
      <c r="AR62" s="412"/>
      <c r="AS62" s="412">
        <v>0</v>
      </c>
      <c r="AT62" s="413">
        <f t="shared" si="14"/>
        <v>0</v>
      </c>
      <c r="AU62" s="412"/>
      <c r="AV62" s="412">
        <v>0</v>
      </c>
      <c r="AW62" s="412">
        <v>0</v>
      </c>
      <c r="AX62" s="412">
        <v>0</v>
      </c>
      <c r="AY62" s="412">
        <v>0</v>
      </c>
      <c r="AZ62" s="412">
        <v>0</v>
      </c>
      <c r="BA62" s="412">
        <v>0</v>
      </c>
      <c r="BB62" s="412">
        <v>0</v>
      </c>
      <c r="BC62" s="412">
        <f t="shared" si="15"/>
        <v>0</v>
      </c>
      <c r="BE62" s="205">
        <f t="shared" si="16"/>
        <v>0</v>
      </c>
      <c r="BF62" s="205">
        <f t="shared" si="16"/>
        <v>0</v>
      </c>
      <c r="BG62" s="205">
        <f t="shared" si="16"/>
        <v>0</v>
      </c>
      <c r="BH62" s="205">
        <f t="shared" si="16"/>
        <v>0</v>
      </c>
      <c r="BI62" s="205">
        <f t="shared" si="16"/>
        <v>0</v>
      </c>
      <c r="BJ62" s="205">
        <f t="shared" si="16"/>
        <v>0</v>
      </c>
      <c r="BK62" s="205">
        <f t="shared" si="17"/>
        <v>0</v>
      </c>
      <c r="BL62" s="205">
        <f t="shared" si="18"/>
        <v>0</v>
      </c>
      <c r="BM62" s="215">
        <f t="shared" si="19"/>
        <v>0</v>
      </c>
      <c r="BN62" s="215"/>
      <c r="BO62" s="412">
        <f t="shared" si="24"/>
        <v>0</v>
      </c>
      <c r="BP62" s="412">
        <f t="shared" si="24"/>
        <v>0</v>
      </c>
      <c r="BQ62" s="412">
        <f t="shared" si="24"/>
        <v>0</v>
      </c>
      <c r="BR62" s="412">
        <f t="shared" si="24"/>
        <v>0</v>
      </c>
      <c r="BS62" s="412">
        <f t="shared" si="24"/>
        <v>0</v>
      </c>
      <c r="BT62" s="412">
        <f t="shared" si="24"/>
        <v>0</v>
      </c>
      <c r="BU62" s="412">
        <f t="shared" si="25"/>
        <v>0</v>
      </c>
      <c r="BV62" s="412">
        <f t="shared" si="20"/>
        <v>0</v>
      </c>
      <c r="BW62" s="412">
        <f t="shared" si="4"/>
        <v>0</v>
      </c>
      <c r="BX62" s="412"/>
      <c r="BY62" s="412">
        <f t="shared" si="21"/>
        <v>0</v>
      </c>
      <c r="BZ62" s="412"/>
      <c r="CA62" s="412">
        <f>IFERROR(VLOOKUP(A62,'Actuals Summer'!A:S,19,FALSE),0)</f>
        <v>0</v>
      </c>
      <c r="CC62" s="412"/>
      <c r="CD62" s="412"/>
      <c r="CE62" s="412"/>
      <c r="CF62" s="412"/>
      <c r="CG62" s="412"/>
      <c r="CH62" s="412"/>
      <c r="CI62" s="412"/>
      <c r="CJ62" s="412"/>
      <c r="CK62" s="412"/>
      <c r="CL62" s="412"/>
      <c r="CM62" s="412"/>
      <c r="CN62" s="412"/>
      <c r="CO62" s="412"/>
      <c r="CQ62" s="363"/>
      <c r="CR62" s="363"/>
      <c r="CS62" s="363"/>
      <c r="CT62" s="363"/>
      <c r="CU62" s="363"/>
      <c r="CV62" s="363"/>
      <c r="CW62" s="363"/>
      <c r="CX62" s="363"/>
      <c r="CZ62" s="414"/>
      <c r="DA62" s="414"/>
      <c r="DB62" s="414"/>
      <c r="DC62" s="414"/>
      <c r="DD62" s="414"/>
      <c r="DE62" s="414"/>
      <c r="DF62" s="414"/>
      <c r="DG62" s="414"/>
      <c r="DI62" s="414">
        <f t="shared" si="22"/>
        <v>0</v>
      </c>
      <c r="DJ62" s="414"/>
      <c r="DK62" s="414"/>
      <c r="DL62" s="414"/>
      <c r="DM62" s="414"/>
      <c r="DN62" s="414"/>
      <c r="DO62" s="414"/>
      <c r="DP62" s="414"/>
      <c r="DQ62" s="414"/>
      <c r="DS62" s="414"/>
      <c r="DT62" s="414"/>
      <c r="DU62" s="414"/>
      <c r="DV62" s="414"/>
      <c r="DW62" s="414"/>
      <c r="DX62" s="414"/>
      <c r="DY62" s="414"/>
      <c r="DZ62" s="414"/>
      <c r="EB62" s="415">
        <f t="shared" si="5"/>
        <v>0</v>
      </c>
      <c r="EC62" s="415">
        <f t="shared" si="6"/>
        <v>0</v>
      </c>
      <c r="ED62" s="416">
        <f t="shared" si="23"/>
        <v>0</v>
      </c>
    </row>
    <row r="63" spans="1:134" hidden="1" x14ac:dyDescent="0.35">
      <c r="A63" s="17">
        <v>2466</v>
      </c>
      <c r="B63" s="4">
        <v>103392</v>
      </c>
      <c r="C63" s="4" t="s">
        <v>82</v>
      </c>
      <c r="D63" s="4" t="s">
        <v>83</v>
      </c>
      <c r="E63" s="15" t="s">
        <v>32</v>
      </c>
      <c r="F63" s="16" t="s">
        <v>27</v>
      </c>
      <c r="G63" s="215"/>
      <c r="H63" s="363">
        <v>0</v>
      </c>
      <c r="I63" s="410"/>
      <c r="J63" s="363">
        <v>0</v>
      </c>
      <c r="K63" s="363">
        <v>0</v>
      </c>
      <c r="L63" s="363">
        <v>71740.5</v>
      </c>
      <c r="M63" s="363">
        <v>3510</v>
      </c>
      <c r="N63" s="363">
        <v>1342.421052631579</v>
      </c>
      <c r="O63" s="363">
        <v>0</v>
      </c>
      <c r="P63" s="215">
        <f t="shared" si="7"/>
        <v>76592.921052631573</v>
      </c>
      <c r="Q63" s="363">
        <f t="shared" si="8"/>
        <v>61274.336842105258</v>
      </c>
      <c r="R63" s="410"/>
      <c r="S63" s="363">
        <v>0</v>
      </c>
      <c r="T63" s="363">
        <v>0</v>
      </c>
      <c r="U63" s="363">
        <v>51873.9</v>
      </c>
      <c r="V63" s="363">
        <v>0</v>
      </c>
      <c r="W63" s="363">
        <v>0</v>
      </c>
      <c r="X63" s="363">
        <v>0</v>
      </c>
      <c r="Y63" s="363">
        <f t="shared" si="9"/>
        <v>51873.9</v>
      </c>
      <c r="Z63" s="363">
        <f t="shared" si="10"/>
        <v>41499.120000000003</v>
      </c>
      <c r="AA63" s="410"/>
      <c r="AB63" s="411">
        <v>0</v>
      </c>
      <c r="AC63" s="411">
        <v>0</v>
      </c>
      <c r="AD63" s="411">
        <v>55336.926315789489</v>
      </c>
      <c r="AE63" s="411">
        <v>2046.3157894736842</v>
      </c>
      <c r="AF63" s="411">
        <v>391.3130193905817</v>
      </c>
      <c r="AG63" s="411">
        <v>0</v>
      </c>
      <c r="AH63" s="363">
        <f t="shared" si="11"/>
        <v>57774.555124653758</v>
      </c>
      <c r="AI63" s="411">
        <f t="shared" si="12"/>
        <v>46219.644099723009</v>
      </c>
      <c r="AJ63" s="410"/>
      <c r="AK63" s="411">
        <v>1663.35</v>
      </c>
      <c r="AL63" s="411">
        <v>1076.3999999999999</v>
      </c>
      <c r="AM63" s="411">
        <v>1268.1473684210525</v>
      </c>
      <c r="AN63" s="410"/>
      <c r="AO63" s="411">
        <f t="shared" si="13"/>
        <v>1330.68</v>
      </c>
      <c r="AP63" s="411">
        <f t="shared" si="13"/>
        <v>861.11999999999989</v>
      </c>
      <c r="AQ63" s="411">
        <f t="shared" si="13"/>
        <v>1014.5178947368421</v>
      </c>
      <c r="AR63" s="412"/>
      <c r="AS63" s="412">
        <v>0</v>
      </c>
      <c r="AT63" s="413">
        <f t="shared" si="14"/>
        <v>0</v>
      </c>
      <c r="AU63" s="412"/>
      <c r="AV63" s="412">
        <v>0</v>
      </c>
      <c r="AW63" s="412">
        <v>0</v>
      </c>
      <c r="AX63" s="412">
        <v>56288.7</v>
      </c>
      <c r="AY63" s="412">
        <v>2925</v>
      </c>
      <c r="AZ63" s="412">
        <v>0</v>
      </c>
      <c r="BA63" s="412">
        <v>0</v>
      </c>
      <c r="BB63" s="412">
        <v>1101.75</v>
      </c>
      <c r="BC63" s="412">
        <f t="shared" si="15"/>
        <v>60315.45</v>
      </c>
      <c r="BE63" s="205">
        <f t="shared" si="16"/>
        <v>0</v>
      </c>
      <c r="BF63" s="205">
        <f t="shared" si="16"/>
        <v>0</v>
      </c>
      <c r="BG63" s="205">
        <f t="shared" si="16"/>
        <v>-15451.800000000003</v>
      </c>
      <c r="BH63" s="205">
        <f t="shared" si="16"/>
        <v>-585</v>
      </c>
      <c r="BI63" s="205">
        <f t="shared" si="16"/>
        <v>-1342.421052631579</v>
      </c>
      <c r="BJ63" s="205">
        <f t="shared" si="16"/>
        <v>0</v>
      </c>
      <c r="BK63" s="205">
        <f t="shared" si="17"/>
        <v>-561.59999999999991</v>
      </c>
      <c r="BL63" s="205">
        <f t="shared" si="18"/>
        <v>-17940.821052631582</v>
      </c>
      <c r="BM63" s="215">
        <f t="shared" si="19"/>
        <v>0</v>
      </c>
      <c r="BN63" s="215"/>
      <c r="BO63" s="412">
        <f t="shared" ref="BO63:BT90" si="26">AV63-(J63*80%)</f>
        <v>0</v>
      </c>
      <c r="BP63" s="412">
        <f t="shared" si="26"/>
        <v>0</v>
      </c>
      <c r="BQ63" s="412">
        <f t="shared" si="26"/>
        <v>-1103.7000000000044</v>
      </c>
      <c r="BR63" s="412">
        <f t="shared" si="26"/>
        <v>117</v>
      </c>
      <c r="BS63" s="412">
        <f t="shared" si="26"/>
        <v>-1073.9368421052632</v>
      </c>
      <c r="BT63" s="412">
        <f t="shared" si="26"/>
        <v>0</v>
      </c>
      <c r="BU63" s="412">
        <f t="shared" si="25"/>
        <v>-228.93000000000006</v>
      </c>
      <c r="BV63" s="412">
        <f t="shared" si="20"/>
        <v>-2289.5668421052678</v>
      </c>
      <c r="BW63" s="412">
        <f t="shared" si="4"/>
        <v>-7.2759576141834259E-12</v>
      </c>
      <c r="BX63" s="412"/>
      <c r="BY63" s="412">
        <f t="shared" si="21"/>
        <v>60315.44999999999</v>
      </c>
      <c r="BZ63" s="412"/>
      <c r="CA63" s="412">
        <f>IFERROR(VLOOKUP(A63,'Actuals Summer'!A:S,19,FALSE),0)</f>
        <v>60315.45</v>
      </c>
      <c r="CC63" s="412"/>
      <c r="CD63" s="412"/>
      <c r="CE63" s="412"/>
      <c r="CF63" s="412"/>
      <c r="CG63" s="412"/>
      <c r="CH63" s="412"/>
      <c r="CI63" s="412"/>
      <c r="CJ63" s="412"/>
      <c r="CK63" s="412"/>
      <c r="CL63" s="412"/>
      <c r="CM63" s="412"/>
      <c r="CN63" s="412"/>
      <c r="CO63" s="412"/>
      <c r="CQ63" s="363"/>
      <c r="CR63" s="363"/>
      <c r="CS63" s="363"/>
      <c r="CT63" s="363"/>
      <c r="CU63" s="363"/>
      <c r="CV63" s="363"/>
      <c r="CW63" s="363"/>
      <c r="CX63" s="363"/>
      <c r="CZ63" s="414"/>
      <c r="DA63" s="414"/>
      <c r="DB63" s="414"/>
      <c r="DC63" s="414"/>
      <c r="DD63" s="414"/>
      <c r="DE63" s="414"/>
      <c r="DF63" s="414"/>
      <c r="DG63" s="414"/>
      <c r="DI63" s="414">
        <f t="shared" si="22"/>
        <v>0</v>
      </c>
      <c r="DJ63" s="414"/>
      <c r="DK63" s="414"/>
      <c r="DL63" s="414"/>
      <c r="DM63" s="414"/>
      <c r="DN63" s="414"/>
      <c r="DO63" s="414"/>
      <c r="DP63" s="414"/>
      <c r="DQ63" s="414"/>
      <c r="DS63" s="414"/>
      <c r="DT63" s="414"/>
      <c r="DU63" s="414"/>
      <c r="DV63" s="414"/>
      <c r="DW63" s="414"/>
      <c r="DX63" s="414"/>
      <c r="DY63" s="414"/>
      <c r="DZ63" s="414"/>
      <c r="EB63" s="415">
        <f t="shared" si="5"/>
        <v>149909.85199445984</v>
      </c>
      <c r="EC63" s="415">
        <f t="shared" si="6"/>
        <v>0</v>
      </c>
      <c r="ED63" s="416">
        <f t="shared" si="23"/>
        <v>149909.85199445984</v>
      </c>
    </row>
    <row r="64" spans="1:134" hidden="1" x14ac:dyDescent="0.35">
      <c r="A64" s="17">
        <v>2093</v>
      </c>
      <c r="B64" s="4">
        <v>103210</v>
      </c>
      <c r="C64" s="4" t="s">
        <v>84</v>
      </c>
      <c r="D64" s="4" t="s">
        <v>85</v>
      </c>
      <c r="E64" s="15" t="s">
        <v>32</v>
      </c>
      <c r="F64" s="16" t="s">
        <v>27</v>
      </c>
      <c r="G64" s="215"/>
      <c r="H64" s="363">
        <v>0</v>
      </c>
      <c r="I64" s="410"/>
      <c r="J64" s="363">
        <v>0</v>
      </c>
      <c r="K64" s="363">
        <v>0</v>
      </c>
      <c r="L64" s="363">
        <v>57392.4</v>
      </c>
      <c r="M64" s="363">
        <v>1365</v>
      </c>
      <c r="N64" s="363">
        <v>0</v>
      </c>
      <c r="O64" s="363">
        <v>0</v>
      </c>
      <c r="P64" s="215">
        <f t="shared" si="7"/>
        <v>58757.4</v>
      </c>
      <c r="Q64" s="363">
        <f t="shared" si="8"/>
        <v>47005.920000000006</v>
      </c>
      <c r="R64" s="410"/>
      <c r="S64" s="363">
        <v>0</v>
      </c>
      <c r="T64" s="363">
        <v>0</v>
      </c>
      <c r="U64" s="363">
        <v>54081.3</v>
      </c>
      <c r="V64" s="363">
        <v>1365</v>
      </c>
      <c r="W64" s="363">
        <v>447.47368421052636</v>
      </c>
      <c r="X64" s="363">
        <v>0</v>
      </c>
      <c r="Y64" s="363">
        <f t="shared" si="9"/>
        <v>55893.77368421053</v>
      </c>
      <c r="Z64" s="363">
        <f t="shared" si="10"/>
        <v>44715.01894736843</v>
      </c>
      <c r="AA64" s="410"/>
      <c r="AB64" s="411">
        <v>0</v>
      </c>
      <c r="AC64" s="411">
        <v>0</v>
      </c>
      <c r="AD64" s="411">
        <v>49224.126315789465</v>
      </c>
      <c r="AE64" s="411">
        <v>1136.8421052631579</v>
      </c>
      <c r="AF64" s="411">
        <v>130.4376731301939</v>
      </c>
      <c r="AG64" s="411">
        <v>0</v>
      </c>
      <c r="AH64" s="363">
        <f t="shared" si="11"/>
        <v>50491.406094182821</v>
      </c>
      <c r="AI64" s="411">
        <f t="shared" si="12"/>
        <v>40393.124875346257</v>
      </c>
      <c r="AJ64" s="410"/>
      <c r="AK64" s="411">
        <v>118.94999999999999</v>
      </c>
      <c r="AL64" s="411">
        <v>222.3</v>
      </c>
      <c r="AM64" s="411">
        <v>125.05263157894737</v>
      </c>
      <c r="AN64" s="410"/>
      <c r="AO64" s="411">
        <f t="shared" si="13"/>
        <v>95.16</v>
      </c>
      <c r="AP64" s="411">
        <f t="shared" si="13"/>
        <v>177.84000000000003</v>
      </c>
      <c r="AQ64" s="411">
        <f t="shared" si="13"/>
        <v>100.04210526315791</v>
      </c>
      <c r="AR64" s="412"/>
      <c r="AS64" s="412">
        <v>0</v>
      </c>
      <c r="AT64" s="413">
        <f t="shared" si="14"/>
        <v>0</v>
      </c>
      <c r="AU64" s="412"/>
      <c r="AV64" s="412">
        <v>0</v>
      </c>
      <c r="AW64" s="412">
        <v>0</v>
      </c>
      <c r="AX64" s="412">
        <v>56288.700000000004</v>
      </c>
      <c r="AY64" s="412">
        <v>2925</v>
      </c>
      <c r="AZ64" s="412">
        <v>1118.6842105263158</v>
      </c>
      <c r="BA64" s="412">
        <v>0</v>
      </c>
      <c r="BB64" s="412">
        <v>222.3</v>
      </c>
      <c r="BC64" s="412">
        <f t="shared" si="15"/>
        <v>60554.68421052632</v>
      </c>
      <c r="BE64" s="205">
        <f t="shared" si="16"/>
        <v>0</v>
      </c>
      <c r="BF64" s="205">
        <f t="shared" si="16"/>
        <v>0</v>
      </c>
      <c r="BG64" s="205">
        <f t="shared" si="16"/>
        <v>-1103.6999999999971</v>
      </c>
      <c r="BH64" s="205">
        <f t="shared" si="16"/>
        <v>1560</v>
      </c>
      <c r="BI64" s="205">
        <f t="shared" si="16"/>
        <v>1118.6842105263158</v>
      </c>
      <c r="BJ64" s="205">
        <f t="shared" si="16"/>
        <v>0</v>
      </c>
      <c r="BK64" s="205">
        <f t="shared" si="17"/>
        <v>103.35000000000002</v>
      </c>
      <c r="BL64" s="205">
        <f t="shared" si="18"/>
        <v>1678.3342105263187</v>
      </c>
      <c r="BM64" s="215">
        <f t="shared" si="19"/>
        <v>0</v>
      </c>
      <c r="BN64" s="215"/>
      <c r="BO64" s="412">
        <f t="shared" si="26"/>
        <v>0</v>
      </c>
      <c r="BP64" s="412">
        <f t="shared" si="26"/>
        <v>0</v>
      </c>
      <c r="BQ64" s="412">
        <f t="shared" si="26"/>
        <v>10374.779999999999</v>
      </c>
      <c r="BR64" s="412">
        <f t="shared" si="26"/>
        <v>1833</v>
      </c>
      <c r="BS64" s="412">
        <f t="shared" si="26"/>
        <v>1118.6842105263158</v>
      </c>
      <c r="BT64" s="412">
        <f t="shared" si="26"/>
        <v>0</v>
      </c>
      <c r="BU64" s="412">
        <f t="shared" si="25"/>
        <v>127.14000000000001</v>
      </c>
      <c r="BV64" s="412">
        <f t="shared" si="20"/>
        <v>13453.604210526315</v>
      </c>
      <c r="BW64" s="412">
        <f t="shared" si="4"/>
        <v>0</v>
      </c>
      <c r="BX64" s="412"/>
      <c r="BY64" s="412">
        <f t="shared" si="21"/>
        <v>60554.68421052632</v>
      </c>
      <c r="BZ64" s="412"/>
      <c r="CA64" s="412">
        <f>IFERROR(VLOOKUP(A64,'Actuals Summer'!A:S,19,FALSE),0)</f>
        <v>60554.68421052632</v>
      </c>
      <c r="CC64" s="412"/>
      <c r="CD64" s="412"/>
      <c r="CE64" s="412"/>
      <c r="CF64" s="412"/>
      <c r="CG64" s="412"/>
      <c r="CH64" s="412"/>
      <c r="CI64" s="412"/>
      <c r="CJ64" s="412"/>
      <c r="CK64" s="412"/>
      <c r="CL64" s="412"/>
      <c r="CM64" s="412"/>
      <c r="CN64" s="412"/>
      <c r="CO64" s="412"/>
      <c r="CQ64" s="363"/>
      <c r="CR64" s="363"/>
      <c r="CS64" s="363"/>
      <c r="CT64" s="363"/>
      <c r="CU64" s="363"/>
      <c r="CV64" s="363"/>
      <c r="CW64" s="363"/>
      <c r="CX64" s="363"/>
      <c r="CZ64" s="414"/>
      <c r="DA64" s="414"/>
      <c r="DB64" s="414"/>
      <c r="DC64" s="414"/>
      <c r="DD64" s="414"/>
      <c r="DE64" s="414"/>
      <c r="DF64" s="414"/>
      <c r="DG64" s="414"/>
      <c r="DI64" s="414">
        <f t="shared" si="22"/>
        <v>0</v>
      </c>
      <c r="DJ64" s="414"/>
      <c r="DK64" s="414"/>
      <c r="DL64" s="414"/>
      <c r="DM64" s="414"/>
      <c r="DN64" s="414"/>
      <c r="DO64" s="414"/>
      <c r="DP64" s="414"/>
      <c r="DQ64" s="414"/>
      <c r="DS64" s="414"/>
      <c r="DT64" s="414"/>
      <c r="DU64" s="414"/>
      <c r="DV64" s="414"/>
      <c r="DW64" s="414"/>
      <c r="DX64" s="414"/>
      <c r="DY64" s="414"/>
      <c r="DZ64" s="414"/>
      <c r="EB64" s="415">
        <f t="shared" si="5"/>
        <v>145940.71013850416</v>
      </c>
      <c r="EC64" s="415">
        <f t="shared" si="6"/>
        <v>0</v>
      </c>
      <c r="ED64" s="416">
        <f t="shared" si="23"/>
        <v>145940.71013850416</v>
      </c>
    </row>
    <row r="65" spans="1:134" hidden="1" x14ac:dyDescent="0.35">
      <c r="A65" s="17">
        <v>2092</v>
      </c>
      <c r="B65" s="4">
        <v>103209</v>
      </c>
      <c r="C65" s="4" t="s">
        <v>946</v>
      </c>
      <c r="D65" s="4" t="s">
        <v>947</v>
      </c>
      <c r="E65" s="15" t="s">
        <v>32</v>
      </c>
      <c r="F65" s="16" t="s">
        <v>27</v>
      </c>
      <c r="G65" s="215"/>
      <c r="H65" s="363">
        <v>0</v>
      </c>
      <c r="I65" s="410"/>
      <c r="J65" s="363">
        <v>0</v>
      </c>
      <c r="K65" s="363">
        <v>0</v>
      </c>
      <c r="L65" s="363">
        <v>0</v>
      </c>
      <c r="M65" s="363">
        <v>0</v>
      </c>
      <c r="N65" s="363">
        <v>0</v>
      </c>
      <c r="O65" s="363">
        <v>0</v>
      </c>
      <c r="P65" s="215">
        <f t="shared" si="7"/>
        <v>0</v>
      </c>
      <c r="Q65" s="363">
        <f t="shared" si="8"/>
        <v>0</v>
      </c>
      <c r="R65" s="410"/>
      <c r="S65" s="363">
        <v>0</v>
      </c>
      <c r="T65" s="363">
        <v>0</v>
      </c>
      <c r="U65" s="363">
        <v>0</v>
      </c>
      <c r="V65" s="363">
        <v>0</v>
      </c>
      <c r="W65" s="363">
        <v>0</v>
      </c>
      <c r="X65" s="363">
        <v>0</v>
      </c>
      <c r="Y65" s="363">
        <f t="shared" si="9"/>
        <v>0</v>
      </c>
      <c r="Z65" s="363">
        <f t="shared" si="10"/>
        <v>0</v>
      </c>
      <c r="AA65" s="410"/>
      <c r="AB65" s="411">
        <v>0</v>
      </c>
      <c r="AC65" s="411">
        <v>0</v>
      </c>
      <c r="AD65" s="411">
        <v>0</v>
      </c>
      <c r="AE65" s="411">
        <v>0</v>
      </c>
      <c r="AF65" s="411">
        <v>0</v>
      </c>
      <c r="AG65" s="411">
        <v>0</v>
      </c>
      <c r="AH65" s="363">
        <f t="shared" si="11"/>
        <v>0</v>
      </c>
      <c r="AI65" s="411">
        <f t="shared" si="12"/>
        <v>0</v>
      </c>
      <c r="AJ65" s="410"/>
      <c r="AK65" s="411">
        <v>0</v>
      </c>
      <c r="AL65" s="411">
        <v>0</v>
      </c>
      <c r="AM65" s="411">
        <v>0</v>
      </c>
      <c r="AN65" s="410"/>
      <c r="AO65" s="411">
        <f t="shared" si="13"/>
        <v>0</v>
      </c>
      <c r="AP65" s="411">
        <f t="shared" si="13"/>
        <v>0</v>
      </c>
      <c r="AQ65" s="411">
        <f t="shared" si="13"/>
        <v>0</v>
      </c>
      <c r="AR65" s="412"/>
      <c r="AS65" s="412">
        <v>0</v>
      </c>
      <c r="AT65" s="413">
        <f t="shared" si="14"/>
        <v>0</v>
      </c>
      <c r="AU65" s="412"/>
      <c r="AV65" s="412">
        <v>0</v>
      </c>
      <c r="AW65" s="412">
        <v>0</v>
      </c>
      <c r="AX65" s="412">
        <v>0</v>
      </c>
      <c r="AY65" s="412">
        <v>0</v>
      </c>
      <c r="AZ65" s="412">
        <v>0</v>
      </c>
      <c r="BA65" s="412">
        <v>0</v>
      </c>
      <c r="BB65" s="412">
        <v>0</v>
      </c>
      <c r="BC65" s="412">
        <f t="shared" si="15"/>
        <v>0</v>
      </c>
      <c r="BE65" s="205">
        <f t="shared" ref="BE65:BJ108" si="27">AV65-J65</f>
        <v>0</v>
      </c>
      <c r="BF65" s="205">
        <f t="shared" si="27"/>
        <v>0</v>
      </c>
      <c r="BG65" s="205">
        <f t="shared" si="27"/>
        <v>0</v>
      </c>
      <c r="BH65" s="205">
        <f t="shared" si="27"/>
        <v>0</v>
      </c>
      <c r="BI65" s="205">
        <f t="shared" si="27"/>
        <v>0</v>
      </c>
      <c r="BJ65" s="205">
        <f t="shared" si="27"/>
        <v>0</v>
      </c>
      <c r="BK65" s="205">
        <f t="shared" si="17"/>
        <v>0</v>
      </c>
      <c r="BL65" s="205">
        <f t="shared" si="18"/>
        <v>0</v>
      </c>
      <c r="BM65" s="215">
        <f t="shared" si="19"/>
        <v>0</v>
      </c>
      <c r="BN65" s="215"/>
      <c r="BO65" s="412">
        <f t="shared" si="26"/>
        <v>0</v>
      </c>
      <c r="BP65" s="412">
        <f t="shared" si="26"/>
        <v>0</v>
      </c>
      <c r="BQ65" s="412">
        <f t="shared" si="26"/>
        <v>0</v>
      </c>
      <c r="BR65" s="412">
        <f t="shared" si="26"/>
        <v>0</v>
      </c>
      <c r="BS65" s="412">
        <f t="shared" si="26"/>
        <v>0</v>
      </c>
      <c r="BT65" s="412">
        <f t="shared" si="26"/>
        <v>0</v>
      </c>
      <c r="BU65" s="412">
        <f t="shared" si="25"/>
        <v>0</v>
      </c>
      <c r="BV65" s="412">
        <f t="shared" si="20"/>
        <v>0</v>
      </c>
      <c r="BW65" s="412">
        <f t="shared" si="4"/>
        <v>0</v>
      </c>
      <c r="BX65" s="412"/>
      <c r="BY65" s="412">
        <f t="shared" si="21"/>
        <v>0</v>
      </c>
      <c r="BZ65" s="412"/>
      <c r="CA65" s="412">
        <f>IFERROR(VLOOKUP(A65,'Actuals Summer'!A:S,19,FALSE),0)</f>
        <v>0</v>
      </c>
      <c r="CC65" s="412"/>
      <c r="CD65" s="412"/>
      <c r="CE65" s="412"/>
      <c r="CF65" s="412"/>
      <c r="CG65" s="412"/>
      <c r="CH65" s="412"/>
      <c r="CI65" s="412"/>
      <c r="CJ65" s="412"/>
      <c r="CK65" s="412"/>
      <c r="CL65" s="412"/>
      <c r="CM65" s="412"/>
      <c r="CN65" s="412"/>
      <c r="CO65" s="412"/>
      <c r="CQ65" s="363"/>
      <c r="CR65" s="363"/>
      <c r="CS65" s="363"/>
      <c r="CT65" s="363"/>
      <c r="CU65" s="363"/>
      <c r="CV65" s="363"/>
      <c r="CW65" s="363"/>
      <c r="CX65" s="363"/>
      <c r="CZ65" s="414"/>
      <c r="DA65" s="414"/>
      <c r="DB65" s="414"/>
      <c r="DC65" s="414"/>
      <c r="DD65" s="414"/>
      <c r="DE65" s="414"/>
      <c r="DF65" s="414"/>
      <c r="DG65" s="414"/>
      <c r="DI65" s="414">
        <f t="shared" si="22"/>
        <v>0</v>
      </c>
      <c r="DJ65" s="414"/>
      <c r="DK65" s="414"/>
      <c r="DL65" s="414"/>
      <c r="DM65" s="414"/>
      <c r="DN65" s="414"/>
      <c r="DO65" s="414"/>
      <c r="DP65" s="414"/>
      <c r="DQ65" s="414"/>
      <c r="DS65" s="414"/>
      <c r="DT65" s="414"/>
      <c r="DU65" s="414"/>
      <c r="DV65" s="414"/>
      <c r="DW65" s="414"/>
      <c r="DX65" s="414"/>
      <c r="DY65" s="414"/>
      <c r="DZ65" s="414"/>
      <c r="EB65" s="415">
        <f t="shared" si="5"/>
        <v>0</v>
      </c>
      <c r="EC65" s="415">
        <f t="shared" si="6"/>
        <v>0</v>
      </c>
      <c r="ED65" s="416">
        <f t="shared" si="23"/>
        <v>0</v>
      </c>
    </row>
    <row r="66" spans="1:134" hidden="1" x14ac:dyDescent="0.35">
      <c r="A66" s="17">
        <v>7006</v>
      </c>
      <c r="B66" s="4">
        <v>103600</v>
      </c>
      <c r="C66" s="4" t="s">
        <v>948</v>
      </c>
      <c r="D66" s="4" t="s">
        <v>949</v>
      </c>
      <c r="E66" s="15" t="s">
        <v>895</v>
      </c>
      <c r="F66" s="16" t="s">
        <v>27</v>
      </c>
      <c r="G66" s="215"/>
      <c r="H66" s="363">
        <v>0</v>
      </c>
      <c r="I66" s="410"/>
      <c r="J66" s="363">
        <v>0</v>
      </c>
      <c r="K66" s="363">
        <v>0</v>
      </c>
      <c r="L66" s="363">
        <v>0</v>
      </c>
      <c r="M66" s="363">
        <v>0</v>
      </c>
      <c r="N66" s="363">
        <v>0</v>
      </c>
      <c r="O66" s="363">
        <v>0</v>
      </c>
      <c r="P66" s="215">
        <f t="shared" si="7"/>
        <v>0</v>
      </c>
      <c r="Q66" s="363">
        <f t="shared" si="8"/>
        <v>0</v>
      </c>
      <c r="R66" s="410"/>
      <c r="S66" s="363">
        <v>0</v>
      </c>
      <c r="T66" s="363">
        <v>0</v>
      </c>
      <c r="U66" s="363">
        <v>0</v>
      </c>
      <c r="V66" s="363">
        <v>0</v>
      </c>
      <c r="W66" s="363">
        <v>0</v>
      </c>
      <c r="X66" s="363">
        <v>0</v>
      </c>
      <c r="Y66" s="363">
        <f t="shared" si="9"/>
        <v>0</v>
      </c>
      <c r="Z66" s="363">
        <f t="shared" si="10"/>
        <v>0</v>
      </c>
      <c r="AA66" s="410"/>
      <c r="AB66" s="411">
        <v>0</v>
      </c>
      <c r="AC66" s="411">
        <v>0</v>
      </c>
      <c r="AD66" s="411">
        <v>0</v>
      </c>
      <c r="AE66" s="411">
        <v>0</v>
      </c>
      <c r="AF66" s="411">
        <v>0</v>
      </c>
      <c r="AG66" s="411">
        <v>0</v>
      </c>
      <c r="AH66" s="363">
        <f t="shared" si="11"/>
        <v>0</v>
      </c>
      <c r="AI66" s="411">
        <f t="shared" si="12"/>
        <v>0</v>
      </c>
      <c r="AJ66" s="410"/>
      <c r="AK66" s="411">
        <v>0</v>
      </c>
      <c r="AL66" s="411">
        <v>0</v>
      </c>
      <c r="AM66" s="411">
        <v>0</v>
      </c>
      <c r="AN66" s="410"/>
      <c r="AO66" s="411">
        <f t="shared" si="13"/>
        <v>0</v>
      </c>
      <c r="AP66" s="411">
        <f t="shared" si="13"/>
        <v>0</v>
      </c>
      <c r="AQ66" s="411">
        <f t="shared" si="13"/>
        <v>0</v>
      </c>
      <c r="AR66" s="412"/>
      <c r="AS66" s="412">
        <v>0</v>
      </c>
      <c r="AT66" s="413">
        <f t="shared" si="14"/>
        <v>0</v>
      </c>
      <c r="AU66" s="412"/>
      <c r="AV66" s="412">
        <v>0</v>
      </c>
      <c r="AW66" s="412">
        <v>0</v>
      </c>
      <c r="AX66" s="412">
        <v>0</v>
      </c>
      <c r="AY66" s="412">
        <v>0</v>
      </c>
      <c r="AZ66" s="412">
        <v>0</v>
      </c>
      <c r="BA66" s="412">
        <v>0</v>
      </c>
      <c r="BB66" s="412">
        <v>0</v>
      </c>
      <c r="BC66" s="412">
        <f t="shared" si="15"/>
        <v>0</v>
      </c>
      <c r="BE66" s="205">
        <f t="shared" si="27"/>
        <v>0</v>
      </c>
      <c r="BF66" s="205">
        <f t="shared" si="27"/>
        <v>0</v>
      </c>
      <c r="BG66" s="205">
        <f t="shared" si="27"/>
        <v>0</v>
      </c>
      <c r="BH66" s="205">
        <f t="shared" si="27"/>
        <v>0</v>
      </c>
      <c r="BI66" s="205">
        <f t="shared" si="27"/>
        <v>0</v>
      </c>
      <c r="BJ66" s="205">
        <f t="shared" si="27"/>
        <v>0</v>
      </c>
      <c r="BK66" s="205">
        <f t="shared" si="17"/>
        <v>0</v>
      </c>
      <c r="BL66" s="205">
        <f t="shared" si="18"/>
        <v>0</v>
      </c>
      <c r="BM66" s="215">
        <f t="shared" si="19"/>
        <v>0</v>
      </c>
      <c r="BN66" s="215"/>
      <c r="BO66" s="412">
        <f t="shared" si="26"/>
        <v>0</v>
      </c>
      <c r="BP66" s="412">
        <f t="shared" si="26"/>
        <v>0</v>
      </c>
      <c r="BQ66" s="412">
        <f t="shared" si="26"/>
        <v>0</v>
      </c>
      <c r="BR66" s="412">
        <f t="shared" si="26"/>
        <v>0</v>
      </c>
      <c r="BS66" s="412">
        <f t="shared" si="26"/>
        <v>0</v>
      </c>
      <c r="BT66" s="412">
        <f t="shared" si="26"/>
        <v>0</v>
      </c>
      <c r="BU66" s="412">
        <f t="shared" si="25"/>
        <v>0</v>
      </c>
      <c r="BV66" s="412">
        <f t="shared" si="20"/>
        <v>0</v>
      </c>
      <c r="BW66" s="412">
        <f t="shared" si="4"/>
        <v>0</v>
      </c>
      <c r="BX66" s="412"/>
      <c r="BY66" s="412">
        <f t="shared" si="21"/>
        <v>0</v>
      </c>
      <c r="BZ66" s="412"/>
      <c r="CA66" s="412">
        <f>IFERROR(VLOOKUP(A66,'Actuals Summer'!A:S,19,FALSE),0)</f>
        <v>0</v>
      </c>
      <c r="CC66" s="412"/>
      <c r="CD66" s="412"/>
      <c r="CE66" s="412"/>
      <c r="CF66" s="412"/>
      <c r="CG66" s="412"/>
      <c r="CH66" s="412"/>
      <c r="CI66" s="412"/>
      <c r="CJ66" s="412"/>
      <c r="CK66" s="412"/>
      <c r="CL66" s="412"/>
      <c r="CM66" s="412"/>
      <c r="CN66" s="412"/>
      <c r="CO66" s="412"/>
      <c r="CQ66" s="363"/>
      <c r="CR66" s="363"/>
      <c r="CS66" s="363"/>
      <c r="CT66" s="363"/>
      <c r="CU66" s="363"/>
      <c r="CV66" s="363"/>
      <c r="CW66" s="363"/>
      <c r="CX66" s="363"/>
      <c r="CZ66" s="414"/>
      <c r="DA66" s="414"/>
      <c r="DB66" s="414"/>
      <c r="DC66" s="414"/>
      <c r="DD66" s="414"/>
      <c r="DE66" s="414"/>
      <c r="DF66" s="414"/>
      <c r="DG66" s="414"/>
      <c r="DI66" s="414">
        <f t="shared" si="22"/>
        <v>0</v>
      </c>
      <c r="DJ66" s="414"/>
      <c r="DK66" s="414"/>
      <c r="DL66" s="414"/>
      <c r="DM66" s="414"/>
      <c r="DN66" s="414"/>
      <c r="DO66" s="414"/>
      <c r="DP66" s="414"/>
      <c r="DQ66" s="414"/>
      <c r="DS66" s="414"/>
      <c r="DT66" s="414"/>
      <c r="DU66" s="414"/>
      <c r="DV66" s="414"/>
      <c r="DW66" s="414"/>
      <c r="DX66" s="414"/>
      <c r="DY66" s="414"/>
      <c r="DZ66" s="414"/>
      <c r="EB66" s="415">
        <f t="shared" si="5"/>
        <v>0</v>
      </c>
      <c r="EC66" s="415">
        <f t="shared" si="6"/>
        <v>0</v>
      </c>
      <c r="ED66" s="416">
        <f t="shared" si="23"/>
        <v>0</v>
      </c>
    </row>
    <row r="67" spans="1:134" hidden="1" x14ac:dyDescent="0.35">
      <c r="A67" s="17">
        <v>2099</v>
      </c>
      <c r="B67" s="4">
        <v>103214</v>
      </c>
      <c r="C67" s="4" t="s">
        <v>86</v>
      </c>
      <c r="D67" s="4" t="s">
        <v>87</v>
      </c>
      <c r="E67" s="15" t="s">
        <v>32</v>
      </c>
      <c r="F67" s="16" t="s">
        <v>27</v>
      </c>
      <c r="G67" s="215"/>
      <c r="H67" s="363">
        <v>0</v>
      </c>
      <c r="I67" s="410"/>
      <c r="J67" s="363">
        <v>0</v>
      </c>
      <c r="K67" s="363">
        <v>0</v>
      </c>
      <c r="L67" s="363">
        <v>27592.5</v>
      </c>
      <c r="M67" s="363">
        <v>2340</v>
      </c>
      <c r="N67" s="363">
        <v>0</v>
      </c>
      <c r="O67" s="363">
        <v>0</v>
      </c>
      <c r="P67" s="215">
        <f t="shared" si="7"/>
        <v>29932.5</v>
      </c>
      <c r="Q67" s="363">
        <f t="shared" si="8"/>
        <v>23946</v>
      </c>
      <c r="R67" s="410"/>
      <c r="S67" s="363">
        <v>0</v>
      </c>
      <c r="T67" s="363">
        <v>0</v>
      </c>
      <c r="U67" s="363">
        <v>26488.799999999999</v>
      </c>
      <c r="V67" s="363">
        <v>975</v>
      </c>
      <c r="W67" s="363">
        <v>74.578947368421055</v>
      </c>
      <c r="X67" s="363">
        <v>0</v>
      </c>
      <c r="Y67" s="363">
        <f t="shared" si="9"/>
        <v>27538.378947368419</v>
      </c>
      <c r="Z67" s="363">
        <f t="shared" si="10"/>
        <v>22030.703157894735</v>
      </c>
      <c r="AA67" s="410"/>
      <c r="AB67" s="411">
        <v>0</v>
      </c>
      <c r="AC67" s="411">
        <v>0</v>
      </c>
      <c r="AD67" s="411">
        <v>23807.747368421049</v>
      </c>
      <c r="AE67" s="411">
        <v>1591.5789473684208</v>
      </c>
      <c r="AF67" s="411">
        <v>21.739612188365648</v>
      </c>
      <c r="AG67" s="411">
        <v>0</v>
      </c>
      <c r="AH67" s="363">
        <f t="shared" si="11"/>
        <v>25421.065927977834</v>
      </c>
      <c r="AI67" s="411">
        <f t="shared" si="12"/>
        <v>20336.852742382267</v>
      </c>
      <c r="AJ67" s="410"/>
      <c r="AK67" s="411">
        <v>1008.1499999999999</v>
      </c>
      <c r="AL67" s="411">
        <v>1690.6499999999996</v>
      </c>
      <c r="AM67" s="411">
        <v>1097.0526315789473</v>
      </c>
      <c r="AN67" s="410"/>
      <c r="AO67" s="411">
        <f t="shared" si="13"/>
        <v>806.52</v>
      </c>
      <c r="AP67" s="411">
        <f t="shared" si="13"/>
        <v>1352.5199999999998</v>
      </c>
      <c r="AQ67" s="411">
        <f t="shared" si="13"/>
        <v>877.64210526315787</v>
      </c>
      <c r="AR67" s="412"/>
      <c r="AS67" s="412">
        <v>0</v>
      </c>
      <c r="AT67" s="413">
        <f t="shared" si="14"/>
        <v>0</v>
      </c>
      <c r="AU67" s="412"/>
      <c r="AV67" s="412">
        <v>0</v>
      </c>
      <c r="AW67" s="412">
        <v>0</v>
      </c>
      <c r="AX67" s="412">
        <v>28696.2</v>
      </c>
      <c r="AY67" s="412">
        <v>1170</v>
      </c>
      <c r="AZ67" s="412">
        <v>0</v>
      </c>
      <c r="BA67" s="412">
        <v>0</v>
      </c>
      <c r="BB67" s="412">
        <v>1762.8</v>
      </c>
      <c r="BC67" s="412">
        <f t="shared" si="15"/>
        <v>31629</v>
      </c>
      <c r="BE67" s="205">
        <f t="shared" si="27"/>
        <v>0</v>
      </c>
      <c r="BF67" s="205">
        <f t="shared" si="27"/>
        <v>0</v>
      </c>
      <c r="BG67" s="205">
        <f t="shared" si="27"/>
        <v>1103.7000000000007</v>
      </c>
      <c r="BH67" s="205">
        <f t="shared" si="27"/>
        <v>-1170</v>
      </c>
      <c r="BI67" s="205">
        <f t="shared" si="27"/>
        <v>0</v>
      </c>
      <c r="BJ67" s="205">
        <f t="shared" si="27"/>
        <v>0</v>
      </c>
      <c r="BK67" s="205">
        <f t="shared" si="17"/>
        <v>754.65000000000009</v>
      </c>
      <c r="BL67" s="205">
        <f t="shared" si="18"/>
        <v>688.35000000000082</v>
      </c>
      <c r="BM67" s="215">
        <f t="shared" si="19"/>
        <v>0</v>
      </c>
      <c r="BN67" s="215"/>
      <c r="BO67" s="412">
        <f t="shared" si="26"/>
        <v>0</v>
      </c>
      <c r="BP67" s="412">
        <f t="shared" si="26"/>
        <v>0</v>
      </c>
      <c r="BQ67" s="412">
        <f t="shared" si="26"/>
        <v>6622.2000000000007</v>
      </c>
      <c r="BR67" s="412">
        <f t="shared" si="26"/>
        <v>-702</v>
      </c>
      <c r="BS67" s="412">
        <f t="shared" si="26"/>
        <v>0</v>
      </c>
      <c r="BT67" s="412">
        <f t="shared" si="26"/>
        <v>0</v>
      </c>
      <c r="BU67" s="412">
        <f t="shared" si="25"/>
        <v>956.28</v>
      </c>
      <c r="BV67" s="412">
        <f t="shared" si="20"/>
        <v>6876.4800000000005</v>
      </c>
      <c r="BW67" s="412">
        <f t="shared" si="4"/>
        <v>0</v>
      </c>
      <c r="BX67" s="412"/>
      <c r="BY67" s="412">
        <f t="shared" si="21"/>
        <v>31629</v>
      </c>
      <c r="BZ67" s="412"/>
      <c r="CA67" s="412">
        <f>IFERROR(VLOOKUP(A67,'Actuals Summer'!A:S,19,FALSE),0)</f>
        <v>31629</v>
      </c>
      <c r="CC67" s="412"/>
      <c r="CD67" s="412"/>
      <c r="CE67" s="412"/>
      <c r="CF67" s="412"/>
      <c r="CG67" s="412"/>
      <c r="CH67" s="412"/>
      <c r="CI67" s="412"/>
      <c r="CJ67" s="412"/>
      <c r="CK67" s="412"/>
      <c r="CL67" s="412"/>
      <c r="CM67" s="412"/>
      <c r="CN67" s="412"/>
      <c r="CO67" s="412"/>
      <c r="CQ67" s="363"/>
      <c r="CR67" s="363"/>
      <c r="CS67" s="363"/>
      <c r="CT67" s="363"/>
      <c r="CU67" s="363"/>
      <c r="CV67" s="363"/>
      <c r="CW67" s="363"/>
      <c r="CX67" s="363"/>
      <c r="CZ67" s="414"/>
      <c r="DA67" s="414"/>
      <c r="DB67" s="414"/>
      <c r="DC67" s="414"/>
      <c r="DD67" s="414"/>
      <c r="DE67" s="414"/>
      <c r="DF67" s="414"/>
      <c r="DG67" s="414"/>
      <c r="DI67" s="414">
        <f t="shared" si="22"/>
        <v>0</v>
      </c>
      <c r="DJ67" s="414"/>
      <c r="DK67" s="414"/>
      <c r="DL67" s="414"/>
      <c r="DM67" s="414"/>
      <c r="DN67" s="414"/>
      <c r="DO67" s="414"/>
      <c r="DP67" s="414"/>
      <c r="DQ67" s="414"/>
      <c r="DS67" s="414"/>
      <c r="DT67" s="414"/>
      <c r="DU67" s="414"/>
      <c r="DV67" s="414"/>
      <c r="DW67" s="414"/>
      <c r="DX67" s="414"/>
      <c r="DY67" s="414"/>
      <c r="DZ67" s="414"/>
      <c r="EB67" s="415">
        <f t="shared" si="5"/>
        <v>76226.71800554017</v>
      </c>
      <c r="EC67" s="415">
        <f t="shared" si="6"/>
        <v>0</v>
      </c>
      <c r="ED67" s="416">
        <f t="shared" si="23"/>
        <v>76226.71800554017</v>
      </c>
    </row>
    <row r="68" spans="1:134" hidden="1" x14ac:dyDescent="0.35">
      <c r="A68" s="17">
        <v>1010</v>
      </c>
      <c r="B68" s="4">
        <v>103125</v>
      </c>
      <c r="C68" s="4" t="s">
        <v>88</v>
      </c>
      <c r="D68" s="4" t="s">
        <v>89</v>
      </c>
      <c r="E68" s="15" t="s">
        <v>26</v>
      </c>
      <c r="F68" s="16" t="s">
        <v>27</v>
      </c>
      <c r="G68" s="215"/>
      <c r="H68" s="363">
        <v>324329.85308246763</v>
      </c>
      <c r="I68" s="410"/>
      <c r="J68" s="363">
        <v>0</v>
      </c>
      <c r="K68" s="363">
        <v>81313.05</v>
      </c>
      <c r="L68" s="363">
        <v>157829.1</v>
      </c>
      <c r="M68" s="363">
        <v>7410</v>
      </c>
      <c r="N68" s="363">
        <v>745.78947368421052</v>
      </c>
      <c r="O68" s="363">
        <v>3529.8421052631579</v>
      </c>
      <c r="P68" s="215">
        <f t="shared" si="7"/>
        <v>250827.78157894738</v>
      </c>
      <c r="Q68" s="363">
        <f t="shared" si="8"/>
        <v>200662.22526315792</v>
      </c>
      <c r="R68" s="410"/>
      <c r="S68" s="363">
        <v>0</v>
      </c>
      <c r="T68" s="363">
        <v>101226.45</v>
      </c>
      <c r="U68" s="363">
        <v>94918.2</v>
      </c>
      <c r="V68" s="363">
        <v>4485</v>
      </c>
      <c r="W68" s="363">
        <v>1715.3157894736842</v>
      </c>
      <c r="X68" s="363">
        <v>2246.2631578947367</v>
      </c>
      <c r="Y68" s="363">
        <f t="shared" si="9"/>
        <v>204591.22894736842</v>
      </c>
      <c r="Z68" s="363">
        <f t="shared" si="10"/>
        <v>163672.98315789475</v>
      </c>
      <c r="AA68" s="410"/>
      <c r="AB68" s="411">
        <v>0</v>
      </c>
      <c r="AC68" s="411">
        <v>72558.947368421039</v>
      </c>
      <c r="AD68" s="411">
        <v>112604.2105263158</v>
      </c>
      <c r="AE68" s="411">
        <v>4888.4210526315783</v>
      </c>
      <c r="AF68" s="411">
        <v>1260.8975069252078</v>
      </c>
      <c r="AG68" s="411">
        <v>2151.4238227146816</v>
      </c>
      <c r="AH68" s="363">
        <f t="shared" si="11"/>
        <v>193463.90027700833</v>
      </c>
      <c r="AI68" s="411">
        <f t="shared" si="12"/>
        <v>154771.12022160666</v>
      </c>
      <c r="AJ68" s="410"/>
      <c r="AK68" s="411">
        <v>4578.5999999999995</v>
      </c>
      <c r="AL68" s="411">
        <v>3769.35</v>
      </c>
      <c r="AM68" s="411">
        <v>3229.2</v>
      </c>
      <c r="AN68" s="410"/>
      <c r="AO68" s="411">
        <f t="shared" si="13"/>
        <v>3662.8799999999997</v>
      </c>
      <c r="AP68" s="411">
        <f t="shared" si="13"/>
        <v>3015.48</v>
      </c>
      <c r="AQ68" s="411">
        <f t="shared" si="13"/>
        <v>2583.36</v>
      </c>
      <c r="AR68" s="412"/>
      <c r="AS68" s="412">
        <v>323709.00404121896</v>
      </c>
      <c r="AT68" s="413">
        <f t="shared" si="14"/>
        <v>-620.84904124867171</v>
      </c>
      <c r="AU68" s="412"/>
      <c r="AV68" s="412">
        <v>0</v>
      </c>
      <c r="AW68" s="412">
        <v>81313.05</v>
      </c>
      <c r="AX68" s="412">
        <v>171073.5</v>
      </c>
      <c r="AY68" s="412">
        <v>10725</v>
      </c>
      <c r="AZ68" s="412">
        <v>1342.421052631579</v>
      </c>
      <c r="BA68" s="412">
        <v>3529.79</v>
      </c>
      <c r="BB68" s="412">
        <v>4999.8</v>
      </c>
      <c r="BC68" s="412">
        <f t="shared" si="15"/>
        <v>596692.56509385048</v>
      </c>
      <c r="BE68" s="205">
        <f t="shared" si="27"/>
        <v>0</v>
      </c>
      <c r="BF68" s="205">
        <f t="shared" si="27"/>
        <v>0</v>
      </c>
      <c r="BG68" s="205">
        <f t="shared" si="27"/>
        <v>13244.399999999994</v>
      </c>
      <c r="BH68" s="205">
        <f t="shared" si="27"/>
        <v>3315</v>
      </c>
      <c r="BI68" s="205">
        <f t="shared" si="27"/>
        <v>596.63157894736844</v>
      </c>
      <c r="BJ68" s="205">
        <f t="shared" si="27"/>
        <v>-5.2105263157955051E-2</v>
      </c>
      <c r="BK68" s="205">
        <f t="shared" si="17"/>
        <v>421.20000000000073</v>
      </c>
      <c r="BL68" s="205">
        <f t="shared" si="18"/>
        <v>16956.330432435534</v>
      </c>
      <c r="BM68" s="215">
        <f t="shared" si="19"/>
        <v>0</v>
      </c>
      <c r="BN68" s="215"/>
      <c r="BO68" s="412">
        <f t="shared" si="26"/>
        <v>0</v>
      </c>
      <c r="BP68" s="412">
        <f t="shared" si="26"/>
        <v>16262.61</v>
      </c>
      <c r="BQ68" s="412">
        <f t="shared" si="26"/>
        <v>44810.219999999987</v>
      </c>
      <c r="BR68" s="412">
        <f t="shared" si="26"/>
        <v>4797</v>
      </c>
      <c r="BS68" s="412">
        <f t="shared" si="26"/>
        <v>745.78947368421052</v>
      </c>
      <c r="BT68" s="412">
        <f t="shared" si="26"/>
        <v>705.91631578947363</v>
      </c>
      <c r="BU68" s="412">
        <f t="shared" si="25"/>
        <v>1336.9200000000005</v>
      </c>
      <c r="BV68" s="412">
        <f t="shared" si="20"/>
        <v>68658.455789473679</v>
      </c>
      <c r="BW68" s="412">
        <f t="shared" si="4"/>
        <v>620.84904124878813</v>
      </c>
      <c r="BX68" s="412"/>
      <c r="BY68" s="412">
        <f t="shared" si="21"/>
        <v>272983.56105263159</v>
      </c>
      <c r="BZ68" s="412"/>
      <c r="CA68" s="412">
        <f>IFERROR(VLOOKUP(A68,'Actuals Summer'!A:S,19,FALSE),0)</f>
        <v>272983.56105263159</v>
      </c>
      <c r="CC68" s="412"/>
      <c r="CD68" s="412"/>
      <c r="CE68" s="412"/>
      <c r="CF68" s="412"/>
      <c r="CG68" s="412"/>
      <c r="CH68" s="412"/>
      <c r="CI68" s="412"/>
      <c r="CJ68" s="412"/>
      <c r="CK68" s="412"/>
      <c r="CL68" s="412"/>
      <c r="CM68" s="412"/>
      <c r="CN68" s="412"/>
      <c r="CO68" s="412"/>
      <c r="CQ68" s="363"/>
      <c r="CR68" s="363"/>
      <c r="CS68" s="363"/>
      <c r="CT68" s="363"/>
      <c r="CU68" s="363"/>
      <c r="CV68" s="363"/>
      <c r="CW68" s="363"/>
      <c r="CX68" s="363"/>
      <c r="CZ68" s="414"/>
      <c r="DA68" s="414"/>
      <c r="DB68" s="414"/>
      <c r="DC68" s="414"/>
      <c r="DD68" s="414"/>
      <c r="DE68" s="414"/>
      <c r="DF68" s="414"/>
      <c r="DG68" s="414"/>
      <c r="DI68" s="414">
        <f t="shared" si="22"/>
        <v>0</v>
      </c>
      <c r="DJ68" s="414"/>
      <c r="DK68" s="414"/>
      <c r="DL68" s="414"/>
      <c r="DM68" s="414"/>
      <c r="DN68" s="414"/>
      <c r="DO68" s="414"/>
      <c r="DP68" s="414"/>
      <c r="DQ68" s="414"/>
      <c r="DS68" s="414"/>
      <c r="DT68" s="414"/>
      <c r="DU68" s="414"/>
      <c r="DV68" s="414"/>
      <c r="DW68" s="414"/>
      <c r="DX68" s="414"/>
      <c r="DY68" s="414"/>
      <c r="DZ68" s="414"/>
      <c r="EB68" s="415">
        <f t="shared" si="5"/>
        <v>913687.56888886436</v>
      </c>
      <c r="EC68" s="415">
        <f t="shared" si="6"/>
        <v>7047.9395844875344</v>
      </c>
      <c r="ED68" s="416">
        <f t="shared" si="23"/>
        <v>920735.50847335195</v>
      </c>
    </row>
    <row r="69" spans="1:134" hidden="1" x14ac:dyDescent="0.35">
      <c r="A69" s="17">
        <v>1021</v>
      </c>
      <c r="B69" s="4">
        <v>103134</v>
      </c>
      <c r="C69" s="4" t="s">
        <v>90</v>
      </c>
      <c r="D69" s="4" t="s">
        <v>91</v>
      </c>
      <c r="E69" s="15" t="s">
        <v>26</v>
      </c>
      <c r="F69" s="16" t="s">
        <v>27</v>
      </c>
      <c r="G69" s="215"/>
      <c r="H69" s="363">
        <v>169657.91896945552</v>
      </c>
      <c r="I69" s="410"/>
      <c r="J69" s="363">
        <v>0</v>
      </c>
      <c r="K69" s="363">
        <v>24891.75</v>
      </c>
      <c r="L69" s="363">
        <v>72844.2</v>
      </c>
      <c r="M69" s="363">
        <v>2925</v>
      </c>
      <c r="N69" s="363">
        <v>1044.1052631578948</v>
      </c>
      <c r="O69" s="363">
        <v>0</v>
      </c>
      <c r="P69" s="215">
        <f t="shared" si="7"/>
        <v>101705.05526315789</v>
      </c>
      <c r="Q69" s="363">
        <f t="shared" si="8"/>
        <v>81364.044210526321</v>
      </c>
      <c r="R69" s="410"/>
      <c r="S69" s="363">
        <v>0</v>
      </c>
      <c r="T69" s="363">
        <v>26551.200000000001</v>
      </c>
      <c r="U69" s="363">
        <v>46355.4</v>
      </c>
      <c r="V69" s="363">
        <v>3900</v>
      </c>
      <c r="W69" s="363">
        <v>1491.578947368421</v>
      </c>
      <c r="X69" s="363">
        <v>0</v>
      </c>
      <c r="Y69" s="363">
        <f t="shared" si="9"/>
        <v>78298.178947368433</v>
      </c>
      <c r="Z69" s="363">
        <f t="shared" si="10"/>
        <v>62638.543157894746</v>
      </c>
      <c r="AA69" s="410"/>
      <c r="AB69" s="411">
        <v>0</v>
      </c>
      <c r="AC69" s="411">
        <v>20800.231578947365</v>
      </c>
      <c r="AD69" s="411">
        <v>52119.663157894734</v>
      </c>
      <c r="AE69" s="411">
        <v>2785.2631578947367</v>
      </c>
      <c r="AF69" s="411">
        <v>1021.7617728531856</v>
      </c>
      <c r="AG69" s="411">
        <v>0</v>
      </c>
      <c r="AH69" s="363">
        <f t="shared" si="11"/>
        <v>76726.919667590031</v>
      </c>
      <c r="AI69" s="411">
        <f t="shared" si="12"/>
        <v>61381.535734072029</v>
      </c>
      <c r="AJ69" s="410"/>
      <c r="AK69" s="411">
        <v>1581.45</v>
      </c>
      <c r="AL69" s="411">
        <v>1064.6999999999998</v>
      </c>
      <c r="AM69" s="411">
        <v>1026</v>
      </c>
      <c r="AN69" s="410"/>
      <c r="AO69" s="411">
        <f t="shared" si="13"/>
        <v>1265.1600000000001</v>
      </c>
      <c r="AP69" s="411">
        <f t="shared" si="13"/>
        <v>851.75999999999988</v>
      </c>
      <c r="AQ69" s="411">
        <f t="shared" si="13"/>
        <v>820.80000000000007</v>
      </c>
      <c r="AR69" s="412"/>
      <c r="AS69" s="412">
        <v>167482.84731217069</v>
      </c>
      <c r="AT69" s="413">
        <f t="shared" si="14"/>
        <v>-2175.0716572848323</v>
      </c>
      <c r="AU69" s="412"/>
      <c r="AV69" s="412">
        <v>0</v>
      </c>
      <c r="AW69" s="412">
        <v>24891.75</v>
      </c>
      <c r="AX69" s="412">
        <v>58496.1</v>
      </c>
      <c r="AY69" s="412">
        <v>6435</v>
      </c>
      <c r="AZ69" s="412">
        <v>2386.5263157894738</v>
      </c>
      <c r="BA69" s="412">
        <v>0</v>
      </c>
      <c r="BB69" s="412">
        <v>1911</v>
      </c>
      <c r="BC69" s="412">
        <f t="shared" si="15"/>
        <v>261603.22362796019</v>
      </c>
      <c r="BE69" s="205">
        <f t="shared" si="27"/>
        <v>0</v>
      </c>
      <c r="BF69" s="205">
        <f t="shared" si="27"/>
        <v>0</v>
      </c>
      <c r="BG69" s="205">
        <f t="shared" si="27"/>
        <v>-14348.099999999999</v>
      </c>
      <c r="BH69" s="205">
        <f t="shared" si="27"/>
        <v>3510</v>
      </c>
      <c r="BI69" s="205">
        <f t="shared" si="27"/>
        <v>1342.421052631579</v>
      </c>
      <c r="BJ69" s="205">
        <f t="shared" si="27"/>
        <v>0</v>
      </c>
      <c r="BK69" s="205">
        <f t="shared" si="17"/>
        <v>329.54999999999995</v>
      </c>
      <c r="BL69" s="205">
        <f t="shared" si="18"/>
        <v>-11341.200604653253</v>
      </c>
      <c r="BM69" s="215">
        <f t="shared" si="19"/>
        <v>0</v>
      </c>
      <c r="BN69" s="215"/>
      <c r="BO69" s="412">
        <f t="shared" si="26"/>
        <v>0</v>
      </c>
      <c r="BP69" s="412">
        <f t="shared" si="26"/>
        <v>4978.3499999999985</v>
      </c>
      <c r="BQ69" s="412">
        <f t="shared" si="26"/>
        <v>220.73999999999796</v>
      </c>
      <c r="BR69" s="412">
        <f t="shared" si="26"/>
        <v>4095</v>
      </c>
      <c r="BS69" s="412">
        <f t="shared" si="26"/>
        <v>1551.242105263158</v>
      </c>
      <c r="BT69" s="412">
        <f t="shared" si="26"/>
        <v>0</v>
      </c>
      <c r="BU69" s="412">
        <f t="shared" si="25"/>
        <v>645.83999999999992</v>
      </c>
      <c r="BV69" s="412">
        <f t="shared" si="20"/>
        <v>11491.172105263155</v>
      </c>
      <c r="BW69" s="412">
        <f t="shared" si="4"/>
        <v>2175.0716572848323</v>
      </c>
      <c r="BX69" s="412"/>
      <c r="BY69" s="412">
        <f t="shared" si="21"/>
        <v>94120.376315789472</v>
      </c>
      <c r="BZ69" s="412"/>
      <c r="CA69" s="412">
        <f>IFERROR(VLOOKUP(A69,'Actuals Summer'!A:S,19,FALSE),0)</f>
        <v>94120.376315789486</v>
      </c>
      <c r="CC69" s="412"/>
      <c r="CD69" s="412"/>
      <c r="CE69" s="412"/>
      <c r="CF69" s="412"/>
      <c r="CG69" s="412"/>
      <c r="CH69" s="412"/>
      <c r="CI69" s="412"/>
      <c r="CJ69" s="412"/>
      <c r="CK69" s="412"/>
      <c r="CL69" s="412"/>
      <c r="CM69" s="412"/>
      <c r="CN69" s="412"/>
      <c r="CO69" s="412"/>
      <c r="CQ69" s="363"/>
      <c r="CR69" s="363"/>
      <c r="CS69" s="363"/>
      <c r="CT69" s="363"/>
      <c r="CU69" s="363"/>
      <c r="CV69" s="363"/>
      <c r="CW69" s="363"/>
      <c r="CX69" s="363"/>
      <c r="CZ69" s="414"/>
      <c r="DA69" s="414"/>
      <c r="DB69" s="414"/>
      <c r="DC69" s="414"/>
      <c r="DD69" s="414"/>
      <c r="DE69" s="414"/>
      <c r="DF69" s="414"/>
      <c r="DG69" s="414"/>
      <c r="DI69" s="414">
        <f t="shared" si="22"/>
        <v>0</v>
      </c>
      <c r="DJ69" s="414"/>
      <c r="DK69" s="414"/>
      <c r="DL69" s="414"/>
      <c r="DM69" s="414"/>
      <c r="DN69" s="414"/>
      <c r="DO69" s="414"/>
      <c r="DP69" s="414"/>
      <c r="DQ69" s="414"/>
      <c r="DS69" s="414"/>
      <c r="DT69" s="414"/>
      <c r="DU69" s="414"/>
      <c r="DV69" s="414"/>
      <c r="DW69" s="414"/>
      <c r="DX69" s="414"/>
      <c r="DY69" s="414"/>
      <c r="DZ69" s="414"/>
      <c r="EB69" s="415">
        <f t="shared" si="5"/>
        <v>387295.86251992692</v>
      </c>
      <c r="EC69" s="415">
        <f t="shared" si="6"/>
        <v>0</v>
      </c>
      <c r="ED69" s="416">
        <f t="shared" si="23"/>
        <v>387295.86251992692</v>
      </c>
    </row>
    <row r="70" spans="1:134" hidden="1" x14ac:dyDescent="0.35">
      <c r="A70" s="17">
        <v>4201</v>
      </c>
      <c r="B70" s="4">
        <v>103503</v>
      </c>
      <c r="C70" s="4" t="s">
        <v>950</v>
      </c>
      <c r="D70" s="4" t="s">
        <v>951</v>
      </c>
      <c r="E70" s="15" t="s">
        <v>904</v>
      </c>
      <c r="F70" s="16" t="s">
        <v>27</v>
      </c>
      <c r="G70" s="215"/>
      <c r="H70" s="363">
        <v>0</v>
      </c>
      <c r="I70" s="410"/>
      <c r="J70" s="363">
        <v>0</v>
      </c>
      <c r="K70" s="363">
        <v>0</v>
      </c>
      <c r="L70" s="363">
        <v>0</v>
      </c>
      <c r="M70" s="363">
        <v>0</v>
      </c>
      <c r="N70" s="363">
        <v>0</v>
      </c>
      <c r="O70" s="363">
        <v>0</v>
      </c>
      <c r="P70" s="215">
        <f t="shared" si="7"/>
        <v>0</v>
      </c>
      <c r="Q70" s="363">
        <f t="shared" si="8"/>
        <v>0</v>
      </c>
      <c r="R70" s="410"/>
      <c r="S70" s="363">
        <v>0</v>
      </c>
      <c r="T70" s="363">
        <v>0</v>
      </c>
      <c r="U70" s="363">
        <v>0</v>
      </c>
      <c r="V70" s="363">
        <v>0</v>
      </c>
      <c r="W70" s="363">
        <v>0</v>
      </c>
      <c r="X70" s="363">
        <v>0</v>
      </c>
      <c r="Y70" s="363">
        <f t="shared" si="9"/>
        <v>0</v>
      </c>
      <c r="Z70" s="363">
        <f t="shared" si="10"/>
        <v>0</v>
      </c>
      <c r="AA70" s="410"/>
      <c r="AB70" s="411">
        <v>0</v>
      </c>
      <c r="AC70" s="411">
        <v>0</v>
      </c>
      <c r="AD70" s="411">
        <v>0</v>
      </c>
      <c r="AE70" s="411">
        <v>0</v>
      </c>
      <c r="AF70" s="411">
        <v>0</v>
      </c>
      <c r="AG70" s="411">
        <v>0</v>
      </c>
      <c r="AH70" s="363">
        <f t="shared" si="11"/>
        <v>0</v>
      </c>
      <c r="AI70" s="411">
        <f t="shared" si="12"/>
        <v>0</v>
      </c>
      <c r="AJ70" s="410"/>
      <c r="AK70" s="411">
        <v>0</v>
      </c>
      <c r="AL70" s="411">
        <v>0</v>
      </c>
      <c r="AM70" s="411">
        <v>0</v>
      </c>
      <c r="AN70" s="410"/>
      <c r="AO70" s="411">
        <f t="shared" si="13"/>
        <v>0</v>
      </c>
      <c r="AP70" s="411">
        <f t="shared" si="13"/>
        <v>0</v>
      </c>
      <c r="AQ70" s="411">
        <f t="shared" si="13"/>
        <v>0</v>
      </c>
      <c r="AR70" s="412"/>
      <c r="AS70" s="412">
        <v>0</v>
      </c>
      <c r="AT70" s="413">
        <f t="shared" si="14"/>
        <v>0</v>
      </c>
      <c r="AU70" s="412"/>
      <c r="AV70" s="412">
        <v>0</v>
      </c>
      <c r="AW70" s="412">
        <v>0</v>
      </c>
      <c r="AX70" s="412">
        <v>0</v>
      </c>
      <c r="AY70" s="412">
        <v>0</v>
      </c>
      <c r="AZ70" s="412">
        <v>0</v>
      </c>
      <c r="BA70" s="412">
        <v>0</v>
      </c>
      <c r="BB70" s="412">
        <v>0</v>
      </c>
      <c r="BC70" s="412">
        <f t="shared" si="15"/>
        <v>0</v>
      </c>
      <c r="BE70" s="205">
        <f t="shared" si="27"/>
        <v>0</v>
      </c>
      <c r="BF70" s="205">
        <f t="shared" si="27"/>
        <v>0</v>
      </c>
      <c r="BG70" s="205">
        <f t="shared" si="27"/>
        <v>0</v>
      </c>
      <c r="BH70" s="205">
        <f t="shared" si="27"/>
        <v>0</v>
      </c>
      <c r="BI70" s="205">
        <f t="shared" si="27"/>
        <v>0</v>
      </c>
      <c r="BJ70" s="205">
        <f t="shared" si="27"/>
        <v>0</v>
      </c>
      <c r="BK70" s="205">
        <f t="shared" si="17"/>
        <v>0</v>
      </c>
      <c r="BL70" s="205">
        <f t="shared" si="18"/>
        <v>0</v>
      </c>
      <c r="BM70" s="215">
        <f t="shared" si="19"/>
        <v>0</v>
      </c>
      <c r="BN70" s="215"/>
      <c r="BO70" s="412">
        <f t="shared" si="26"/>
        <v>0</v>
      </c>
      <c r="BP70" s="412">
        <f t="shared" si="26"/>
        <v>0</v>
      </c>
      <c r="BQ70" s="412">
        <f t="shared" si="26"/>
        <v>0</v>
      </c>
      <c r="BR70" s="412">
        <f t="shared" si="26"/>
        <v>0</v>
      </c>
      <c r="BS70" s="412">
        <f t="shared" si="26"/>
        <v>0</v>
      </c>
      <c r="BT70" s="412">
        <f t="shared" si="26"/>
        <v>0</v>
      </c>
      <c r="BU70" s="412">
        <f t="shared" si="25"/>
        <v>0</v>
      </c>
      <c r="BV70" s="412">
        <f t="shared" si="20"/>
        <v>0</v>
      </c>
      <c r="BW70" s="412">
        <f t="shared" si="4"/>
        <v>0</v>
      </c>
      <c r="BX70" s="412"/>
      <c r="BY70" s="412">
        <f t="shared" si="21"/>
        <v>0</v>
      </c>
      <c r="BZ70" s="412"/>
      <c r="CA70" s="412">
        <f>IFERROR(VLOOKUP(A70,'Actuals Summer'!A:S,19,FALSE),0)</f>
        <v>0</v>
      </c>
      <c r="CC70" s="412"/>
      <c r="CD70" s="412"/>
      <c r="CE70" s="412"/>
      <c r="CF70" s="412"/>
      <c r="CG70" s="412"/>
      <c r="CH70" s="412"/>
      <c r="CI70" s="412"/>
      <c r="CJ70" s="412"/>
      <c r="CK70" s="412"/>
      <c r="CL70" s="412"/>
      <c r="CM70" s="412"/>
      <c r="CN70" s="412"/>
      <c r="CO70" s="412"/>
      <c r="CQ70" s="363"/>
      <c r="CR70" s="363"/>
      <c r="CS70" s="363"/>
      <c r="CT70" s="363"/>
      <c r="CU70" s="363"/>
      <c r="CV70" s="363"/>
      <c r="CW70" s="363"/>
      <c r="CX70" s="363"/>
      <c r="CZ70" s="414"/>
      <c r="DA70" s="414"/>
      <c r="DB70" s="414"/>
      <c r="DC70" s="414"/>
      <c r="DD70" s="414"/>
      <c r="DE70" s="414"/>
      <c r="DF70" s="414"/>
      <c r="DG70" s="414"/>
      <c r="DI70" s="414">
        <f t="shared" si="22"/>
        <v>0</v>
      </c>
      <c r="DJ70" s="414"/>
      <c r="DK70" s="414"/>
      <c r="DL70" s="414"/>
      <c r="DM70" s="414"/>
      <c r="DN70" s="414"/>
      <c r="DO70" s="414"/>
      <c r="DP70" s="414"/>
      <c r="DQ70" s="414"/>
      <c r="DS70" s="414"/>
      <c r="DT70" s="414"/>
      <c r="DU70" s="414"/>
      <c r="DV70" s="414"/>
      <c r="DW70" s="414"/>
      <c r="DX70" s="414"/>
      <c r="DY70" s="414"/>
      <c r="DZ70" s="414"/>
      <c r="EB70" s="415">
        <f t="shared" si="5"/>
        <v>0</v>
      </c>
      <c r="EC70" s="415">
        <f t="shared" si="6"/>
        <v>0</v>
      </c>
      <c r="ED70" s="416">
        <f t="shared" si="23"/>
        <v>0</v>
      </c>
    </row>
    <row r="71" spans="1:134" hidden="1" x14ac:dyDescent="0.35">
      <c r="A71" s="17">
        <v>4015</v>
      </c>
      <c r="B71" s="4">
        <v>103483</v>
      </c>
      <c r="C71" s="4" t="s">
        <v>952</v>
      </c>
      <c r="D71" s="4" t="s">
        <v>953</v>
      </c>
      <c r="E71" s="15" t="s">
        <v>904</v>
      </c>
      <c r="F71" s="16" t="s">
        <v>27</v>
      </c>
      <c r="G71" s="215"/>
      <c r="H71" s="363">
        <v>0</v>
      </c>
      <c r="I71" s="410"/>
      <c r="J71" s="363">
        <v>0</v>
      </c>
      <c r="K71" s="363">
        <v>0</v>
      </c>
      <c r="L71" s="363">
        <v>0</v>
      </c>
      <c r="M71" s="363">
        <v>0</v>
      </c>
      <c r="N71" s="363">
        <v>0</v>
      </c>
      <c r="O71" s="363">
        <v>0</v>
      </c>
      <c r="P71" s="215">
        <f t="shared" si="7"/>
        <v>0</v>
      </c>
      <c r="Q71" s="363">
        <f t="shared" si="8"/>
        <v>0</v>
      </c>
      <c r="R71" s="410"/>
      <c r="S71" s="363">
        <v>0</v>
      </c>
      <c r="T71" s="363">
        <v>0</v>
      </c>
      <c r="U71" s="363">
        <v>0</v>
      </c>
      <c r="V71" s="363">
        <v>0</v>
      </c>
      <c r="W71" s="363">
        <v>0</v>
      </c>
      <c r="X71" s="363">
        <v>0</v>
      </c>
      <c r="Y71" s="363">
        <f t="shared" si="9"/>
        <v>0</v>
      </c>
      <c r="Z71" s="363">
        <f t="shared" si="10"/>
        <v>0</v>
      </c>
      <c r="AA71" s="410"/>
      <c r="AB71" s="411">
        <v>0</v>
      </c>
      <c r="AC71" s="411">
        <v>0</v>
      </c>
      <c r="AD71" s="411">
        <v>0</v>
      </c>
      <c r="AE71" s="411">
        <v>0</v>
      </c>
      <c r="AF71" s="411">
        <v>0</v>
      </c>
      <c r="AG71" s="411">
        <v>0</v>
      </c>
      <c r="AH71" s="363">
        <f t="shared" si="11"/>
        <v>0</v>
      </c>
      <c r="AI71" s="411">
        <f t="shared" si="12"/>
        <v>0</v>
      </c>
      <c r="AJ71" s="410"/>
      <c r="AK71" s="411">
        <v>0</v>
      </c>
      <c r="AL71" s="411">
        <v>0</v>
      </c>
      <c r="AM71" s="411">
        <v>0</v>
      </c>
      <c r="AN71" s="410"/>
      <c r="AO71" s="411">
        <f t="shared" si="13"/>
        <v>0</v>
      </c>
      <c r="AP71" s="411">
        <f t="shared" si="13"/>
        <v>0</v>
      </c>
      <c r="AQ71" s="411">
        <f t="shared" si="13"/>
        <v>0</v>
      </c>
      <c r="AR71" s="412"/>
      <c r="AS71" s="412">
        <v>0</v>
      </c>
      <c r="AT71" s="413">
        <f t="shared" si="14"/>
        <v>0</v>
      </c>
      <c r="AU71" s="412"/>
      <c r="AV71" s="412">
        <v>0</v>
      </c>
      <c r="AW71" s="412">
        <v>0</v>
      </c>
      <c r="AX71" s="412">
        <v>0</v>
      </c>
      <c r="AY71" s="412">
        <v>0</v>
      </c>
      <c r="AZ71" s="412">
        <v>0</v>
      </c>
      <c r="BA71" s="412">
        <v>0</v>
      </c>
      <c r="BB71" s="412">
        <v>0</v>
      </c>
      <c r="BC71" s="412">
        <f t="shared" si="15"/>
        <v>0</v>
      </c>
      <c r="BE71" s="205">
        <f t="shared" si="27"/>
        <v>0</v>
      </c>
      <c r="BF71" s="205">
        <f t="shared" si="27"/>
        <v>0</v>
      </c>
      <c r="BG71" s="205">
        <f t="shared" si="27"/>
        <v>0</v>
      </c>
      <c r="BH71" s="205">
        <f t="shared" si="27"/>
        <v>0</v>
      </c>
      <c r="BI71" s="205">
        <f t="shared" si="27"/>
        <v>0</v>
      </c>
      <c r="BJ71" s="205">
        <f t="shared" si="27"/>
        <v>0</v>
      </c>
      <c r="BK71" s="205">
        <f t="shared" si="17"/>
        <v>0</v>
      </c>
      <c r="BL71" s="205">
        <f t="shared" si="18"/>
        <v>0</v>
      </c>
      <c r="BM71" s="215">
        <f t="shared" si="19"/>
        <v>0</v>
      </c>
      <c r="BN71" s="215"/>
      <c r="BO71" s="412">
        <f t="shared" si="26"/>
        <v>0</v>
      </c>
      <c r="BP71" s="412">
        <f t="shared" si="26"/>
        <v>0</v>
      </c>
      <c r="BQ71" s="412">
        <f t="shared" si="26"/>
        <v>0</v>
      </c>
      <c r="BR71" s="412">
        <f t="shared" si="26"/>
        <v>0</v>
      </c>
      <c r="BS71" s="412">
        <f t="shared" si="26"/>
        <v>0</v>
      </c>
      <c r="BT71" s="412">
        <f t="shared" si="26"/>
        <v>0</v>
      </c>
      <c r="BU71" s="412">
        <f t="shared" si="25"/>
        <v>0</v>
      </c>
      <c r="BV71" s="412">
        <f t="shared" si="20"/>
        <v>0</v>
      </c>
      <c r="BW71" s="412">
        <f t="shared" si="4"/>
        <v>0</v>
      </c>
      <c r="BX71" s="412"/>
      <c r="BY71" s="412">
        <f t="shared" si="21"/>
        <v>0</v>
      </c>
      <c r="BZ71" s="412"/>
      <c r="CA71" s="412">
        <f>IFERROR(VLOOKUP(A71,'Actuals Summer'!A:S,19,FALSE),0)</f>
        <v>0</v>
      </c>
      <c r="CC71" s="412"/>
      <c r="CD71" s="412"/>
      <c r="CE71" s="412"/>
      <c r="CF71" s="412"/>
      <c r="CG71" s="412"/>
      <c r="CH71" s="412"/>
      <c r="CI71" s="412"/>
      <c r="CJ71" s="412"/>
      <c r="CK71" s="412"/>
      <c r="CL71" s="412"/>
      <c r="CM71" s="412"/>
      <c r="CN71" s="412"/>
      <c r="CO71" s="412"/>
      <c r="CQ71" s="363"/>
      <c r="CR71" s="363"/>
      <c r="CS71" s="363"/>
      <c r="CT71" s="363"/>
      <c r="CU71" s="363"/>
      <c r="CV71" s="363"/>
      <c r="CW71" s="363"/>
      <c r="CX71" s="363"/>
      <c r="CZ71" s="414"/>
      <c r="DA71" s="414"/>
      <c r="DB71" s="414"/>
      <c r="DC71" s="414"/>
      <c r="DD71" s="414"/>
      <c r="DE71" s="414"/>
      <c r="DF71" s="414"/>
      <c r="DG71" s="414"/>
      <c r="DI71" s="414">
        <f t="shared" si="22"/>
        <v>0</v>
      </c>
      <c r="DJ71" s="414"/>
      <c r="DK71" s="414"/>
      <c r="DL71" s="414"/>
      <c r="DM71" s="414"/>
      <c r="DN71" s="414"/>
      <c r="DO71" s="414"/>
      <c r="DP71" s="414"/>
      <c r="DQ71" s="414"/>
      <c r="DS71" s="414"/>
      <c r="DT71" s="414"/>
      <c r="DU71" s="414"/>
      <c r="DV71" s="414"/>
      <c r="DW71" s="414"/>
      <c r="DX71" s="414"/>
      <c r="DY71" s="414"/>
      <c r="DZ71" s="414"/>
      <c r="EB71" s="415">
        <f t="shared" si="5"/>
        <v>0</v>
      </c>
      <c r="EC71" s="415">
        <f t="shared" si="6"/>
        <v>0</v>
      </c>
      <c r="ED71" s="416">
        <f t="shared" si="23"/>
        <v>0</v>
      </c>
    </row>
    <row r="72" spans="1:134" hidden="1" x14ac:dyDescent="0.35">
      <c r="A72" s="17">
        <v>3411</v>
      </c>
      <c r="B72" s="4">
        <v>103479</v>
      </c>
      <c r="C72" s="4" t="s">
        <v>92</v>
      </c>
      <c r="D72" s="4" t="s">
        <v>93</v>
      </c>
      <c r="E72" s="15" t="s">
        <v>32</v>
      </c>
      <c r="F72" s="16" t="s">
        <v>27</v>
      </c>
      <c r="G72" s="215"/>
      <c r="H72" s="363">
        <v>0</v>
      </c>
      <c r="I72" s="410"/>
      <c r="J72" s="363">
        <v>0</v>
      </c>
      <c r="K72" s="363">
        <v>0</v>
      </c>
      <c r="L72" s="363">
        <v>41940.6</v>
      </c>
      <c r="M72" s="363">
        <v>5070</v>
      </c>
      <c r="N72" s="363">
        <v>1939.0526315789475</v>
      </c>
      <c r="O72" s="363">
        <v>0</v>
      </c>
      <c r="P72" s="215">
        <f t="shared" si="7"/>
        <v>48949.652631578945</v>
      </c>
      <c r="Q72" s="363">
        <f t="shared" si="8"/>
        <v>39159.722105263158</v>
      </c>
      <c r="R72" s="410"/>
      <c r="S72" s="363">
        <v>0</v>
      </c>
      <c r="T72" s="363">
        <v>0</v>
      </c>
      <c r="U72" s="363">
        <v>40836.9</v>
      </c>
      <c r="V72" s="363">
        <v>4290</v>
      </c>
      <c r="W72" s="363">
        <v>1566.1578947368421</v>
      </c>
      <c r="X72" s="363">
        <v>0</v>
      </c>
      <c r="Y72" s="363">
        <f t="shared" si="9"/>
        <v>46693.057894736841</v>
      </c>
      <c r="Z72" s="363">
        <f t="shared" si="10"/>
        <v>37354.446315789472</v>
      </c>
      <c r="AA72" s="410"/>
      <c r="AB72" s="411">
        <v>0</v>
      </c>
      <c r="AC72" s="411">
        <v>0</v>
      </c>
      <c r="AD72" s="411">
        <v>35068.168421052636</v>
      </c>
      <c r="AE72" s="411">
        <v>4035.7894736842109</v>
      </c>
      <c r="AF72" s="411">
        <v>1521.7728531855955</v>
      </c>
      <c r="AG72" s="411">
        <v>0</v>
      </c>
      <c r="AH72" s="363">
        <f t="shared" si="11"/>
        <v>40625.730747922447</v>
      </c>
      <c r="AI72" s="411">
        <f t="shared" si="12"/>
        <v>32500.584598337959</v>
      </c>
      <c r="AJ72" s="410"/>
      <c r="AK72" s="411">
        <v>4188.5999999999995</v>
      </c>
      <c r="AL72" s="411">
        <v>3500.25</v>
      </c>
      <c r="AM72" s="411">
        <v>3341.7473684210522</v>
      </c>
      <c r="AN72" s="410"/>
      <c r="AO72" s="411">
        <f t="shared" si="13"/>
        <v>3350.8799999999997</v>
      </c>
      <c r="AP72" s="411">
        <f t="shared" si="13"/>
        <v>2800.2000000000003</v>
      </c>
      <c r="AQ72" s="411">
        <f t="shared" si="13"/>
        <v>2673.3978947368419</v>
      </c>
      <c r="AR72" s="412"/>
      <c r="AS72" s="412">
        <v>0</v>
      </c>
      <c r="AT72" s="413">
        <f t="shared" si="14"/>
        <v>0</v>
      </c>
      <c r="AU72" s="412"/>
      <c r="AV72" s="412">
        <v>0</v>
      </c>
      <c r="AW72" s="412">
        <v>0</v>
      </c>
      <c r="AX72" s="412">
        <v>54081.3</v>
      </c>
      <c r="AY72" s="412">
        <v>6240</v>
      </c>
      <c r="AZ72" s="412">
        <v>2311.9473684210525</v>
      </c>
      <c r="BA72" s="412">
        <v>0</v>
      </c>
      <c r="BB72" s="412">
        <v>4270.5</v>
      </c>
      <c r="BC72" s="412">
        <f t="shared" si="15"/>
        <v>66903.747368421056</v>
      </c>
      <c r="BE72" s="205">
        <f t="shared" si="27"/>
        <v>0</v>
      </c>
      <c r="BF72" s="205">
        <f t="shared" si="27"/>
        <v>0</v>
      </c>
      <c r="BG72" s="205">
        <f t="shared" si="27"/>
        <v>12140.700000000004</v>
      </c>
      <c r="BH72" s="205">
        <f t="shared" si="27"/>
        <v>1170</v>
      </c>
      <c r="BI72" s="205">
        <f t="shared" si="27"/>
        <v>372.89473684210498</v>
      </c>
      <c r="BJ72" s="205">
        <f t="shared" si="27"/>
        <v>0</v>
      </c>
      <c r="BK72" s="205">
        <f t="shared" si="17"/>
        <v>81.900000000000546</v>
      </c>
      <c r="BL72" s="205">
        <f t="shared" si="18"/>
        <v>13765.494736842109</v>
      </c>
      <c r="BM72" s="215">
        <f t="shared" si="19"/>
        <v>0</v>
      </c>
      <c r="BN72" s="215"/>
      <c r="BO72" s="412">
        <f t="shared" si="26"/>
        <v>0</v>
      </c>
      <c r="BP72" s="412">
        <f t="shared" si="26"/>
        <v>0</v>
      </c>
      <c r="BQ72" s="412">
        <f t="shared" si="26"/>
        <v>20528.82</v>
      </c>
      <c r="BR72" s="412">
        <f t="shared" si="26"/>
        <v>2184</v>
      </c>
      <c r="BS72" s="412">
        <f t="shared" si="26"/>
        <v>760.70526315789448</v>
      </c>
      <c r="BT72" s="412">
        <f t="shared" si="26"/>
        <v>0</v>
      </c>
      <c r="BU72" s="412">
        <f t="shared" si="25"/>
        <v>919.62000000000035</v>
      </c>
      <c r="BV72" s="412">
        <f t="shared" si="20"/>
        <v>24393.145263157894</v>
      </c>
      <c r="BW72" s="412">
        <f t="shared" ref="BW72:BW135" si="28">(Q72+AO72+AS72+BV72)-BC72-AT72</f>
        <v>0</v>
      </c>
      <c r="BX72" s="412"/>
      <c r="BY72" s="412">
        <f t="shared" si="21"/>
        <v>66903.747368421056</v>
      </c>
      <c r="BZ72" s="412"/>
      <c r="CA72" s="412">
        <f>IFERROR(VLOOKUP(A72,'Actuals Summer'!A:S,19,FALSE),0)</f>
        <v>66903.747368421056</v>
      </c>
      <c r="CC72" s="412"/>
      <c r="CD72" s="412"/>
      <c r="CE72" s="412"/>
      <c r="CF72" s="412"/>
      <c r="CG72" s="412"/>
      <c r="CH72" s="412"/>
      <c r="CI72" s="412"/>
      <c r="CJ72" s="412"/>
      <c r="CK72" s="412"/>
      <c r="CL72" s="412"/>
      <c r="CM72" s="412"/>
      <c r="CN72" s="412"/>
      <c r="CO72" s="412"/>
      <c r="CQ72" s="363"/>
      <c r="CR72" s="363"/>
      <c r="CS72" s="363"/>
      <c r="CT72" s="363"/>
      <c r="CU72" s="363"/>
      <c r="CV72" s="363"/>
      <c r="CW72" s="363"/>
      <c r="CX72" s="363"/>
      <c r="CZ72" s="414"/>
      <c r="DA72" s="414"/>
      <c r="DB72" s="414"/>
      <c r="DC72" s="414"/>
      <c r="DD72" s="414"/>
      <c r="DE72" s="414"/>
      <c r="DF72" s="414"/>
      <c r="DG72" s="414"/>
      <c r="DI72" s="414">
        <f t="shared" si="22"/>
        <v>0</v>
      </c>
      <c r="DJ72" s="414"/>
      <c r="DK72" s="414"/>
      <c r="DL72" s="414"/>
      <c r="DM72" s="414"/>
      <c r="DN72" s="414"/>
      <c r="DO72" s="414"/>
      <c r="DP72" s="414"/>
      <c r="DQ72" s="414"/>
      <c r="DS72" s="414"/>
      <c r="DT72" s="414"/>
      <c r="DU72" s="414"/>
      <c r="DV72" s="414"/>
      <c r="DW72" s="414"/>
      <c r="DX72" s="414"/>
      <c r="DY72" s="414"/>
      <c r="DZ72" s="414"/>
      <c r="EB72" s="415">
        <f t="shared" ref="EB72:EB135" si="29">((SUMIFS($J72:$AQ72,$J$3:$AQ$3,$EB$7)*80%))+SUMIFS($AS72:$AT72,$AS$3:$AT$3,$EB$7)+SUMIFS($AV72:$BC72,$AV$3:$BC$3,$EB$7)</f>
        <v>142232.37617728533</v>
      </c>
      <c r="EC72" s="415">
        <f t="shared" ref="EC72:EC135" si="30">(SUMIFS($J72:$AQ72,$J$3:$AQ$3,$EC$7)*80%)+SUMIFS($AV72:$BC72,$AV$3:$BC$3,$EC$7)</f>
        <v>0</v>
      </c>
      <c r="ED72" s="416">
        <f t="shared" si="23"/>
        <v>142232.37617728533</v>
      </c>
    </row>
    <row r="73" spans="1:134" hidden="1" x14ac:dyDescent="0.35">
      <c r="A73" s="17">
        <v>4223</v>
      </c>
      <c r="B73" s="4">
        <v>103509</v>
      </c>
      <c r="C73" s="4" t="s">
        <v>954</v>
      </c>
      <c r="D73" s="4" t="s">
        <v>955</v>
      </c>
      <c r="E73" s="15" t="s">
        <v>904</v>
      </c>
      <c r="F73" s="16" t="s">
        <v>27</v>
      </c>
      <c r="G73" s="215"/>
      <c r="H73" s="363">
        <v>0</v>
      </c>
      <c r="I73" s="410"/>
      <c r="J73" s="363">
        <v>0</v>
      </c>
      <c r="K73" s="363">
        <v>0</v>
      </c>
      <c r="L73" s="363">
        <v>0</v>
      </c>
      <c r="M73" s="363">
        <v>0</v>
      </c>
      <c r="N73" s="363">
        <v>0</v>
      </c>
      <c r="O73" s="363">
        <v>0</v>
      </c>
      <c r="P73" s="215">
        <f t="shared" ref="P73:P136" si="31">SUM(J73:O73)</f>
        <v>0</v>
      </c>
      <c r="Q73" s="363">
        <f t="shared" ref="Q73:Q136" si="32">P73*80%</f>
        <v>0</v>
      </c>
      <c r="R73" s="410"/>
      <c r="S73" s="363">
        <v>0</v>
      </c>
      <c r="T73" s="363">
        <v>0</v>
      </c>
      <c r="U73" s="363">
        <v>0</v>
      </c>
      <c r="V73" s="363">
        <v>0</v>
      </c>
      <c r="W73" s="363">
        <v>0</v>
      </c>
      <c r="X73" s="363">
        <v>0</v>
      </c>
      <c r="Y73" s="363">
        <f t="shared" ref="Y73:Y136" si="33">SUM(S73:X73)</f>
        <v>0</v>
      </c>
      <c r="Z73" s="363">
        <f t="shared" ref="Z73:Z136" si="34">Y73*80%</f>
        <v>0</v>
      </c>
      <c r="AA73" s="410"/>
      <c r="AB73" s="411">
        <v>0</v>
      </c>
      <c r="AC73" s="411">
        <v>0</v>
      </c>
      <c r="AD73" s="411">
        <v>0</v>
      </c>
      <c r="AE73" s="411">
        <v>0</v>
      </c>
      <c r="AF73" s="411">
        <v>0</v>
      </c>
      <c r="AG73" s="411">
        <v>0</v>
      </c>
      <c r="AH73" s="363">
        <f t="shared" ref="AH73:AH136" si="35">SUM(AB73:AG73)</f>
        <v>0</v>
      </c>
      <c r="AI73" s="411">
        <f t="shared" ref="AI73:AI136" si="36">AH73*80%</f>
        <v>0</v>
      </c>
      <c r="AJ73" s="410"/>
      <c r="AK73" s="411">
        <v>0</v>
      </c>
      <c r="AL73" s="411">
        <v>0</v>
      </c>
      <c r="AM73" s="411">
        <v>0</v>
      </c>
      <c r="AN73" s="410"/>
      <c r="AO73" s="411">
        <f t="shared" ref="AO73:AQ136" si="37">AK73*80%</f>
        <v>0</v>
      </c>
      <c r="AP73" s="411">
        <f t="shared" si="37"/>
        <v>0</v>
      </c>
      <c r="AQ73" s="411">
        <f t="shared" si="37"/>
        <v>0</v>
      </c>
      <c r="AR73" s="412"/>
      <c r="AS73" s="412">
        <v>0</v>
      </c>
      <c r="AT73" s="413">
        <f t="shared" ref="AT73:AT136" si="38">AS73-H73</f>
        <v>0</v>
      </c>
      <c r="AU73" s="412"/>
      <c r="AV73" s="412">
        <v>0</v>
      </c>
      <c r="AW73" s="412">
        <v>0</v>
      </c>
      <c r="AX73" s="412">
        <v>0</v>
      </c>
      <c r="AY73" s="412">
        <v>0</v>
      </c>
      <c r="AZ73" s="412">
        <v>0</v>
      </c>
      <c r="BA73" s="412">
        <v>0</v>
      </c>
      <c r="BB73" s="412">
        <v>0</v>
      </c>
      <c r="BC73" s="412">
        <f t="shared" ref="BC73:BC136" si="39">SUM(AV73:BB73)+AS73</f>
        <v>0</v>
      </c>
      <c r="BE73" s="205">
        <f t="shared" si="27"/>
        <v>0</v>
      </c>
      <c r="BF73" s="205">
        <f t="shared" si="27"/>
        <v>0</v>
      </c>
      <c r="BG73" s="205">
        <f t="shared" si="27"/>
        <v>0</v>
      </c>
      <c r="BH73" s="205">
        <f t="shared" si="27"/>
        <v>0</v>
      </c>
      <c r="BI73" s="205">
        <f t="shared" si="27"/>
        <v>0</v>
      </c>
      <c r="BJ73" s="205">
        <f t="shared" si="27"/>
        <v>0</v>
      </c>
      <c r="BK73" s="205">
        <f t="shared" ref="BK73:BK136" si="40">BB73-AK73</f>
        <v>0</v>
      </c>
      <c r="BL73" s="205">
        <f t="shared" ref="BL73:BL136" si="41">SUM(BE73:BK73)+AT73</f>
        <v>0</v>
      </c>
      <c r="BM73" s="215">
        <f t="shared" ref="BM73:BM136" si="42">BC73-(P73+H73+BL73+AK73)</f>
        <v>0</v>
      </c>
      <c r="BN73" s="215"/>
      <c r="BO73" s="412">
        <f t="shared" si="26"/>
        <v>0</v>
      </c>
      <c r="BP73" s="412">
        <f t="shared" si="26"/>
        <v>0</v>
      </c>
      <c r="BQ73" s="412">
        <f t="shared" si="26"/>
        <v>0</v>
      </c>
      <c r="BR73" s="412">
        <f t="shared" si="26"/>
        <v>0</v>
      </c>
      <c r="BS73" s="412">
        <f t="shared" si="26"/>
        <v>0</v>
      </c>
      <c r="BT73" s="412">
        <f t="shared" si="26"/>
        <v>0</v>
      </c>
      <c r="BU73" s="412">
        <f t="shared" si="25"/>
        <v>0</v>
      </c>
      <c r="BV73" s="412">
        <f t="shared" ref="BV73:BV136" si="43">SUM(BO73:BU73)</f>
        <v>0</v>
      </c>
      <c r="BW73" s="412">
        <f t="shared" si="28"/>
        <v>0</v>
      </c>
      <c r="BX73" s="412"/>
      <c r="BY73" s="412">
        <f t="shared" ref="BY73:BY136" si="44">(BV73+Q73+AO73)</f>
        <v>0</v>
      </c>
      <c r="BZ73" s="412"/>
      <c r="CA73" s="412">
        <f>IFERROR(VLOOKUP(A73,'Actuals Summer'!A:S,19,FALSE),0)</f>
        <v>0</v>
      </c>
      <c r="CC73" s="412"/>
      <c r="CD73" s="412"/>
      <c r="CE73" s="412"/>
      <c r="CF73" s="412"/>
      <c r="CG73" s="412"/>
      <c r="CH73" s="412"/>
      <c r="CI73" s="412"/>
      <c r="CJ73" s="412"/>
      <c r="CK73" s="412"/>
      <c r="CL73" s="412"/>
      <c r="CM73" s="412"/>
      <c r="CN73" s="412"/>
      <c r="CO73" s="412"/>
      <c r="CQ73" s="363"/>
      <c r="CR73" s="363"/>
      <c r="CS73" s="363"/>
      <c r="CT73" s="363"/>
      <c r="CU73" s="363"/>
      <c r="CV73" s="363"/>
      <c r="CW73" s="363"/>
      <c r="CX73" s="363"/>
      <c r="CZ73" s="414"/>
      <c r="DA73" s="414"/>
      <c r="DB73" s="414"/>
      <c r="DC73" s="414"/>
      <c r="DD73" s="414"/>
      <c r="DE73" s="414"/>
      <c r="DF73" s="414"/>
      <c r="DG73" s="414"/>
      <c r="DI73" s="414">
        <f t="shared" ref="DI73:DI136" si="45">BY73-CA73</f>
        <v>0</v>
      </c>
      <c r="DJ73" s="414"/>
      <c r="DK73" s="414"/>
      <c r="DL73" s="414"/>
      <c r="DM73" s="414"/>
      <c r="DN73" s="414"/>
      <c r="DO73" s="414"/>
      <c r="DP73" s="414"/>
      <c r="DQ73" s="414"/>
      <c r="DS73" s="414"/>
      <c r="DT73" s="414"/>
      <c r="DU73" s="414"/>
      <c r="DV73" s="414"/>
      <c r="DW73" s="414"/>
      <c r="DX73" s="414"/>
      <c r="DY73" s="414"/>
      <c r="DZ73" s="414"/>
      <c r="EB73" s="415">
        <f t="shared" si="29"/>
        <v>0</v>
      </c>
      <c r="EC73" s="415">
        <f t="shared" si="30"/>
        <v>0</v>
      </c>
      <c r="ED73" s="416">
        <f t="shared" ref="ED73:ED136" si="46">EB73+EC73</f>
        <v>0</v>
      </c>
    </row>
    <row r="74" spans="1:134" hidden="1" x14ac:dyDescent="0.35">
      <c r="A74" s="17">
        <v>3317</v>
      </c>
      <c r="B74" s="4">
        <v>103421</v>
      </c>
      <c r="C74" s="4" t="s">
        <v>94</v>
      </c>
      <c r="D74" s="4" t="s">
        <v>95</v>
      </c>
      <c r="E74" s="15" t="s">
        <v>32</v>
      </c>
      <c r="F74" s="16" t="s">
        <v>27</v>
      </c>
      <c r="G74" s="215"/>
      <c r="H74" s="363">
        <v>0</v>
      </c>
      <c r="I74" s="410"/>
      <c r="J74" s="363">
        <v>0</v>
      </c>
      <c r="K74" s="363">
        <v>0</v>
      </c>
      <c r="L74" s="363">
        <v>32007.3</v>
      </c>
      <c r="M74" s="363">
        <v>1755</v>
      </c>
      <c r="N74" s="363">
        <v>522.0526315789474</v>
      </c>
      <c r="O74" s="363">
        <v>0</v>
      </c>
      <c r="P74" s="215">
        <f t="shared" si="31"/>
        <v>34284.35263157895</v>
      </c>
      <c r="Q74" s="363">
        <f t="shared" si="32"/>
        <v>27427.48210526316</v>
      </c>
      <c r="R74" s="410"/>
      <c r="S74" s="363">
        <v>0</v>
      </c>
      <c r="T74" s="363">
        <v>0</v>
      </c>
      <c r="U74" s="363">
        <v>24281.4</v>
      </c>
      <c r="V74" s="363">
        <v>975</v>
      </c>
      <c r="W74" s="363">
        <v>372.89473684210526</v>
      </c>
      <c r="X74" s="363">
        <v>0</v>
      </c>
      <c r="Y74" s="363">
        <f t="shared" si="33"/>
        <v>25629.294736842108</v>
      </c>
      <c r="Z74" s="363">
        <f t="shared" si="34"/>
        <v>20503.43578947369</v>
      </c>
      <c r="AA74" s="410"/>
      <c r="AB74" s="411">
        <v>0</v>
      </c>
      <c r="AC74" s="411">
        <v>0</v>
      </c>
      <c r="AD74" s="411">
        <v>25738.105263157897</v>
      </c>
      <c r="AE74" s="411">
        <v>1250.5263157894738</v>
      </c>
      <c r="AF74" s="411">
        <v>369.573407202216</v>
      </c>
      <c r="AG74" s="411">
        <v>0</v>
      </c>
      <c r="AH74" s="363">
        <f t="shared" si="35"/>
        <v>27358.204986149587</v>
      </c>
      <c r="AI74" s="411">
        <f t="shared" si="36"/>
        <v>21886.563988919672</v>
      </c>
      <c r="AJ74" s="410"/>
      <c r="AK74" s="411">
        <v>265.20000000000005</v>
      </c>
      <c r="AL74" s="411">
        <v>228.15000000000003</v>
      </c>
      <c r="AM74" s="411">
        <v>221.11578947368423</v>
      </c>
      <c r="AN74" s="410"/>
      <c r="AO74" s="411">
        <f t="shared" si="37"/>
        <v>212.16000000000005</v>
      </c>
      <c r="AP74" s="411">
        <f t="shared" si="37"/>
        <v>182.52000000000004</v>
      </c>
      <c r="AQ74" s="411">
        <f t="shared" si="37"/>
        <v>176.8926315789474</v>
      </c>
      <c r="AR74" s="412"/>
      <c r="AS74" s="412">
        <v>0</v>
      </c>
      <c r="AT74" s="413">
        <f t="shared" si="38"/>
        <v>0</v>
      </c>
      <c r="AU74" s="412"/>
      <c r="AV74" s="412">
        <v>0</v>
      </c>
      <c r="AW74" s="412">
        <v>0</v>
      </c>
      <c r="AX74" s="412">
        <v>30903.600000000002</v>
      </c>
      <c r="AY74" s="412">
        <v>2730</v>
      </c>
      <c r="AZ74" s="412">
        <v>1044.1052631578948</v>
      </c>
      <c r="BA74" s="412">
        <v>0</v>
      </c>
      <c r="BB74" s="412">
        <v>393.9</v>
      </c>
      <c r="BC74" s="412">
        <f t="shared" si="39"/>
        <v>35071.6052631579</v>
      </c>
      <c r="BE74" s="205">
        <f t="shared" si="27"/>
        <v>0</v>
      </c>
      <c r="BF74" s="205">
        <f t="shared" si="27"/>
        <v>0</v>
      </c>
      <c r="BG74" s="205">
        <f t="shared" si="27"/>
        <v>-1103.6999999999971</v>
      </c>
      <c r="BH74" s="205">
        <f t="shared" si="27"/>
        <v>975</v>
      </c>
      <c r="BI74" s="205">
        <f t="shared" si="27"/>
        <v>522.0526315789474</v>
      </c>
      <c r="BJ74" s="205">
        <f t="shared" si="27"/>
        <v>0</v>
      </c>
      <c r="BK74" s="205">
        <f t="shared" si="40"/>
        <v>128.69999999999993</v>
      </c>
      <c r="BL74" s="205">
        <f t="shared" si="41"/>
        <v>522.05263157895024</v>
      </c>
      <c r="BM74" s="215">
        <f t="shared" si="42"/>
        <v>0</v>
      </c>
      <c r="BN74" s="215"/>
      <c r="BO74" s="412">
        <f t="shared" si="26"/>
        <v>0</v>
      </c>
      <c r="BP74" s="412">
        <f t="shared" si="26"/>
        <v>0</v>
      </c>
      <c r="BQ74" s="412">
        <f t="shared" si="26"/>
        <v>5297.760000000002</v>
      </c>
      <c r="BR74" s="412">
        <f t="shared" si="26"/>
        <v>1326</v>
      </c>
      <c r="BS74" s="412">
        <f t="shared" si="26"/>
        <v>626.46315789473692</v>
      </c>
      <c r="BT74" s="412">
        <f t="shared" si="26"/>
        <v>0</v>
      </c>
      <c r="BU74" s="412">
        <f t="shared" si="25"/>
        <v>181.73999999999992</v>
      </c>
      <c r="BV74" s="412">
        <f t="shared" si="43"/>
        <v>7431.9631578947392</v>
      </c>
      <c r="BW74" s="412">
        <f t="shared" si="28"/>
        <v>0</v>
      </c>
      <c r="BX74" s="412"/>
      <c r="BY74" s="412">
        <f t="shared" si="44"/>
        <v>35071.6052631579</v>
      </c>
      <c r="BZ74" s="412"/>
      <c r="CA74" s="412">
        <f>IFERROR(VLOOKUP(A74,'Actuals Summer'!A:S,19,FALSE),0)</f>
        <v>35071.605263157893</v>
      </c>
      <c r="CC74" s="412"/>
      <c r="CD74" s="412"/>
      <c r="CE74" s="412"/>
      <c r="CF74" s="412"/>
      <c r="CG74" s="412"/>
      <c r="CH74" s="412"/>
      <c r="CI74" s="412"/>
      <c r="CJ74" s="412"/>
      <c r="CK74" s="412"/>
      <c r="CL74" s="412"/>
      <c r="CM74" s="412"/>
      <c r="CN74" s="412"/>
      <c r="CO74" s="412"/>
      <c r="CQ74" s="363"/>
      <c r="CR74" s="363"/>
      <c r="CS74" s="363"/>
      <c r="CT74" s="363"/>
      <c r="CU74" s="363"/>
      <c r="CV74" s="363"/>
      <c r="CW74" s="363"/>
      <c r="CX74" s="363"/>
      <c r="CZ74" s="414"/>
      <c r="DA74" s="414"/>
      <c r="DB74" s="414"/>
      <c r="DC74" s="414"/>
      <c r="DD74" s="414"/>
      <c r="DE74" s="414"/>
      <c r="DF74" s="414"/>
      <c r="DG74" s="414"/>
      <c r="DI74" s="414">
        <f t="shared" si="45"/>
        <v>0</v>
      </c>
      <c r="DJ74" s="414"/>
      <c r="DK74" s="414"/>
      <c r="DL74" s="414"/>
      <c r="DM74" s="414"/>
      <c r="DN74" s="414"/>
      <c r="DO74" s="414"/>
      <c r="DP74" s="414"/>
      <c r="DQ74" s="414"/>
      <c r="DS74" s="414"/>
      <c r="DT74" s="414"/>
      <c r="DU74" s="414"/>
      <c r="DV74" s="414"/>
      <c r="DW74" s="414"/>
      <c r="DX74" s="414"/>
      <c r="DY74" s="414"/>
      <c r="DZ74" s="414"/>
      <c r="EB74" s="415">
        <f t="shared" si="29"/>
        <v>77821.017673130205</v>
      </c>
      <c r="EC74" s="415">
        <f t="shared" si="30"/>
        <v>0</v>
      </c>
      <c r="ED74" s="416">
        <f t="shared" si="46"/>
        <v>77821.017673130205</v>
      </c>
    </row>
    <row r="75" spans="1:134" hidden="1" x14ac:dyDescent="0.35">
      <c r="A75" s="17">
        <v>1023</v>
      </c>
      <c r="B75" s="4">
        <v>103136</v>
      </c>
      <c r="C75" s="4" t="s">
        <v>96</v>
      </c>
      <c r="D75" s="4" t="s">
        <v>97</v>
      </c>
      <c r="E75" s="15" t="s">
        <v>26</v>
      </c>
      <c r="F75" s="16" t="s">
        <v>27</v>
      </c>
      <c r="G75" s="215"/>
      <c r="H75" s="363">
        <v>191096.58925716483</v>
      </c>
      <c r="I75" s="410"/>
      <c r="J75" s="363">
        <v>0</v>
      </c>
      <c r="K75" s="363">
        <v>33189</v>
      </c>
      <c r="L75" s="363">
        <v>91607.099999999991</v>
      </c>
      <c r="M75" s="363">
        <v>8775</v>
      </c>
      <c r="N75" s="363">
        <v>894.94736842105272</v>
      </c>
      <c r="O75" s="363">
        <v>2567.1578947368421</v>
      </c>
      <c r="P75" s="215">
        <f t="shared" si="31"/>
        <v>137033.20526315787</v>
      </c>
      <c r="Q75" s="363">
        <f t="shared" si="32"/>
        <v>109626.5642105263</v>
      </c>
      <c r="R75" s="410"/>
      <c r="S75" s="363">
        <v>0</v>
      </c>
      <c r="T75" s="363">
        <v>29870.1</v>
      </c>
      <c r="U75" s="363">
        <v>55185</v>
      </c>
      <c r="V75" s="363">
        <v>6045</v>
      </c>
      <c r="W75" s="363">
        <v>1640.7368421052631</v>
      </c>
      <c r="X75" s="363">
        <v>2246.2631578947367</v>
      </c>
      <c r="Y75" s="363">
        <f t="shared" si="33"/>
        <v>94987.1</v>
      </c>
      <c r="Z75" s="363">
        <f t="shared" si="34"/>
        <v>75989.680000000008</v>
      </c>
      <c r="AA75" s="410"/>
      <c r="AB75" s="411">
        <v>0</v>
      </c>
      <c r="AC75" s="411">
        <v>23702.589473684209</v>
      </c>
      <c r="AD75" s="411">
        <v>64023.53684210527</v>
      </c>
      <c r="AE75" s="411">
        <v>5570.5263157894733</v>
      </c>
      <c r="AF75" s="411">
        <v>934.80332409972289</v>
      </c>
      <c r="AG75" s="411">
        <v>1683.7229916897506</v>
      </c>
      <c r="AH75" s="363">
        <f t="shared" si="35"/>
        <v>95915.178947368404</v>
      </c>
      <c r="AI75" s="411">
        <f t="shared" si="36"/>
        <v>76732.143157894723</v>
      </c>
      <c r="AJ75" s="410"/>
      <c r="AK75" s="411">
        <v>3636.75</v>
      </c>
      <c r="AL75" s="411">
        <v>2189.85</v>
      </c>
      <c r="AM75" s="411">
        <v>2290.1684210526319</v>
      </c>
      <c r="AN75" s="410"/>
      <c r="AO75" s="411">
        <f t="shared" si="37"/>
        <v>2909.4</v>
      </c>
      <c r="AP75" s="411">
        <f t="shared" si="37"/>
        <v>1751.88</v>
      </c>
      <c r="AQ75" s="411">
        <f t="shared" si="37"/>
        <v>1832.1347368421057</v>
      </c>
      <c r="AR75" s="412"/>
      <c r="AS75" s="412">
        <v>194326.13338186606</v>
      </c>
      <c r="AT75" s="413">
        <f t="shared" si="38"/>
        <v>3229.544124701235</v>
      </c>
      <c r="AU75" s="412"/>
      <c r="AV75" s="412">
        <v>0</v>
      </c>
      <c r="AW75" s="412">
        <v>33189</v>
      </c>
      <c r="AX75" s="412">
        <v>105955.20000000001</v>
      </c>
      <c r="AY75" s="412">
        <v>10725</v>
      </c>
      <c r="AZ75" s="412">
        <v>1342.421052631579</v>
      </c>
      <c r="BA75" s="412">
        <v>2567.12</v>
      </c>
      <c r="BB75" s="412">
        <v>3775.2</v>
      </c>
      <c r="BC75" s="412">
        <f t="shared" si="39"/>
        <v>351880.07443449763</v>
      </c>
      <c r="BE75" s="205">
        <f t="shared" si="27"/>
        <v>0</v>
      </c>
      <c r="BF75" s="205">
        <f t="shared" si="27"/>
        <v>0</v>
      </c>
      <c r="BG75" s="205">
        <f t="shared" si="27"/>
        <v>14348.10000000002</v>
      </c>
      <c r="BH75" s="205">
        <f t="shared" si="27"/>
        <v>1950</v>
      </c>
      <c r="BI75" s="205">
        <f t="shared" si="27"/>
        <v>447.47368421052624</v>
      </c>
      <c r="BJ75" s="205">
        <f t="shared" si="27"/>
        <v>-3.7894736842190468E-2</v>
      </c>
      <c r="BK75" s="205">
        <f t="shared" si="40"/>
        <v>138.44999999999982</v>
      </c>
      <c r="BL75" s="205">
        <f t="shared" si="41"/>
        <v>20113.529914174942</v>
      </c>
      <c r="BM75" s="215">
        <f t="shared" si="42"/>
        <v>0</v>
      </c>
      <c r="BN75" s="215"/>
      <c r="BO75" s="412">
        <f t="shared" si="26"/>
        <v>0</v>
      </c>
      <c r="BP75" s="412">
        <f t="shared" si="26"/>
        <v>6637.7999999999993</v>
      </c>
      <c r="BQ75" s="412">
        <f t="shared" si="26"/>
        <v>32669.520000000019</v>
      </c>
      <c r="BR75" s="412">
        <f t="shared" si="26"/>
        <v>3705</v>
      </c>
      <c r="BS75" s="412">
        <f t="shared" si="26"/>
        <v>626.4631578947367</v>
      </c>
      <c r="BT75" s="412">
        <f t="shared" si="26"/>
        <v>513.39368421052632</v>
      </c>
      <c r="BU75" s="412">
        <f t="shared" si="25"/>
        <v>865.79999999999973</v>
      </c>
      <c r="BV75" s="412">
        <f t="shared" si="43"/>
        <v>45017.976842105287</v>
      </c>
      <c r="BW75" s="412">
        <f t="shared" si="28"/>
        <v>-3229.544124701235</v>
      </c>
      <c r="BX75" s="412"/>
      <c r="BY75" s="412">
        <f t="shared" si="44"/>
        <v>157553.94105263156</v>
      </c>
      <c r="BZ75" s="412"/>
      <c r="CA75" s="412">
        <f>IFERROR(VLOOKUP(A75,'Actuals Summer'!A:S,19,FALSE),0)</f>
        <v>157553.94105263159</v>
      </c>
      <c r="CC75" s="412"/>
      <c r="CD75" s="412"/>
      <c r="CE75" s="412"/>
      <c r="CF75" s="412"/>
      <c r="CG75" s="412"/>
      <c r="CH75" s="412"/>
      <c r="CI75" s="412"/>
      <c r="CJ75" s="412"/>
      <c r="CK75" s="412"/>
      <c r="CL75" s="412"/>
      <c r="CM75" s="412"/>
      <c r="CN75" s="412"/>
      <c r="CO75" s="412"/>
      <c r="CQ75" s="363"/>
      <c r="CR75" s="363"/>
      <c r="CS75" s="363"/>
      <c r="CT75" s="363"/>
      <c r="CU75" s="363"/>
      <c r="CV75" s="363"/>
      <c r="CW75" s="363"/>
      <c r="CX75" s="363"/>
      <c r="CZ75" s="414"/>
      <c r="DA75" s="414"/>
      <c r="DB75" s="414"/>
      <c r="DC75" s="414"/>
      <c r="DD75" s="414"/>
      <c r="DE75" s="414"/>
      <c r="DF75" s="414"/>
      <c r="DG75" s="414"/>
      <c r="DI75" s="414">
        <f t="shared" si="45"/>
        <v>0</v>
      </c>
      <c r="DJ75" s="414"/>
      <c r="DK75" s="414"/>
      <c r="DL75" s="414"/>
      <c r="DM75" s="414"/>
      <c r="DN75" s="414"/>
      <c r="DO75" s="414"/>
      <c r="DP75" s="414"/>
      <c r="DQ75" s="414"/>
      <c r="DS75" s="414"/>
      <c r="DT75" s="414"/>
      <c r="DU75" s="414"/>
      <c r="DV75" s="414"/>
      <c r="DW75" s="414"/>
      <c r="DX75" s="414"/>
      <c r="DY75" s="414"/>
      <c r="DZ75" s="414"/>
      <c r="EB75" s="415">
        <f t="shared" si="29"/>
        <v>502474.80340956693</v>
      </c>
      <c r="EC75" s="415">
        <f t="shared" si="30"/>
        <v>5711.1089196675894</v>
      </c>
      <c r="ED75" s="416">
        <f t="shared" si="46"/>
        <v>508185.91232923453</v>
      </c>
    </row>
    <row r="76" spans="1:134" hidden="1" x14ac:dyDescent="0.35">
      <c r="A76" s="17">
        <v>2015</v>
      </c>
      <c r="B76" s="4">
        <v>134102</v>
      </c>
      <c r="C76" s="4" t="s">
        <v>98</v>
      </c>
      <c r="D76" s="4" t="s">
        <v>99</v>
      </c>
      <c r="E76" s="15" t="s">
        <v>32</v>
      </c>
      <c r="F76" s="16" t="s">
        <v>27</v>
      </c>
      <c r="G76" s="215"/>
      <c r="H76" s="363">
        <v>0</v>
      </c>
      <c r="I76" s="410"/>
      <c r="J76" s="363">
        <v>0</v>
      </c>
      <c r="K76" s="363">
        <v>0</v>
      </c>
      <c r="L76" s="363">
        <v>32007.3</v>
      </c>
      <c r="M76" s="363">
        <v>0</v>
      </c>
      <c r="N76" s="363">
        <v>0</v>
      </c>
      <c r="O76" s="363">
        <v>0</v>
      </c>
      <c r="P76" s="215">
        <f t="shared" si="31"/>
        <v>32007.3</v>
      </c>
      <c r="Q76" s="363">
        <f t="shared" si="32"/>
        <v>25605.84</v>
      </c>
      <c r="R76" s="410"/>
      <c r="S76" s="363">
        <v>0</v>
      </c>
      <c r="T76" s="363">
        <v>0</v>
      </c>
      <c r="U76" s="363">
        <v>45251.700000000004</v>
      </c>
      <c r="V76" s="363">
        <v>1950</v>
      </c>
      <c r="W76" s="363">
        <v>745.78947368421052</v>
      </c>
      <c r="X76" s="363">
        <v>0</v>
      </c>
      <c r="Y76" s="363">
        <f t="shared" si="33"/>
        <v>47947.489473684218</v>
      </c>
      <c r="Z76" s="363">
        <f t="shared" si="34"/>
        <v>38357.991578947374</v>
      </c>
      <c r="AA76" s="410"/>
      <c r="AB76" s="411">
        <v>0</v>
      </c>
      <c r="AC76" s="411">
        <v>0</v>
      </c>
      <c r="AD76" s="411">
        <v>32816.084210526322</v>
      </c>
      <c r="AE76" s="411">
        <v>909.47368421052624</v>
      </c>
      <c r="AF76" s="411">
        <v>347.83379501385036</v>
      </c>
      <c r="AG76" s="411">
        <v>0</v>
      </c>
      <c r="AH76" s="363">
        <f t="shared" si="35"/>
        <v>34073.391689750701</v>
      </c>
      <c r="AI76" s="411">
        <f t="shared" si="36"/>
        <v>27258.713351800561</v>
      </c>
      <c r="AJ76" s="410"/>
      <c r="AK76" s="411">
        <v>1622.3999999999999</v>
      </c>
      <c r="AL76" s="411">
        <v>2392.6500000000005</v>
      </c>
      <c r="AM76" s="411">
        <v>1703.5578947368419</v>
      </c>
      <c r="AN76" s="410"/>
      <c r="AO76" s="411">
        <f t="shared" si="37"/>
        <v>1297.92</v>
      </c>
      <c r="AP76" s="411">
        <f t="shared" si="37"/>
        <v>1914.1200000000006</v>
      </c>
      <c r="AQ76" s="411">
        <f t="shared" si="37"/>
        <v>1362.8463157894737</v>
      </c>
      <c r="AR76" s="412"/>
      <c r="AS76" s="412">
        <v>0</v>
      </c>
      <c r="AT76" s="413">
        <f t="shared" si="38"/>
        <v>0</v>
      </c>
      <c r="AU76" s="412"/>
      <c r="AV76" s="412">
        <v>0</v>
      </c>
      <c r="AW76" s="412">
        <v>0</v>
      </c>
      <c r="AX76" s="412">
        <v>48562.8</v>
      </c>
      <c r="AY76" s="412">
        <v>3900</v>
      </c>
      <c r="AZ76" s="412">
        <v>1491.578947368421</v>
      </c>
      <c r="BA76" s="412">
        <v>0</v>
      </c>
      <c r="BB76" s="412">
        <v>2505.75</v>
      </c>
      <c r="BC76" s="412">
        <f t="shared" si="39"/>
        <v>56460.128947368423</v>
      </c>
      <c r="BE76" s="205">
        <f t="shared" si="27"/>
        <v>0</v>
      </c>
      <c r="BF76" s="205">
        <f t="shared" si="27"/>
        <v>0</v>
      </c>
      <c r="BG76" s="205">
        <f t="shared" si="27"/>
        <v>16555.500000000004</v>
      </c>
      <c r="BH76" s="205">
        <f t="shared" si="27"/>
        <v>3900</v>
      </c>
      <c r="BI76" s="205">
        <f t="shared" si="27"/>
        <v>1491.578947368421</v>
      </c>
      <c r="BJ76" s="205">
        <f t="shared" si="27"/>
        <v>0</v>
      </c>
      <c r="BK76" s="205">
        <f t="shared" si="40"/>
        <v>883.35000000000014</v>
      </c>
      <c r="BL76" s="205">
        <f t="shared" si="41"/>
        <v>22830.428947368422</v>
      </c>
      <c r="BM76" s="215">
        <f t="shared" si="42"/>
        <v>0</v>
      </c>
      <c r="BN76" s="215"/>
      <c r="BO76" s="412">
        <f t="shared" si="26"/>
        <v>0</v>
      </c>
      <c r="BP76" s="412">
        <f t="shared" si="26"/>
        <v>0</v>
      </c>
      <c r="BQ76" s="412">
        <f t="shared" si="26"/>
        <v>22956.960000000003</v>
      </c>
      <c r="BR76" s="412">
        <f t="shared" si="26"/>
        <v>3900</v>
      </c>
      <c r="BS76" s="412">
        <f t="shared" si="26"/>
        <v>1491.578947368421</v>
      </c>
      <c r="BT76" s="412">
        <f t="shared" si="26"/>
        <v>0</v>
      </c>
      <c r="BU76" s="412">
        <f t="shared" si="25"/>
        <v>1207.83</v>
      </c>
      <c r="BV76" s="412">
        <f t="shared" si="43"/>
        <v>29556.368947368421</v>
      </c>
      <c r="BW76" s="412">
        <f t="shared" si="28"/>
        <v>0</v>
      </c>
      <c r="BX76" s="412"/>
      <c r="BY76" s="412">
        <f t="shared" si="44"/>
        <v>56460.128947368416</v>
      </c>
      <c r="BZ76" s="412"/>
      <c r="CA76" s="412">
        <f>IFERROR(VLOOKUP(A76,'Actuals Summer'!A:S,19,FALSE),0)</f>
        <v>56460.128947368423</v>
      </c>
      <c r="CC76" s="412"/>
      <c r="CD76" s="412"/>
      <c r="CE76" s="412"/>
      <c r="CF76" s="412"/>
      <c r="CG76" s="412"/>
      <c r="CH76" s="412"/>
      <c r="CI76" s="412"/>
      <c r="CJ76" s="412"/>
      <c r="CK76" s="412"/>
      <c r="CL76" s="412"/>
      <c r="CM76" s="412"/>
      <c r="CN76" s="412"/>
      <c r="CO76" s="412"/>
      <c r="CQ76" s="363"/>
      <c r="CR76" s="363"/>
      <c r="CS76" s="363"/>
      <c r="CT76" s="363"/>
      <c r="CU76" s="363"/>
      <c r="CV76" s="363"/>
      <c r="CW76" s="363"/>
      <c r="CX76" s="363"/>
      <c r="CZ76" s="414"/>
      <c r="DA76" s="414"/>
      <c r="DB76" s="414"/>
      <c r="DC76" s="414"/>
      <c r="DD76" s="414"/>
      <c r="DE76" s="414"/>
      <c r="DF76" s="414"/>
      <c r="DG76" s="414"/>
      <c r="DI76" s="414">
        <f t="shared" si="45"/>
        <v>0</v>
      </c>
      <c r="DJ76" s="414"/>
      <c r="DK76" s="414"/>
      <c r="DL76" s="414"/>
      <c r="DM76" s="414"/>
      <c r="DN76" s="414"/>
      <c r="DO76" s="414"/>
      <c r="DP76" s="414"/>
      <c r="DQ76" s="414"/>
      <c r="DS76" s="414"/>
      <c r="DT76" s="414"/>
      <c r="DU76" s="414"/>
      <c r="DV76" s="414"/>
      <c r="DW76" s="414"/>
      <c r="DX76" s="414"/>
      <c r="DY76" s="414"/>
      <c r="DZ76" s="414"/>
      <c r="EB76" s="415">
        <f t="shared" si="29"/>
        <v>125353.80019390583</v>
      </c>
      <c r="EC76" s="415">
        <f t="shared" si="30"/>
        <v>0</v>
      </c>
      <c r="ED76" s="416">
        <f t="shared" si="46"/>
        <v>125353.80019390583</v>
      </c>
    </row>
    <row r="77" spans="1:134" hidden="1" x14ac:dyDescent="0.35">
      <c r="A77" s="17">
        <v>4063</v>
      </c>
      <c r="B77" s="4">
        <v>103486</v>
      </c>
      <c r="C77" s="4" t="s">
        <v>956</v>
      </c>
      <c r="D77" s="4" t="s">
        <v>957</v>
      </c>
      <c r="E77" s="15" t="s">
        <v>904</v>
      </c>
      <c r="F77" s="16" t="s">
        <v>27</v>
      </c>
      <c r="G77" s="215"/>
      <c r="H77" s="363">
        <v>0</v>
      </c>
      <c r="I77" s="410"/>
      <c r="J77" s="363">
        <v>0</v>
      </c>
      <c r="K77" s="363">
        <v>0</v>
      </c>
      <c r="L77" s="363">
        <v>0</v>
      </c>
      <c r="M77" s="363">
        <v>0</v>
      </c>
      <c r="N77" s="363">
        <v>0</v>
      </c>
      <c r="O77" s="363">
        <v>0</v>
      </c>
      <c r="P77" s="215">
        <f t="shared" si="31"/>
        <v>0</v>
      </c>
      <c r="Q77" s="363">
        <f t="shared" si="32"/>
        <v>0</v>
      </c>
      <c r="R77" s="410"/>
      <c r="S77" s="363">
        <v>0</v>
      </c>
      <c r="T77" s="363">
        <v>0</v>
      </c>
      <c r="U77" s="363">
        <v>0</v>
      </c>
      <c r="V77" s="363">
        <v>0</v>
      </c>
      <c r="W77" s="363">
        <v>0</v>
      </c>
      <c r="X77" s="363">
        <v>0</v>
      </c>
      <c r="Y77" s="363">
        <f t="shared" si="33"/>
        <v>0</v>
      </c>
      <c r="Z77" s="363">
        <f t="shared" si="34"/>
        <v>0</v>
      </c>
      <c r="AA77" s="410"/>
      <c r="AB77" s="411">
        <v>0</v>
      </c>
      <c r="AC77" s="411">
        <v>0</v>
      </c>
      <c r="AD77" s="411">
        <v>0</v>
      </c>
      <c r="AE77" s="411">
        <v>0</v>
      </c>
      <c r="AF77" s="411">
        <v>0</v>
      </c>
      <c r="AG77" s="411">
        <v>0</v>
      </c>
      <c r="AH77" s="363">
        <f t="shared" si="35"/>
        <v>0</v>
      </c>
      <c r="AI77" s="411">
        <f t="shared" si="36"/>
        <v>0</v>
      </c>
      <c r="AJ77" s="410"/>
      <c r="AK77" s="411">
        <v>0</v>
      </c>
      <c r="AL77" s="411">
        <v>0</v>
      </c>
      <c r="AM77" s="411">
        <v>0</v>
      </c>
      <c r="AN77" s="410"/>
      <c r="AO77" s="411">
        <f t="shared" si="37"/>
        <v>0</v>
      </c>
      <c r="AP77" s="411">
        <f t="shared" si="37"/>
        <v>0</v>
      </c>
      <c r="AQ77" s="411">
        <f t="shared" si="37"/>
        <v>0</v>
      </c>
      <c r="AR77" s="412"/>
      <c r="AS77" s="412">
        <v>0</v>
      </c>
      <c r="AT77" s="413">
        <f t="shared" si="38"/>
        <v>0</v>
      </c>
      <c r="AU77" s="412"/>
      <c r="AV77" s="412">
        <v>0</v>
      </c>
      <c r="AW77" s="412">
        <v>0</v>
      </c>
      <c r="AX77" s="412">
        <v>0</v>
      </c>
      <c r="AY77" s="412">
        <v>0</v>
      </c>
      <c r="AZ77" s="412">
        <v>0</v>
      </c>
      <c r="BA77" s="412">
        <v>0</v>
      </c>
      <c r="BB77" s="412">
        <v>0</v>
      </c>
      <c r="BC77" s="412">
        <f t="shared" si="39"/>
        <v>0</v>
      </c>
      <c r="BE77" s="205">
        <f t="shared" si="27"/>
        <v>0</v>
      </c>
      <c r="BF77" s="205">
        <f t="shared" si="27"/>
        <v>0</v>
      </c>
      <c r="BG77" s="205">
        <f t="shared" si="27"/>
        <v>0</v>
      </c>
      <c r="BH77" s="205">
        <f t="shared" si="27"/>
        <v>0</v>
      </c>
      <c r="BI77" s="205">
        <f t="shared" si="27"/>
        <v>0</v>
      </c>
      <c r="BJ77" s="205">
        <f t="shared" si="27"/>
        <v>0</v>
      </c>
      <c r="BK77" s="205">
        <f t="shared" si="40"/>
        <v>0</v>
      </c>
      <c r="BL77" s="205">
        <f t="shared" si="41"/>
        <v>0</v>
      </c>
      <c r="BM77" s="215">
        <f t="shared" si="42"/>
        <v>0</v>
      </c>
      <c r="BN77" s="215"/>
      <c r="BO77" s="412">
        <f t="shared" si="26"/>
        <v>0</v>
      </c>
      <c r="BP77" s="412">
        <f t="shared" si="26"/>
        <v>0</v>
      </c>
      <c r="BQ77" s="412">
        <f t="shared" si="26"/>
        <v>0</v>
      </c>
      <c r="BR77" s="412">
        <f t="shared" si="26"/>
        <v>0</v>
      </c>
      <c r="BS77" s="412">
        <f t="shared" si="26"/>
        <v>0</v>
      </c>
      <c r="BT77" s="412">
        <f t="shared" si="26"/>
        <v>0</v>
      </c>
      <c r="BU77" s="412">
        <f t="shared" si="25"/>
        <v>0</v>
      </c>
      <c r="BV77" s="412">
        <f t="shared" si="43"/>
        <v>0</v>
      </c>
      <c r="BW77" s="412">
        <f t="shared" si="28"/>
        <v>0</v>
      </c>
      <c r="BX77" s="412"/>
      <c r="BY77" s="412">
        <f t="shared" si="44"/>
        <v>0</v>
      </c>
      <c r="BZ77" s="412"/>
      <c r="CA77" s="412">
        <f>IFERROR(VLOOKUP(A77,'Actuals Summer'!A:S,19,FALSE),0)</f>
        <v>0</v>
      </c>
      <c r="CC77" s="412"/>
      <c r="CD77" s="412"/>
      <c r="CE77" s="412"/>
      <c r="CF77" s="412"/>
      <c r="CG77" s="412"/>
      <c r="CH77" s="412"/>
      <c r="CI77" s="412"/>
      <c r="CJ77" s="412"/>
      <c r="CK77" s="412"/>
      <c r="CL77" s="412"/>
      <c r="CM77" s="412"/>
      <c r="CN77" s="412"/>
      <c r="CO77" s="412"/>
      <c r="CQ77" s="363"/>
      <c r="CR77" s="363"/>
      <c r="CS77" s="363"/>
      <c r="CT77" s="363"/>
      <c r="CU77" s="363"/>
      <c r="CV77" s="363"/>
      <c r="CW77" s="363"/>
      <c r="CX77" s="363"/>
      <c r="CZ77" s="414"/>
      <c r="DA77" s="414"/>
      <c r="DB77" s="414"/>
      <c r="DC77" s="414"/>
      <c r="DD77" s="414"/>
      <c r="DE77" s="414"/>
      <c r="DF77" s="414"/>
      <c r="DG77" s="414"/>
      <c r="DI77" s="414">
        <f t="shared" si="45"/>
        <v>0</v>
      </c>
      <c r="DJ77" s="414"/>
      <c r="DK77" s="414"/>
      <c r="DL77" s="414"/>
      <c r="DM77" s="414"/>
      <c r="DN77" s="414"/>
      <c r="DO77" s="414"/>
      <c r="DP77" s="414"/>
      <c r="DQ77" s="414"/>
      <c r="DS77" s="414"/>
      <c r="DT77" s="414"/>
      <c r="DU77" s="414"/>
      <c r="DV77" s="414"/>
      <c r="DW77" s="414"/>
      <c r="DX77" s="414"/>
      <c r="DY77" s="414"/>
      <c r="DZ77" s="414"/>
      <c r="EB77" s="415">
        <f t="shared" si="29"/>
        <v>0</v>
      </c>
      <c r="EC77" s="415">
        <f t="shared" si="30"/>
        <v>0</v>
      </c>
      <c r="ED77" s="416">
        <f t="shared" si="46"/>
        <v>0</v>
      </c>
    </row>
    <row r="78" spans="1:134" hidden="1" x14ac:dyDescent="0.35">
      <c r="A78" s="17">
        <v>1016</v>
      </c>
      <c r="B78" s="4">
        <v>103129</v>
      </c>
      <c r="C78" s="4" t="s">
        <v>100</v>
      </c>
      <c r="D78" s="4" t="s">
        <v>101</v>
      </c>
      <c r="E78" s="15" t="s">
        <v>26</v>
      </c>
      <c r="F78" s="16" t="s">
        <v>27</v>
      </c>
      <c r="G78" s="215"/>
      <c r="H78" s="363">
        <v>213074.40127277008</v>
      </c>
      <c r="I78" s="410"/>
      <c r="J78" s="363">
        <v>0</v>
      </c>
      <c r="K78" s="363">
        <v>19913.399999999998</v>
      </c>
      <c r="L78" s="363">
        <v>122731.44</v>
      </c>
      <c r="M78" s="363">
        <v>7605</v>
      </c>
      <c r="N78" s="363">
        <v>2684.8421052631579</v>
      </c>
      <c r="O78" s="363">
        <v>0</v>
      </c>
      <c r="P78" s="215">
        <f t="shared" si="31"/>
        <v>152934.68210526314</v>
      </c>
      <c r="Q78" s="363">
        <f t="shared" si="32"/>
        <v>122347.74568421052</v>
      </c>
      <c r="R78" s="410"/>
      <c r="S78" s="363">
        <v>0</v>
      </c>
      <c r="T78" s="363">
        <v>34848.449999999997</v>
      </c>
      <c r="U78" s="363">
        <v>96279.430000000008</v>
      </c>
      <c r="V78" s="363">
        <v>6435</v>
      </c>
      <c r="W78" s="363">
        <v>2386.5263157894738</v>
      </c>
      <c r="X78" s="363">
        <v>0</v>
      </c>
      <c r="Y78" s="363">
        <f t="shared" si="33"/>
        <v>139949.40631578947</v>
      </c>
      <c r="Z78" s="363">
        <f t="shared" si="34"/>
        <v>111959.52505263158</v>
      </c>
      <c r="AA78" s="410"/>
      <c r="AB78" s="411">
        <v>0</v>
      </c>
      <c r="AC78" s="411">
        <v>21767.684210526317</v>
      </c>
      <c r="AD78" s="411">
        <v>96013.856842105262</v>
      </c>
      <c r="AE78" s="411">
        <v>5570.5263157894733</v>
      </c>
      <c r="AF78" s="411">
        <v>2000.0443213296398</v>
      </c>
      <c r="AG78" s="411">
        <v>0</v>
      </c>
      <c r="AH78" s="363">
        <f t="shared" si="35"/>
        <v>125352.1116897507</v>
      </c>
      <c r="AI78" s="411">
        <f t="shared" si="36"/>
        <v>100281.68935180057</v>
      </c>
      <c r="AJ78" s="410"/>
      <c r="AK78" s="411">
        <v>3318.8999999999996</v>
      </c>
      <c r="AL78" s="411">
        <v>2925</v>
      </c>
      <c r="AM78" s="411">
        <v>2472.6315789473688</v>
      </c>
      <c r="AN78" s="410"/>
      <c r="AO78" s="411">
        <f t="shared" si="37"/>
        <v>2655.12</v>
      </c>
      <c r="AP78" s="411">
        <f t="shared" si="37"/>
        <v>2340</v>
      </c>
      <c r="AQ78" s="411">
        <f t="shared" si="37"/>
        <v>1978.105263157895</v>
      </c>
      <c r="AR78" s="412"/>
      <c r="AS78" s="412">
        <v>213996.45976131712</v>
      </c>
      <c r="AT78" s="413">
        <f t="shared" si="38"/>
        <v>922.05848854704527</v>
      </c>
      <c r="AU78" s="412"/>
      <c r="AV78" s="412">
        <v>0</v>
      </c>
      <c r="AW78" s="412">
        <v>19913.399999999998</v>
      </c>
      <c r="AX78" s="412">
        <v>118463.8</v>
      </c>
      <c r="AY78" s="412">
        <v>7995</v>
      </c>
      <c r="AZ78" s="412">
        <v>2983.1578947368421</v>
      </c>
      <c r="BA78" s="412">
        <v>0</v>
      </c>
      <c r="BB78" s="412">
        <v>3447.6</v>
      </c>
      <c r="BC78" s="412">
        <f t="shared" si="39"/>
        <v>366799.41765605402</v>
      </c>
      <c r="BE78" s="205">
        <f t="shared" si="27"/>
        <v>0</v>
      </c>
      <c r="BF78" s="205">
        <f t="shared" si="27"/>
        <v>0</v>
      </c>
      <c r="BG78" s="205">
        <f t="shared" si="27"/>
        <v>-4267.6399999999994</v>
      </c>
      <c r="BH78" s="205">
        <f t="shared" si="27"/>
        <v>390</v>
      </c>
      <c r="BI78" s="205">
        <f t="shared" si="27"/>
        <v>298.31578947368416</v>
      </c>
      <c r="BJ78" s="205">
        <f t="shared" si="27"/>
        <v>0</v>
      </c>
      <c r="BK78" s="205">
        <f t="shared" si="40"/>
        <v>128.70000000000027</v>
      </c>
      <c r="BL78" s="205">
        <f t="shared" si="41"/>
        <v>-2528.5657219792697</v>
      </c>
      <c r="BM78" s="215">
        <f t="shared" si="42"/>
        <v>0</v>
      </c>
      <c r="BN78" s="215"/>
      <c r="BO78" s="412">
        <f t="shared" si="26"/>
        <v>0</v>
      </c>
      <c r="BP78" s="412">
        <f t="shared" si="26"/>
        <v>3982.6799999999985</v>
      </c>
      <c r="BQ78" s="412">
        <f t="shared" si="26"/>
        <v>20278.648000000001</v>
      </c>
      <c r="BR78" s="412">
        <f t="shared" si="26"/>
        <v>1911</v>
      </c>
      <c r="BS78" s="412">
        <f t="shared" si="26"/>
        <v>835.28421052631575</v>
      </c>
      <c r="BT78" s="412">
        <f t="shared" si="26"/>
        <v>0</v>
      </c>
      <c r="BU78" s="412">
        <f t="shared" si="25"/>
        <v>792.48</v>
      </c>
      <c r="BV78" s="412">
        <f t="shared" si="43"/>
        <v>27800.092210526316</v>
      </c>
      <c r="BW78" s="412">
        <f t="shared" si="28"/>
        <v>-922.05848854716169</v>
      </c>
      <c r="BX78" s="412"/>
      <c r="BY78" s="412">
        <f t="shared" si="44"/>
        <v>152802.95789473684</v>
      </c>
      <c r="BZ78" s="412"/>
      <c r="CA78" s="412">
        <f>IFERROR(VLOOKUP(A78,'Actuals Summer'!A:S,19,FALSE),0)</f>
        <v>152802.95789473687</v>
      </c>
      <c r="CC78" s="412"/>
      <c r="CD78" s="412"/>
      <c r="CE78" s="412"/>
      <c r="CF78" s="412"/>
      <c r="CG78" s="412"/>
      <c r="CH78" s="412"/>
      <c r="CI78" s="412"/>
      <c r="CJ78" s="412"/>
      <c r="CK78" s="412"/>
      <c r="CL78" s="412"/>
      <c r="CM78" s="412"/>
      <c r="CN78" s="412"/>
      <c r="CO78" s="412"/>
      <c r="CQ78" s="363"/>
      <c r="CR78" s="363"/>
      <c r="CS78" s="363"/>
      <c r="CT78" s="363"/>
      <c r="CU78" s="363"/>
      <c r="CV78" s="363"/>
      <c r="CW78" s="363"/>
      <c r="CX78" s="363"/>
      <c r="CZ78" s="414"/>
      <c r="DA78" s="414"/>
      <c r="DB78" s="414"/>
      <c r="DC78" s="414"/>
      <c r="DD78" s="414"/>
      <c r="DE78" s="414"/>
      <c r="DF78" s="414"/>
      <c r="DG78" s="414"/>
      <c r="DI78" s="414">
        <f t="shared" si="45"/>
        <v>0</v>
      </c>
      <c r="DJ78" s="414"/>
      <c r="DK78" s="414"/>
      <c r="DL78" s="414"/>
      <c r="DM78" s="414"/>
      <c r="DN78" s="414"/>
      <c r="DO78" s="414"/>
      <c r="DP78" s="414"/>
      <c r="DQ78" s="414"/>
      <c r="DS78" s="414"/>
      <c r="DT78" s="414"/>
      <c r="DU78" s="414"/>
      <c r="DV78" s="414"/>
      <c r="DW78" s="414"/>
      <c r="DX78" s="414"/>
      <c r="DY78" s="414"/>
      <c r="DZ78" s="414"/>
      <c r="EB78" s="415">
        <f t="shared" si="29"/>
        <v>583358.73732364411</v>
      </c>
      <c r="EC78" s="415">
        <f t="shared" si="30"/>
        <v>0</v>
      </c>
      <c r="ED78" s="416">
        <f t="shared" si="46"/>
        <v>583358.73732364411</v>
      </c>
    </row>
    <row r="79" spans="1:134" hidden="1" x14ac:dyDescent="0.35">
      <c r="A79" s="17">
        <v>2115</v>
      </c>
      <c r="B79" s="4">
        <v>103221</v>
      </c>
      <c r="C79" s="4" t="s">
        <v>102</v>
      </c>
      <c r="D79" s="4" t="s">
        <v>103</v>
      </c>
      <c r="E79" s="15" t="s">
        <v>32</v>
      </c>
      <c r="F79" s="16" t="s">
        <v>27</v>
      </c>
      <c r="G79" s="215"/>
      <c r="H79" s="363">
        <v>0</v>
      </c>
      <c r="I79" s="410"/>
      <c r="J79" s="363">
        <v>0</v>
      </c>
      <c r="K79" s="363">
        <v>0</v>
      </c>
      <c r="L79" s="363">
        <v>50770.200000000004</v>
      </c>
      <c r="M79" s="363">
        <v>2145</v>
      </c>
      <c r="N79" s="363">
        <v>0</v>
      </c>
      <c r="O79" s="363">
        <v>0</v>
      </c>
      <c r="P79" s="215">
        <f t="shared" si="31"/>
        <v>52915.200000000004</v>
      </c>
      <c r="Q79" s="363">
        <f t="shared" si="32"/>
        <v>42332.160000000003</v>
      </c>
      <c r="R79" s="410"/>
      <c r="S79" s="363">
        <v>0</v>
      </c>
      <c r="T79" s="363">
        <v>0</v>
      </c>
      <c r="U79" s="363">
        <v>40836.9</v>
      </c>
      <c r="V79" s="363">
        <v>975</v>
      </c>
      <c r="W79" s="363">
        <v>0</v>
      </c>
      <c r="X79" s="363">
        <v>0</v>
      </c>
      <c r="Y79" s="363">
        <f t="shared" si="33"/>
        <v>41811.9</v>
      </c>
      <c r="Z79" s="363">
        <f t="shared" si="34"/>
        <v>33449.520000000004</v>
      </c>
      <c r="AA79" s="410"/>
      <c r="AB79" s="411">
        <v>0</v>
      </c>
      <c r="AC79" s="411">
        <v>0</v>
      </c>
      <c r="AD79" s="411">
        <v>40215.789473684214</v>
      </c>
      <c r="AE79" s="411">
        <v>1364.2105263157894</v>
      </c>
      <c r="AF79" s="411">
        <v>0</v>
      </c>
      <c r="AG79" s="411">
        <v>0</v>
      </c>
      <c r="AH79" s="363">
        <f t="shared" si="35"/>
        <v>41580</v>
      </c>
      <c r="AI79" s="411">
        <f t="shared" si="36"/>
        <v>33264</v>
      </c>
      <c r="AJ79" s="410"/>
      <c r="AK79" s="411">
        <v>1630.1999999999998</v>
      </c>
      <c r="AL79" s="411">
        <v>978.89999999999986</v>
      </c>
      <c r="AM79" s="411">
        <v>1193.6842105263158</v>
      </c>
      <c r="AN79" s="410"/>
      <c r="AO79" s="411">
        <f t="shared" si="37"/>
        <v>1304.1599999999999</v>
      </c>
      <c r="AP79" s="411">
        <f t="shared" si="37"/>
        <v>783.11999999999989</v>
      </c>
      <c r="AQ79" s="411">
        <f t="shared" si="37"/>
        <v>954.94736842105272</v>
      </c>
      <c r="AR79" s="412"/>
      <c r="AS79" s="412">
        <v>0</v>
      </c>
      <c r="AT79" s="413">
        <f t="shared" si="38"/>
        <v>0</v>
      </c>
      <c r="AU79" s="412"/>
      <c r="AV79" s="412">
        <v>0</v>
      </c>
      <c r="AW79" s="412">
        <v>0</v>
      </c>
      <c r="AX79" s="412">
        <v>50770.200000000004</v>
      </c>
      <c r="AY79" s="412">
        <v>2340</v>
      </c>
      <c r="AZ79" s="412">
        <v>0</v>
      </c>
      <c r="BA79" s="412">
        <v>0</v>
      </c>
      <c r="BB79" s="412">
        <v>1267.5</v>
      </c>
      <c r="BC79" s="412">
        <f t="shared" si="39"/>
        <v>54377.700000000004</v>
      </c>
      <c r="BE79" s="205">
        <f t="shared" si="27"/>
        <v>0</v>
      </c>
      <c r="BF79" s="205">
        <f t="shared" si="27"/>
        <v>0</v>
      </c>
      <c r="BG79" s="205">
        <f t="shared" si="27"/>
        <v>0</v>
      </c>
      <c r="BH79" s="205">
        <f t="shared" si="27"/>
        <v>195</v>
      </c>
      <c r="BI79" s="205">
        <f t="shared" si="27"/>
        <v>0</v>
      </c>
      <c r="BJ79" s="205">
        <f t="shared" si="27"/>
        <v>0</v>
      </c>
      <c r="BK79" s="205">
        <f t="shared" si="40"/>
        <v>-362.69999999999982</v>
      </c>
      <c r="BL79" s="205">
        <f t="shared" si="41"/>
        <v>-167.69999999999982</v>
      </c>
      <c r="BM79" s="215">
        <f t="shared" si="42"/>
        <v>0</v>
      </c>
      <c r="BN79" s="215"/>
      <c r="BO79" s="412">
        <f t="shared" si="26"/>
        <v>0</v>
      </c>
      <c r="BP79" s="412">
        <f t="shared" si="26"/>
        <v>0</v>
      </c>
      <c r="BQ79" s="412">
        <f t="shared" si="26"/>
        <v>10154.040000000001</v>
      </c>
      <c r="BR79" s="412">
        <f t="shared" si="26"/>
        <v>624</v>
      </c>
      <c r="BS79" s="412">
        <f t="shared" si="26"/>
        <v>0</v>
      </c>
      <c r="BT79" s="412">
        <f t="shared" si="26"/>
        <v>0</v>
      </c>
      <c r="BU79" s="412">
        <f t="shared" si="25"/>
        <v>-36.659999999999854</v>
      </c>
      <c r="BV79" s="412">
        <f t="shared" si="43"/>
        <v>10741.380000000001</v>
      </c>
      <c r="BW79" s="412">
        <f t="shared" si="28"/>
        <v>7.2759576141834259E-12</v>
      </c>
      <c r="BX79" s="412"/>
      <c r="BY79" s="412">
        <f t="shared" si="44"/>
        <v>54377.700000000012</v>
      </c>
      <c r="BZ79" s="412"/>
      <c r="CA79" s="412">
        <f>IFERROR(VLOOKUP(A79,'Actuals Summer'!A:S,19,FALSE),0)</f>
        <v>54377.700000000004</v>
      </c>
      <c r="CC79" s="412"/>
      <c r="CD79" s="412"/>
      <c r="CE79" s="412"/>
      <c r="CF79" s="412"/>
      <c r="CG79" s="412"/>
      <c r="CH79" s="412"/>
      <c r="CI79" s="412"/>
      <c r="CJ79" s="412"/>
      <c r="CK79" s="412"/>
      <c r="CL79" s="412"/>
      <c r="CM79" s="412"/>
      <c r="CN79" s="412"/>
      <c r="CO79" s="412"/>
      <c r="CQ79" s="363"/>
      <c r="CR79" s="363"/>
      <c r="CS79" s="363"/>
      <c r="CT79" s="363"/>
      <c r="CU79" s="363"/>
      <c r="CV79" s="363"/>
      <c r="CW79" s="363"/>
      <c r="CX79" s="363"/>
      <c r="CZ79" s="414"/>
      <c r="DA79" s="414"/>
      <c r="DB79" s="414"/>
      <c r="DC79" s="414"/>
      <c r="DD79" s="414"/>
      <c r="DE79" s="414"/>
      <c r="DF79" s="414"/>
      <c r="DG79" s="414"/>
      <c r="DI79" s="414">
        <f t="shared" si="45"/>
        <v>0</v>
      </c>
      <c r="DJ79" s="414"/>
      <c r="DK79" s="414"/>
      <c r="DL79" s="414"/>
      <c r="DM79" s="414"/>
      <c r="DN79" s="414"/>
      <c r="DO79" s="414"/>
      <c r="DP79" s="414"/>
      <c r="DQ79" s="414"/>
      <c r="DS79" s="414"/>
      <c r="DT79" s="414"/>
      <c r="DU79" s="414"/>
      <c r="DV79" s="414"/>
      <c r="DW79" s="414"/>
      <c r="DX79" s="414"/>
      <c r="DY79" s="414"/>
      <c r="DZ79" s="414"/>
      <c r="EB79" s="415">
        <f t="shared" si="29"/>
        <v>122829.28736842106</v>
      </c>
      <c r="EC79" s="415">
        <f t="shared" si="30"/>
        <v>0</v>
      </c>
      <c r="ED79" s="416">
        <f t="shared" si="46"/>
        <v>122829.28736842106</v>
      </c>
    </row>
    <row r="80" spans="1:134" hidden="1" x14ac:dyDescent="0.35">
      <c r="A80" s="17">
        <v>2441</v>
      </c>
      <c r="B80" s="4">
        <v>103368</v>
      </c>
      <c r="C80" s="4" t="s">
        <v>104</v>
      </c>
      <c r="D80" s="4" t="s">
        <v>105</v>
      </c>
      <c r="E80" s="15" t="s">
        <v>32</v>
      </c>
      <c r="F80" s="16" t="s">
        <v>27</v>
      </c>
      <c r="G80" s="215"/>
      <c r="H80" s="363">
        <v>0</v>
      </c>
      <c r="I80" s="410"/>
      <c r="J80" s="363">
        <v>0</v>
      </c>
      <c r="K80" s="363">
        <v>0</v>
      </c>
      <c r="L80" s="363">
        <v>33111</v>
      </c>
      <c r="M80" s="363">
        <v>2925</v>
      </c>
      <c r="N80" s="363">
        <v>0</v>
      </c>
      <c r="O80" s="363">
        <v>0</v>
      </c>
      <c r="P80" s="215">
        <f t="shared" si="31"/>
        <v>36036</v>
      </c>
      <c r="Q80" s="363">
        <f t="shared" si="32"/>
        <v>28828.800000000003</v>
      </c>
      <c r="R80" s="410"/>
      <c r="S80" s="363">
        <v>0</v>
      </c>
      <c r="T80" s="363">
        <v>0</v>
      </c>
      <c r="U80" s="363">
        <v>9933.3000000000011</v>
      </c>
      <c r="V80" s="363">
        <v>585</v>
      </c>
      <c r="W80" s="363">
        <v>223.73684210526318</v>
      </c>
      <c r="X80" s="363">
        <v>0</v>
      </c>
      <c r="Y80" s="363">
        <f t="shared" si="33"/>
        <v>10742.036842105264</v>
      </c>
      <c r="Z80" s="363">
        <f t="shared" si="34"/>
        <v>8593.6294736842119</v>
      </c>
      <c r="AA80" s="410"/>
      <c r="AB80" s="411">
        <v>0</v>
      </c>
      <c r="AC80" s="411">
        <v>0</v>
      </c>
      <c r="AD80" s="411">
        <v>19625.305263157898</v>
      </c>
      <c r="AE80" s="411">
        <v>1705.2631578947369</v>
      </c>
      <c r="AF80" s="411">
        <v>65.21883656509695</v>
      </c>
      <c r="AG80" s="411">
        <v>0</v>
      </c>
      <c r="AH80" s="363">
        <f t="shared" si="35"/>
        <v>21395.787257617732</v>
      </c>
      <c r="AI80" s="411">
        <f t="shared" si="36"/>
        <v>17116.629806094188</v>
      </c>
      <c r="AJ80" s="410"/>
      <c r="AK80" s="411">
        <v>1645.7999999999997</v>
      </c>
      <c r="AL80" s="411">
        <v>645.45000000000005</v>
      </c>
      <c r="AM80" s="411">
        <v>1131.1578947368421</v>
      </c>
      <c r="AN80" s="410"/>
      <c r="AO80" s="411">
        <f t="shared" si="37"/>
        <v>1316.6399999999999</v>
      </c>
      <c r="AP80" s="411">
        <f t="shared" si="37"/>
        <v>516.36</v>
      </c>
      <c r="AQ80" s="411">
        <f t="shared" si="37"/>
        <v>904.92631578947373</v>
      </c>
      <c r="AR80" s="412"/>
      <c r="AS80" s="412">
        <v>0</v>
      </c>
      <c r="AT80" s="413">
        <f t="shared" si="38"/>
        <v>0</v>
      </c>
      <c r="AU80" s="412"/>
      <c r="AV80" s="412">
        <v>0</v>
      </c>
      <c r="AW80" s="412">
        <v>0</v>
      </c>
      <c r="AX80" s="412">
        <v>19866.600000000002</v>
      </c>
      <c r="AY80" s="412">
        <v>1365</v>
      </c>
      <c r="AZ80" s="412">
        <v>0</v>
      </c>
      <c r="BA80" s="412">
        <v>0</v>
      </c>
      <c r="BB80" s="412">
        <v>1279.1999999999998</v>
      </c>
      <c r="BC80" s="412">
        <f t="shared" si="39"/>
        <v>22510.800000000003</v>
      </c>
      <c r="BE80" s="205">
        <f t="shared" si="27"/>
        <v>0</v>
      </c>
      <c r="BF80" s="205">
        <f t="shared" si="27"/>
        <v>0</v>
      </c>
      <c r="BG80" s="205">
        <f t="shared" si="27"/>
        <v>-13244.399999999998</v>
      </c>
      <c r="BH80" s="205">
        <f t="shared" si="27"/>
        <v>-1560</v>
      </c>
      <c r="BI80" s="205">
        <f t="shared" si="27"/>
        <v>0</v>
      </c>
      <c r="BJ80" s="205">
        <f t="shared" si="27"/>
        <v>0</v>
      </c>
      <c r="BK80" s="205">
        <f t="shared" si="40"/>
        <v>-366.59999999999991</v>
      </c>
      <c r="BL80" s="205">
        <f t="shared" si="41"/>
        <v>-15170.999999999998</v>
      </c>
      <c r="BM80" s="215">
        <f t="shared" si="42"/>
        <v>0</v>
      </c>
      <c r="BN80" s="215"/>
      <c r="BO80" s="412">
        <f t="shared" si="26"/>
        <v>0</v>
      </c>
      <c r="BP80" s="412">
        <f t="shared" si="26"/>
        <v>0</v>
      </c>
      <c r="BQ80" s="412">
        <f t="shared" si="26"/>
        <v>-6622.2000000000007</v>
      </c>
      <c r="BR80" s="412">
        <f t="shared" si="26"/>
        <v>-975</v>
      </c>
      <c r="BS80" s="412">
        <f t="shared" si="26"/>
        <v>0</v>
      </c>
      <c r="BT80" s="412">
        <f t="shared" si="26"/>
        <v>0</v>
      </c>
      <c r="BU80" s="412">
        <f t="shared" si="25"/>
        <v>-37.440000000000055</v>
      </c>
      <c r="BV80" s="412">
        <f t="shared" si="43"/>
        <v>-7634.6400000000012</v>
      </c>
      <c r="BW80" s="412">
        <f t="shared" si="28"/>
        <v>0</v>
      </c>
      <c r="BX80" s="412"/>
      <c r="BY80" s="412">
        <f t="shared" si="44"/>
        <v>22510.800000000003</v>
      </c>
      <c r="BZ80" s="412"/>
      <c r="CA80" s="412">
        <f>IFERROR(VLOOKUP(A80,'Actuals Summer'!A:S,19,FALSE),0)</f>
        <v>22510.800000000003</v>
      </c>
      <c r="CC80" s="412"/>
      <c r="CD80" s="412"/>
      <c r="CE80" s="412"/>
      <c r="CF80" s="412"/>
      <c r="CG80" s="412"/>
      <c r="CH80" s="412"/>
      <c r="CI80" s="412"/>
      <c r="CJ80" s="412"/>
      <c r="CK80" s="412"/>
      <c r="CL80" s="412"/>
      <c r="CM80" s="412"/>
      <c r="CN80" s="412"/>
      <c r="CO80" s="412"/>
      <c r="CQ80" s="363"/>
      <c r="CR80" s="363"/>
      <c r="CS80" s="363"/>
      <c r="CT80" s="363"/>
      <c r="CU80" s="363"/>
      <c r="CV80" s="363"/>
      <c r="CW80" s="363"/>
      <c r="CX80" s="363"/>
      <c r="CZ80" s="414"/>
      <c r="DA80" s="414"/>
      <c r="DB80" s="414"/>
      <c r="DC80" s="414"/>
      <c r="DD80" s="414"/>
      <c r="DE80" s="414"/>
      <c r="DF80" s="414"/>
      <c r="DG80" s="414"/>
      <c r="DI80" s="414">
        <f t="shared" si="45"/>
        <v>0</v>
      </c>
      <c r="DJ80" s="414"/>
      <c r="DK80" s="414"/>
      <c r="DL80" s="414"/>
      <c r="DM80" s="414"/>
      <c r="DN80" s="414"/>
      <c r="DO80" s="414"/>
      <c r="DP80" s="414"/>
      <c r="DQ80" s="414"/>
      <c r="DS80" s="414"/>
      <c r="DT80" s="414"/>
      <c r="DU80" s="414"/>
      <c r="DV80" s="414"/>
      <c r="DW80" s="414"/>
      <c r="DX80" s="414"/>
      <c r="DY80" s="414"/>
      <c r="DZ80" s="414"/>
      <c r="EB80" s="415">
        <f t="shared" si="29"/>
        <v>49642.345595567866</v>
      </c>
      <c r="EC80" s="415">
        <f t="shared" si="30"/>
        <v>0</v>
      </c>
      <c r="ED80" s="416">
        <f t="shared" si="46"/>
        <v>49642.345595567866</v>
      </c>
    </row>
    <row r="81" spans="1:134" hidden="1" x14ac:dyDescent="0.35">
      <c r="A81" s="17">
        <v>2321</v>
      </c>
      <c r="B81" s="4">
        <v>103339</v>
      </c>
      <c r="C81" s="4" t="s">
        <v>958</v>
      </c>
      <c r="D81" s="4" t="s">
        <v>959</v>
      </c>
      <c r="E81" s="15" t="s">
        <v>32</v>
      </c>
      <c r="F81" s="16" t="s">
        <v>27</v>
      </c>
      <c r="G81" s="215"/>
      <c r="H81" s="363">
        <v>0</v>
      </c>
      <c r="I81" s="410"/>
      <c r="J81" s="363">
        <v>0</v>
      </c>
      <c r="K81" s="363">
        <v>0</v>
      </c>
      <c r="L81" s="363">
        <v>0</v>
      </c>
      <c r="M81" s="363">
        <v>0</v>
      </c>
      <c r="N81" s="363">
        <v>0</v>
      </c>
      <c r="O81" s="363">
        <v>0</v>
      </c>
      <c r="P81" s="215">
        <f t="shared" si="31"/>
        <v>0</v>
      </c>
      <c r="Q81" s="363">
        <f t="shared" si="32"/>
        <v>0</v>
      </c>
      <c r="R81" s="410"/>
      <c r="S81" s="363">
        <v>0</v>
      </c>
      <c r="T81" s="363">
        <v>0</v>
      </c>
      <c r="U81" s="363">
        <v>0</v>
      </c>
      <c r="V81" s="363">
        <v>0</v>
      </c>
      <c r="W81" s="363">
        <v>0</v>
      </c>
      <c r="X81" s="363">
        <v>0</v>
      </c>
      <c r="Y81" s="363">
        <f t="shared" si="33"/>
        <v>0</v>
      </c>
      <c r="Z81" s="363">
        <f t="shared" si="34"/>
        <v>0</v>
      </c>
      <c r="AA81" s="410"/>
      <c r="AB81" s="411">
        <v>0</v>
      </c>
      <c r="AC81" s="411">
        <v>0</v>
      </c>
      <c r="AD81" s="411">
        <v>0</v>
      </c>
      <c r="AE81" s="411">
        <v>0</v>
      </c>
      <c r="AF81" s="411">
        <v>0</v>
      </c>
      <c r="AG81" s="411">
        <v>0</v>
      </c>
      <c r="AH81" s="363">
        <f t="shared" si="35"/>
        <v>0</v>
      </c>
      <c r="AI81" s="411">
        <f t="shared" si="36"/>
        <v>0</v>
      </c>
      <c r="AJ81" s="410"/>
      <c r="AK81" s="411">
        <v>0</v>
      </c>
      <c r="AL81" s="411">
        <v>0</v>
      </c>
      <c r="AM81" s="411">
        <v>0</v>
      </c>
      <c r="AN81" s="410"/>
      <c r="AO81" s="411">
        <f t="shared" si="37"/>
        <v>0</v>
      </c>
      <c r="AP81" s="411">
        <f t="shared" si="37"/>
        <v>0</v>
      </c>
      <c r="AQ81" s="411">
        <f t="shared" si="37"/>
        <v>0</v>
      </c>
      <c r="AR81" s="412"/>
      <c r="AS81" s="412">
        <v>0</v>
      </c>
      <c r="AT81" s="413">
        <f t="shared" si="38"/>
        <v>0</v>
      </c>
      <c r="AU81" s="412"/>
      <c r="AV81" s="412">
        <v>0</v>
      </c>
      <c r="AW81" s="412">
        <v>0</v>
      </c>
      <c r="AX81" s="412">
        <v>0</v>
      </c>
      <c r="AY81" s="412">
        <v>0</v>
      </c>
      <c r="AZ81" s="412">
        <v>0</v>
      </c>
      <c r="BA81" s="412">
        <v>0</v>
      </c>
      <c r="BB81" s="412">
        <v>0</v>
      </c>
      <c r="BC81" s="412">
        <f t="shared" si="39"/>
        <v>0</v>
      </c>
      <c r="BE81" s="205">
        <f t="shared" si="27"/>
        <v>0</v>
      </c>
      <c r="BF81" s="205">
        <f t="shared" si="27"/>
        <v>0</v>
      </c>
      <c r="BG81" s="205">
        <f t="shared" si="27"/>
        <v>0</v>
      </c>
      <c r="BH81" s="205">
        <f t="shared" si="27"/>
        <v>0</v>
      </c>
      <c r="BI81" s="205">
        <f t="shared" si="27"/>
        <v>0</v>
      </c>
      <c r="BJ81" s="205">
        <f t="shared" si="27"/>
        <v>0</v>
      </c>
      <c r="BK81" s="205">
        <f t="shared" si="40"/>
        <v>0</v>
      </c>
      <c r="BL81" s="205">
        <f t="shared" si="41"/>
        <v>0</v>
      </c>
      <c r="BM81" s="215">
        <f t="shared" si="42"/>
        <v>0</v>
      </c>
      <c r="BN81" s="215"/>
      <c r="BO81" s="412">
        <f t="shared" si="26"/>
        <v>0</v>
      </c>
      <c r="BP81" s="412">
        <f t="shared" si="26"/>
        <v>0</v>
      </c>
      <c r="BQ81" s="412">
        <f t="shared" si="26"/>
        <v>0</v>
      </c>
      <c r="BR81" s="412">
        <f t="shared" si="26"/>
        <v>0</v>
      </c>
      <c r="BS81" s="412">
        <f t="shared" si="26"/>
        <v>0</v>
      </c>
      <c r="BT81" s="412">
        <f t="shared" si="26"/>
        <v>0</v>
      </c>
      <c r="BU81" s="412">
        <f t="shared" si="25"/>
        <v>0</v>
      </c>
      <c r="BV81" s="412">
        <f t="shared" si="43"/>
        <v>0</v>
      </c>
      <c r="BW81" s="412">
        <f t="shared" si="28"/>
        <v>0</v>
      </c>
      <c r="BX81" s="412"/>
      <c r="BY81" s="412">
        <f t="shared" si="44"/>
        <v>0</v>
      </c>
      <c r="BZ81" s="412"/>
      <c r="CA81" s="412">
        <f>IFERROR(VLOOKUP(A81,'Actuals Summer'!A:S,19,FALSE),0)</f>
        <v>0</v>
      </c>
      <c r="CC81" s="412"/>
      <c r="CD81" s="412"/>
      <c r="CE81" s="412"/>
      <c r="CF81" s="412"/>
      <c r="CG81" s="412"/>
      <c r="CH81" s="412"/>
      <c r="CI81" s="412"/>
      <c r="CJ81" s="412"/>
      <c r="CK81" s="412"/>
      <c r="CL81" s="412"/>
      <c r="CM81" s="412"/>
      <c r="CN81" s="412"/>
      <c r="CO81" s="412"/>
      <c r="CQ81" s="363"/>
      <c r="CR81" s="363"/>
      <c r="CS81" s="363"/>
      <c r="CT81" s="363"/>
      <c r="CU81" s="363"/>
      <c r="CV81" s="363"/>
      <c r="CW81" s="363"/>
      <c r="CX81" s="363"/>
      <c r="CZ81" s="414"/>
      <c r="DA81" s="414"/>
      <c r="DB81" s="414"/>
      <c r="DC81" s="414"/>
      <c r="DD81" s="414"/>
      <c r="DE81" s="414"/>
      <c r="DF81" s="414"/>
      <c r="DG81" s="414"/>
      <c r="DI81" s="414">
        <f t="shared" si="45"/>
        <v>0</v>
      </c>
      <c r="DJ81" s="414"/>
      <c r="DK81" s="414"/>
      <c r="DL81" s="414"/>
      <c r="DM81" s="414"/>
      <c r="DN81" s="414"/>
      <c r="DO81" s="414"/>
      <c r="DP81" s="414"/>
      <c r="DQ81" s="414"/>
      <c r="DS81" s="414"/>
      <c r="DT81" s="414"/>
      <c r="DU81" s="414"/>
      <c r="DV81" s="414"/>
      <c r="DW81" s="414"/>
      <c r="DX81" s="414"/>
      <c r="DY81" s="414"/>
      <c r="DZ81" s="414"/>
      <c r="EB81" s="415">
        <f t="shared" si="29"/>
        <v>0</v>
      </c>
      <c r="EC81" s="415">
        <f t="shared" si="30"/>
        <v>0</v>
      </c>
      <c r="ED81" s="416">
        <f t="shared" si="46"/>
        <v>0</v>
      </c>
    </row>
    <row r="82" spans="1:134" hidden="1" x14ac:dyDescent="0.35">
      <c r="A82" s="17">
        <v>7062</v>
      </c>
      <c r="B82" s="4">
        <v>103632</v>
      </c>
      <c r="C82" s="4" t="s">
        <v>960</v>
      </c>
      <c r="D82" s="4" t="s">
        <v>961</v>
      </c>
      <c r="E82" s="15" t="s">
        <v>895</v>
      </c>
      <c r="F82" s="16" t="s">
        <v>27</v>
      </c>
      <c r="G82" s="215"/>
      <c r="H82" s="363">
        <v>0</v>
      </c>
      <c r="I82" s="410"/>
      <c r="J82" s="363">
        <v>0</v>
      </c>
      <c r="K82" s="363">
        <v>0</v>
      </c>
      <c r="L82" s="363">
        <v>0</v>
      </c>
      <c r="M82" s="363">
        <v>0</v>
      </c>
      <c r="N82" s="363">
        <v>0</v>
      </c>
      <c r="O82" s="363">
        <v>0</v>
      </c>
      <c r="P82" s="215">
        <f t="shared" si="31"/>
        <v>0</v>
      </c>
      <c r="Q82" s="363">
        <f t="shared" si="32"/>
        <v>0</v>
      </c>
      <c r="R82" s="410"/>
      <c r="S82" s="363">
        <v>0</v>
      </c>
      <c r="T82" s="363">
        <v>0</v>
      </c>
      <c r="U82" s="363">
        <v>0</v>
      </c>
      <c r="V82" s="363">
        <v>0</v>
      </c>
      <c r="W82" s="363">
        <v>0</v>
      </c>
      <c r="X82" s="363">
        <v>0</v>
      </c>
      <c r="Y82" s="363">
        <f t="shared" si="33"/>
        <v>0</v>
      </c>
      <c r="Z82" s="363">
        <f t="shared" si="34"/>
        <v>0</v>
      </c>
      <c r="AA82" s="410"/>
      <c r="AB82" s="411">
        <v>0</v>
      </c>
      <c r="AC82" s="411">
        <v>0</v>
      </c>
      <c r="AD82" s="411">
        <v>0</v>
      </c>
      <c r="AE82" s="411">
        <v>0</v>
      </c>
      <c r="AF82" s="411">
        <v>0</v>
      </c>
      <c r="AG82" s="411">
        <v>0</v>
      </c>
      <c r="AH82" s="363">
        <f t="shared" si="35"/>
        <v>0</v>
      </c>
      <c r="AI82" s="411">
        <f t="shared" si="36"/>
        <v>0</v>
      </c>
      <c r="AJ82" s="410"/>
      <c r="AK82" s="411">
        <v>0</v>
      </c>
      <c r="AL82" s="411">
        <v>0</v>
      </c>
      <c r="AM82" s="411">
        <v>0</v>
      </c>
      <c r="AN82" s="410"/>
      <c r="AO82" s="411">
        <f t="shared" si="37"/>
        <v>0</v>
      </c>
      <c r="AP82" s="411">
        <f t="shared" si="37"/>
        <v>0</v>
      </c>
      <c r="AQ82" s="411">
        <f t="shared" si="37"/>
        <v>0</v>
      </c>
      <c r="AR82" s="412"/>
      <c r="AS82" s="412">
        <v>0</v>
      </c>
      <c r="AT82" s="413">
        <f t="shared" si="38"/>
        <v>0</v>
      </c>
      <c r="AU82" s="412"/>
      <c r="AV82" s="412">
        <v>0</v>
      </c>
      <c r="AW82" s="412">
        <v>0</v>
      </c>
      <c r="AX82" s="412">
        <v>0</v>
      </c>
      <c r="AY82" s="412">
        <v>0</v>
      </c>
      <c r="AZ82" s="412">
        <v>0</v>
      </c>
      <c r="BA82" s="412">
        <v>0</v>
      </c>
      <c r="BB82" s="412">
        <v>0</v>
      </c>
      <c r="BC82" s="412">
        <f t="shared" si="39"/>
        <v>0</v>
      </c>
      <c r="BE82" s="205">
        <f t="shared" si="27"/>
        <v>0</v>
      </c>
      <c r="BF82" s="205">
        <f t="shared" si="27"/>
        <v>0</v>
      </c>
      <c r="BG82" s="205">
        <f t="shared" si="27"/>
        <v>0</v>
      </c>
      <c r="BH82" s="205">
        <f t="shared" si="27"/>
        <v>0</v>
      </c>
      <c r="BI82" s="205">
        <f t="shared" si="27"/>
        <v>0</v>
      </c>
      <c r="BJ82" s="205">
        <f t="shared" si="27"/>
        <v>0</v>
      </c>
      <c r="BK82" s="205">
        <f t="shared" si="40"/>
        <v>0</v>
      </c>
      <c r="BL82" s="205">
        <f t="shared" si="41"/>
        <v>0</v>
      </c>
      <c r="BM82" s="215">
        <f t="shared" si="42"/>
        <v>0</v>
      </c>
      <c r="BN82" s="215"/>
      <c r="BO82" s="412">
        <f t="shared" si="26"/>
        <v>0</v>
      </c>
      <c r="BP82" s="412">
        <f t="shared" si="26"/>
        <v>0</v>
      </c>
      <c r="BQ82" s="412">
        <f t="shared" si="26"/>
        <v>0</v>
      </c>
      <c r="BR82" s="412">
        <f t="shared" si="26"/>
        <v>0</v>
      </c>
      <c r="BS82" s="412">
        <f t="shared" si="26"/>
        <v>0</v>
      </c>
      <c r="BT82" s="412">
        <f t="shared" si="26"/>
        <v>0</v>
      </c>
      <c r="BU82" s="412">
        <f t="shared" si="25"/>
        <v>0</v>
      </c>
      <c r="BV82" s="412">
        <f t="shared" si="43"/>
        <v>0</v>
      </c>
      <c r="BW82" s="412">
        <f t="shared" si="28"/>
        <v>0</v>
      </c>
      <c r="BX82" s="412"/>
      <c r="BY82" s="412">
        <f t="shared" si="44"/>
        <v>0</v>
      </c>
      <c r="BZ82" s="412"/>
      <c r="CA82" s="412">
        <f>IFERROR(VLOOKUP(A82,'Actuals Summer'!A:S,19,FALSE),0)</f>
        <v>0</v>
      </c>
      <c r="CC82" s="412"/>
      <c r="CD82" s="412"/>
      <c r="CE82" s="412"/>
      <c r="CF82" s="412"/>
      <c r="CG82" s="412"/>
      <c r="CH82" s="412"/>
      <c r="CI82" s="412"/>
      <c r="CJ82" s="412"/>
      <c r="CK82" s="412"/>
      <c r="CL82" s="412"/>
      <c r="CM82" s="412"/>
      <c r="CN82" s="412"/>
      <c r="CO82" s="412"/>
      <c r="CQ82" s="363"/>
      <c r="CR82" s="363"/>
      <c r="CS82" s="363"/>
      <c r="CT82" s="363"/>
      <c r="CU82" s="363"/>
      <c r="CV82" s="363"/>
      <c r="CW82" s="363"/>
      <c r="CX82" s="363"/>
      <c r="CZ82" s="414"/>
      <c r="DA82" s="414"/>
      <c r="DB82" s="414"/>
      <c r="DC82" s="414"/>
      <c r="DD82" s="414"/>
      <c r="DE82" s="414"/>
      <c r="DF82" s="414"/>
      <c r="DG82" s="414"/>
      <c r="DI82" s="414">
        <f t="shared" si="45"/>
        <v>0</v>
      </c>
      <c r="DJ82" s="414"/>
      <c r="DK82" s="414"/>
      <c r="DL82" s="414"/>
      <c r="DM82" s="414"/>
      <c r="DN82" s="414"/>
      <c r="DO82" s="414"/>
      <c r="DP82" s="414"/>
      <c r="DQ82" s="414"/>
      <c r="DS82" s="414"/>
      <c r="DT82" s="414"/>
      <c r="DU82" s="414"/>
      <c r="DV82" s="414"/>
      <c r="DW82" s="414"/>
      <c r="DX82" s="414"/>
      <c r="DY82" s="414"/>
      <c r="DZ82" s="414"/>
      <c r="EB82" s="415">
        <f t="shared" si="29"/>
        <v>0</v>
      </c>
      <c r="EC82" s="415">
        <f t="shared" si="30"/>
        <v>0</v>
      </c>
      <c r="ED82" s="416">
        <f t="shared" si="46"/>
        <v>0</v>
      </c>
    </row>
    <row r="83" spans="1:134" hidden="1" x14ac:dyDescent="0.35">
      <c r="A83" s="17">
        <v>2462</v>
      </c>
      <c r="B83" s="4">
        <v>103388</v>
      </c>
      <c r="C83" s="4" t="s">
        <v>962</v>
      </c>
      <c r="D83" s="4" t="s">
        <v>963</v>
      </c>
      <c r="E83" s="15" t="s">
        <v>32</v>
      </c>
      <c r="F83" s="16" t="s">
        <v>27</v>
      </c>
      <c r="G83" s="215"/>
      <c r="H83" s="363">
        <v>0</v>
      </c>
      <c r="I83" s="410"/>
      <c r="J83" s="363">
        <v>0</v>
      </c>
      <c r="K83" s="363">
        <v>0</v>
      </c>
      <c r="L83" s="363">
        <v>0</v>
      </c>
      <c r="M83" s="363">
        <v>0</v>
      </c>
      <c r="N83" s="363">
        <v>0</v>
      </c>
      <c r="O83" s="363">
        <v>0</v>
      </c>
      <c r="P83" s="215">
        <f t="shared" si="31"/>
        <v>0</v>
      </c>
      <c r="Q83" s="363">
        <f t="shared" si="32"/>
        <v>0</v>
      </c>
      <c r="R83" s="410"/>
      <c r="S83" s="363">
        <v>0</v>
      </c>
      <c r="T83" s="363">
        <v>0</v>
      </c>
      <c r="U83" s="363">
        <v>0</v>
      </c>
      <c r="V83" s="363">
        <v>0</v>
      </c>
      <c r="W83" s="363">
        <v>0</v>
      </c>
      <c r="X83" s="363">
        <v>0</v>
      </c>
      <c r="Y83" s="363">
        <f t="shared" si="33"/>
        <v>0</v>
      </c>
      <c r="Z83" s="363">
        <f t="shared" si="34"/>
        <v>0</v>
      </c>
      <c r="AA83" s="410"/>
      <c r="AB83" s="411">
        <v>0</v>
      </c>
      <c r="AC83" s="411">
        <v>0</v>
      </c>
      <c r="AD83" s="411">
        <v>0</v>
      </c>
      <c r="AE83" s="411">
        <v>0</v>
      </c>
      <c r="AF83" s="411">
        <v>0</v>
      </c>
      <c r="AG83" s="411">
        <v>0</v>
      </c>
      <c r="AH83" s="363">
        <f t="shared" si="35"/>
        <v>0</v>
      </c>
      <c r="AI83" s="411">
        <f t="shared" si="36"/>
        <v>0</v>
      </c>
      <c r="AJ83" s="410"/>
      <c r="AK83" s="411">
        <v>0</v>
      </c>
      <c r="AL83" s="411">
        <v>0</v>
      </c>
      <c r="AM83" s="411">
        <v>0</v>
      </c>
      <c r="AN83" s="410"/>
      <c r="AO83" s="411">
        <f t="shared" si="37"/>
        <v>0</v>
      </c>
      <c r="AP83" s="411">
        <f t="shared" si="37"/>
        <v>0</v>
      </c>
      <c r="AQ83" s="411">
        <f t="shared" si="37"/>
        <v>0</v>
      </c>
      <c r="AR83" s="412"/>
      <c r="AS83" s="412">
        <v>0</v>
      </c>
      <c r="AT83" s="413">
        <f t="shared" si="38"/>
        <v>0</v>
      </c>
      <c r="AU83" s="412"/>
      <c r="AV83" s="412">
        <v>0</v>
      </c>
      <c r="AW83" s="412">
        <v>0</v>
      </c>
      <c r="AX83" s="412">
        <v>0</v>
      </c>
      <c r="AY83" s="412">
        <v>0</v>
      </c>
      <c r="AZ83" s="412">
        <v>0</v>
      </c>
      <c r="BA83" s="412">
        <v>0</v>
      </c>
      <c r="BB83" s="412">
        <v>0</v>
      </c>
      <c r="BC83" s="412">
        <f t="shared" si="39"/>
        <v>0</v>
      </c>
      <c r="BE83" s="205">
        <f t="shared" si="27"/>
        <v>0</v>
      </c>
      <c r="BF83" s="205">
        <f t="shared" si="27"/>
        <v>0</v>
      </c>
      <c r="BG83" s="205">
        <f t="shared" si="27"/>
        <v>0</v>
      </c>
      <c r="BH83" s="205">
        <f t="shared" si="27"/>
        <v>0</v>
      </c>
      <c r="BI83" s="205">
        <f t="shared" si="27"/>
        <v>0</v>
      </c>
      <c r="BJ83" s="205">
        <f t="shared" si="27"/>
        <v>0</v>
      </c>
      <c r="BK83" s="205">
        <f t="shared" si="40"/>
        <v>0</v>
      </c>
      <c r="BL83" s="205">
        <f t="shared" si="41"/>
        <v>0</v>
      </c>
      <c r="BM83" s="215">
        <f t="shared" si="42"/>
        <v>0</v>
      </c>
      <c r="BN83" s="215"/>
      <c r="BO83" s="412">
        <f t="shared" si="26"/>
        <v>0</v>
      </c>
      <c r="BP83" s="412">
        <f t="shared" si="26"/>
        <v>0</v>
      </c>
      <c r="BQ83" s="412">
        <f t="shared" si="26"/>
        <v>0</v>
      </c>
      <c r="BR83" s="412">
        <f t="shared" si="26"/>
        <v>0</v>
      </c>
      <c r="BS83" s="412">
        <f t="shared" si="26"/>
        <v>0</v>
      </c>
      <c r="BT83" s="412">
        <f t="shared" si="26"/>
        <v>0</v>
      </c>
      <c r="BU83" s="412">
        <f t="shared" si="25"/>
        <v>0</v>
      </c>
      <c r="BV83" s="412">
        <f t="shared" si="43"/>
        <v>0</v>
      </c>
      <c r="BW83" s="412">
        <f t="shared" si="28"/>
        <v>0</v>
      </c>
      <c r="BX83" s="412"/>
      <c r="BY83" s="412">
        <f t="shared" si="44"/>
        <v>0</v>
      </c>
      <c r="BZ83" s="412"/>
      <c r="CA83" s="412">
        <f>IFERROR(VLOOKUP(A83,'Actuals Summer'!A:S,19,FALSE),0)</f>
        <v>0</v>
      </c>
      <c r="CC83" s="412"/>
      <c r="CD83" s="412"/>
      <c r="CE83" s="412"/>
      <c r="CF83" s="412"/>
      <c r="CG83" s="412"/>
      <c r="CH83" s="412"/>
      <c r="CI83" s="412"/>
      <c r="CJ83" s="412"/>
      <c r="CK83" s="412"/>
      <c r="CL83" s="412"/>
      <c r="CM83" s="412"/>
      <c r="CN83" s="412"/>
      <c r="CO83" s="412"/>
      <c r="CQ83" s="363"/>
      <c r="CR83" s="363"/>
      <c r="CS83" s="363"/>
      <c r="CT83" s="363"/>
      <c r="CU83" s="363"/>
      <c r="CV83" s="363"/>
      <c r="CW83" s="363"/>
      <c r="CX83" s="363"/>
      <c r="CZ83" s="414"/>
      <c r="DA83" s="414"/>
      <c r="DB83" s="414"/>
      <c r="DC83" s="414"/>
      <c r="DD83" s="414"/>
      <c r="DE83" s="414"/>
      <c r="DF83" s="414"/>
      <c r="DG83" s="414"/>
      <c r="DI83" s="414">
        <f t="shared" si="45"/>
        <v>0</v>
      </c>
      <c r="DJ83" s="414"/>
      <c r="DK83" s="414"/>
      <c r="DL83" s="414"/>
      <c r="DM83" s="414"/>
      <c r="DN83" s="414"/>
      <c r="DO83" s="414"/>
      <c r="DP83" s="414"/>
      <c r="DQ83" s="414"/>
      <c r="DS83" s="414"/>
      <c r="DT83" s="414"/>
      <c r="DU83" s="414"/>
      <c r="DV83" s="414"/>
      <c r="DW83" s="414"/>
      <c r="DX83" s="414"/>
      <c r="DY83" s="414"/>
      <c r="DZ83" s="414"/>
      <c r="EB83" s="415">
        <f t="shared" si="29"/>
        <v>0</v>
      </c>
      <c r="EC83" s="415">
        <f t="shared" si="30"/>
        <v>0</v>
      </c>
      <c r="ED83" s="416">
        <f t="shared" si="46"/>
        <v>0</v>
      </c>
    </row>
    <row r="84" spans="1:134" hidden="1" x14ac:dyDescent="0.35">
      <c r="A84" s="17">
        <v>7012</v>
      </c>
      <c r="B84" s="4">
        <v>103603</v>
      </c>
      <c r="C84" s="4" t="s">
        <v>964</v>
      </c>
      <c r="D84" s="4" t="s">
        <v>965</v>
      </c>
      <c r="E84" s="15" t="s">
        <v>895</v>
      </c>
      <c r="F84" s="16" t="s">
        <v>27</v>
      </c>
      <c r="G84" s="215"/>
      <c r="H84" s="363">
        <v>0</v>
      </c>
      <c r="I84" s="410"/>
      <c r="J84" s="363">
        <v>0</v>
      </c>
      <c r="K84" s="363">
        <v>0</v>
      </c>
      <c r="L84" s="363">
        <v>0</v>
      </c>
      <c r="M84" s="363">
        <v>0</v>
      </c>
      <c r="N84" s="363">
        <v>0</v>
      </c>
      <c r="O84" s="363">
        <v>0</v>
      </c>
      <c r="P84" s="215">
        <f t="shared" si="31"/>
        <v>0</v>
      </c>
      <c r="Q84" s="363">
        <f t="shared" si="32"/>
        <v>0</v>
      </c>
      <c r="R84" s="410"/>
      <c r="S84" s="363">
        <v>0</v>
      </c>
      <c r="T84" s="363">
        <v>0</v>
      </c>
      <c r="U84" s="363">
        <v>0</v>
      </c>
      <c r="V84" s="363">
        <v>0</v>
      </c>
      <c r="W84" s="363">
        <v>0</v>
      </c>
      <c r="X84" s="363">
        <v>0</v>
      </c>
      <c r="Y84" s="363">
        <f t="shared" si="33"/>
        <v>0</v>
      </c>
      <c r="Z84" s="363">
        <f t="shared" si="34"/>
        <v>0</v>
      </c>
      <c r="AA84" s="410"/>
      <c r="AB84" s="411">
        <v>0</v>
      </c>
      <c r="AC84" s="411">
        <v>0</v>
      </c>
      <c r="AD84" s="411">
        <v>8373.9</v>
      </c>
      <c r="AE84" s="411">
        <v>520.20000000000005</v>
      </c>
      <c r="AF84" s="411">
        <v>4</v>
      </c>
      <c r="AG84" s="411">
        <v>1820</v>
      </c>
      <c r="AH84" s="363">
        <f t="shared" si="35"/>
        <v>10718.1</v>
      </c>
      <c r="AI84" s="411">
        <f t="shared" si="36"/>
        <v>8574.4800000000014</v>
      </c>
      <c r="AJ84" s="410"/>
      <c r="AK84" s="411">
        <v>0</v>
      </c>
      <c r="AL84" s="411">
        <v>0</v>
      </c>
      <c r="AM84" s="411">
        <v>0</v>
      </c>
      <c r="AN84" s="410"/>
      <c r="AO84" s="411">
        <f t="shared" si="37"/>
        <v>0</v>
      </c>
      <c r="AP84" s="411">
        <f t="shared" si="37"/>
        <v>0</v>
      </c>
      <c r="AQ84" s="411">
        <f t="shared" si="37"/>
        <v>0</v>
      </c>
      <c r="AR84" s="412"/>
      <c r="AS84" s="412">
        <v>0</v>
      </c>
      <c r="AT84" s="413">
        <f t="shared" si="38"/>
        <v>0</v>
      </c>
      <c r="AU84" s="412"/>
      <c r="AV84" s="412">
        <v>0</v>
      </c>
      <c r="AW84" s="412">
        <v>0</v>
      </c>
      <c r="AX84" s="412">
        <v>0</v>
      </c>
      <c r="AY84" s="412">
        <v>0</v>
      </c>
      <c r="AZ84" s="412">
        <v>0</v>
      </c>
      <c r="BA84" s="412">
        <v>0</v>
      </c>
      <c r="BB84" s="412">
        <v>0</v>
      </c>
      <c r="BC84" s="412">
        <f t="shared" si="39"/>
        <v>0</v>
      </c>
      <c r="BE84" s="205">
        <f t="shared" si="27"/>
        <v>0</v>
      </c>
      <c r="BF84" s="205">
        <f t="shared" si="27"/>
        <v>0</v>
      </c>
      <c r="BG84" s="205">
        <f t="shared" si="27"/>
        <v>0</v>
      </c>
      <c r="BH84" s="205">
        <f t="shared" si="27"/>
        <v>0</v>
      </c>
      <c r="BI84" s="205">
        <f t="shared" si="27"/>
        <v>0</v>
      </c>
      <c r="BJ84" s="205">
        <f t="shared" si="27"/>
        <v>0</v>
      </c>
      <c r="BK84" s="205">
        <f t="shared" si="40"/>
        <v>0</v>
      </c>
      <c r="BL84" s="205">
        <f t="shared" si="41"/>
        <v>0</v>
      </c>
      <c r="BM84" s="215">
        <f t="shared" si="42"/>
        <v>0</v>
      </c>
      <c r="BN84" s="215"/>
      <c r="BO84" s="412">
        <f t="shared" si="26"/>
        <v>0</v>
      </c>
      <c r="BP84" s="412">
        <f t="shared" si="26"/>
        <v>0</v>
      </c>
      <c r="BQ84" s="412">
        <f t="shared" si="26"/>
        <v>0</v>
      </c>
      <c r="BR84" s="412">
        <f t="shared" si="26"/>
        <v>0</v>
      </c>
      <c r="BS84" s="412">
        <f t="shared" si="26"/>
        <v>0</v>
      </c>
      <c r="BT84" s="412">
        <f t="shared" si="26"/>
        <v>0</v>
      </c>
      <c r="BU84" s="412">
        <f t="shared" si="25"/>
        <v>0</v>
      </c>
      <c r="BV84" s="412">
        <f t="shared" si="43"/>
        <v>0</v>
      </c>
      <c r="BW84" s="412">
        <f t="shared" si="28"/>
        <v>0</v>
      </c>
      <c r="BX84" s="412"/>
      <c r="BY84" s="412">
        <f t="shared" si="44"/>
        <v>0</v>
      </c>
      <c r="BZ84" s="412"/>
      <c r="CA84" s="412">
        <f>IFERROR(VLOOKUP(A84,'Actuals Summer'!A:S,19,FALSE),0)</f>
        <v>0</v>
      </c>
      <c r="CC84" s="412"/>
      <c r="CD84" s="412"/>
      <c r="CE84" s="412"/>
      <c r="CF84" s="412"/>
      <c r="CG84" s="412"/>
      <c r="CH84" s="412"/>
      <c r="CI84" s="412"/>
      <c r="CJ84" s="412"/>
      <c r="CK84" s="412"/>
      <c r="CL84" s="412"/>
      <c r="CM84" s="412"/>
      <c r="CN84" s="412"/>
      <c r="CO84" s="412"/>
      <c r="CQ84" s="363"/>
      <c r="CR84" s="363"/>
      <c r="CS84" s="363"/>
      <c r="CT84" s="363"/>
      <c r="CU84" s="363"/>
      <c r="CV84" s="363"/>
      <c r="CW84" s="363"/>
      <c r="CX84" s="363"/>
      <c r="CZ84" s="414"/>
      <c r="DA84" s="414"/>
      <c r="DB84" s="414"/>
      <c r="DC84" s="414"/>
      <c r="DD84" s="414"/>
      <c r="DE84" s="414"/>
      <c r="DF84" s="414"/>
      <c r="DG84" s="414"/>
      <c r="DI84" s="414">
        <f t="shared" si="45"/>
        <v>0</v>
      </c>
      <c r="DJ84" s="414"/>
      <c r="DK84" s="414"/>
      <c r="DL84" s="414"/>
      <c r="DM84" s="414"/>
      <c r="DN84" s="414"/>
      <c r="DO84" s="414"/>
      <c r="DP84" s="414"/>
      <c r="DQ84" s="414"/>
      <c r="DS84" s="414"/>
      <c r="DT84" s="414"/>
      <c r="DU84" s="414"/>
      <c r="DV84" s="414"/>
      <c r="DW84" s="414"/>
      <c r="DX84" s="414"/>
      <c r="DY84" s="414"/>
      <c r="DZ84" s="414"/>
      <c r="EB84" s="415">
        <f t="shared" si="29"/>
        <v>7118.4800000000005</v>
      </c>
      <c r="EC84" s="415">
        <f t="shared" si="30"/>
        <v>1456</v>
      </c>
      <c r="ED84" s="416">
        <f t="shared" si="46"/>
        <v>8574.48</v>
      </c>
    </row>
    <row r="85" spans="1:134" hidden="1" x14ac:dyDescent="0.35">
      <c r="A85" s="17">
        <v>2127</v>
      </c>
      <c r="B85" s="4">
        <v>103227</v>
      </c>
      <c r="C85" s="4" t="s">
        <v>106</v>
      </c>
      <c r="D85" s="4" t="s">
        <v>107</v>
      </c>
      <c r="E85" s="15" t="s">
        <v>32</v>
      </c>
      <c r="F85" s="16" t="s">
        <v>27</v>
      </c>
      <c r="G85" s="215"/>
      <c r="H85" s="363">
        <v>0</v>
      </c>
      <c r="I85" s="410"/>
      <c r="J85" s="363">
        <v>0</v>
      </c>
      <c r="K85" s="363">
        <v>0</v>
      </c>
      <c r="L85" s="363">
        <v>57392.4</v>
      </c>
      <c r="M85" s="363">
        <v>2535</v>
      </c>
      <c r="N85" s="363">
        <v>298.31578947368422</v>
      </c>
      <c r="O85" s="363">
        <v>0</v>
      </c>
      <c r="P85" s="215">
        <f t="shared" si="31"/>
        <v>60225.715789473688</v>
      </c>
      <c r="Q85" s="363">
        <f t="shared" si="32"/>
        <v>48180.572631578951</v>
      </c>
      <c r="R85" s="410"/>
      <c r="S85" s="363">
        <v>0</v>
      </c>
      <c r="T85" s="363">
        <v>0</v>
      </c>
      <c r="U85" s="363">
        <v>48562.799999999996</v>
      </c>
      <c r="V85" s="363">
        <v>2730</v>
      </c>
      <c r="W85" s="363">
        <v>1044.1052631578948</v>
      </c>
      <c r="X85" s="363">
        <v>320.89473684210526</v>
      </c>
      <c r="Y85" s="363">
        <f t="shared" si="33"/>
        <v>52657.799999999996</v>
      </c>
      <c r="Z85" s="363">
        <f t="shared" si="34"/>
        <v>42126.239999999998</v>
      </c>
      <c r="AA85" s="410"/>
      <c r="AB85" s="411">
        <v>0</v>
      </c>
      <c r="AC85" s="411">
        <v>0</v>
      </c>
      <c r="AD85" s="411">
        <v>47615.494736842105</v>
      </c>
      <c r="AE85" s="411">
        <v>2103.1578947368421</v>
      </c>
      <c r="AF85" s="411">
        <v>456.53185595567868</v>
      </c>
      <c r="AG85" s="411">
        <v>93.54016620498615</v>
      </c>
      <c r="AH85" s="363">
        <f t="shared" si="35"/>
        <v>50268.724653739606</v>
      </c>
      <c r="AI85" s="411">
        <f t="shared" si="36"/>
        <v>40214.979722991688</v>
      </c>
      <c r="AJ85" s="410"/>
      <c r="AK85" s="411">
        <v>2455.0499999999997</v>
      </c>
      <c r="AL85" s="411">
        <v>1996.8</v>
      </c>
      <c r="AM85" s="411">
        <v>2049.726315789474</v>
      </c>
      <c r="AN85" s="410"/>
      <c r="AO85" s="411">
        <f t="shared" si="37"/>
        <v>1964.04</v>
      </c>
      <c r="AP85" s="411">
        <f t="shared" si="37"/>
        <v>1597.44</v>
      </c>
      <c r="AQ85" s="411">
        <f t="shared" si="37"/>
        <v>1639.7810526315793</v>
      </c>
      <c r="AR85" s="412"/>
      <c r="AS85" s="412">
        <v>0</v>
      </c>
      <c r="AT85" s="413">
        <f t="shared" si="38"/>
        <v>0</v>
      </c>
      <c r="AU85" s="412"/>
      <c r="AV85" s="412">
        <v>0</v>
      </c>
      <c r="AW85" s="412">
        <v>0</v>
      </c>
      <c r="AX85" s="412">
        <v>51873.9</v>
      </c>
      <c r="AY85" s="412">
        <v>2925</v>
      </c>
      <c r="AZ85" s="412">
        <v>1118.6842105263158</v>
      </c>
      <c r="BA85" s="412">
        <v>320.89</v>
      </c>
      <c r="BB85" s="412">
        <v>2125.5</v>
      </c>
      <c r="BC85" s="412">
        <f t="shared" si="39"/>
        <v>58363.974210526314</v>
      </c>
      <c r="BE85" s="205">
        <f t="shared" si="27"/>
        <v>0</v>
      </c>
      <c r="BF85" s="205">
        <f t="shared" si="27"/>
        <v>0</v>
      </c>
      <c r="BG85" s="205">
        <f t="shared" si="27"/>
        <v>-5518.5</v>
      </c>
      <c r="BH85" s="205">
        <f t="shared" si="27"/>
        <v>390</v>
      </c>
      <c r="BI85" s="205">
        <f t="shared" si="27"/>
        <v>820.36842105263167</v>
      </c>
      <c r="BJ85" s="205">
        <f t="shared" si="27"/>
        <v>320.89</v>
      </c>
      <c r="BK85" s="205">
        <f t="shared" si="40"/>
        <v>-329.54999999999973</v>
      </c>
      <c r="BL85" s="205">
        <f t="shared" si="41"/>
        <v>-4316.7915789473682</v>
      </c>
      <c r="BM85" s="215">
        <f t="shared" si="42"/>
        <v>0</v>
      </c>
      <c r="BN85" s="215"/>
      <c r="BO85" s="412">
        <f t="shared" si="26"/>
        <v>0</v>
      </c>
      <c r="BP85" s="412">
        <f t="shared" si="26"/>
        <v>0</v>
      </c>
      <c r="BQ85" s="412">
        <f t="shared" si="26"/>
        <v>5959.9799999999959</v>
      </c>
      <c r="BR85" s="412">
        <f t="shared" si="26"/>
        <v>897</v>
      </c>
      <c r="BS85" s="412">
        <f t="shared" si="26"/>
        <v>880.03157894736842</v>
      </c>
      <c r="BT85" s="412">
        <f t="shared" si="26"/>
        <v>320.89</v>
      </c>
      <c r="BU85" s="412">
        <f t="shared" si="25"/>
        <v>161.46000000000004</v>
      </c>
      <c r="BV85" s="412">
        <f t="shared" si="43"/>
        <v>8219.3615789473643</v>
      </c>
      <c r="BW85" s="412">
        <f t="shared" si="28"/>
        <v>0</v>
      </c>
      <c r="BX85" s="412"/>
      <c r="BY85" s="412">
        <f t="shared" si="44"/>
        <v>58363.974210526314</v>
      </c>
      <c r="BZ85" s="412"/>
      <c r="CA85" s="412">
        <f>IFERROR(VLOOKUP(A85,'Actuals Summer'!A:S,19,FALSE),0)</f>
        <v>58363.974210526314</v>
      </c>
      <c r="CC85" s="412"/>
      <c r="CD85" s="412"/>
      <c r="CE85" s="412"/>
      <c r="CF85" s="412"/>
      <c r="CG85" s="412"/>
      <c r="CH85" s="412"/>
      <c r="CI85" s="412"/>
      <c r="CJ85" s="412"/>
      <c r="CK85" s="412"/>
      <c r="CL85" s="412"/>
      <c r="CM85" s="412"/>
      <c r="CN85" s="412"/>
      <c r="CO85" s="412"/>
      <c r="CQ85" s="363"/>
      <c r="CR85" s="363"/>
      <c r="CS85" s="363"/>
      <c r="CT85" s="363"/>
      <c r="CU85" s="363"/>
      <c r="CV85" s="363"/>
      <c r="CW85" s="363"/>
      <c r="CX85" s="363"/>
      <c r="CZ85" s="414"/>
      <c r="DA85" s="414"/>
      <c r="DB85" s="414"/>
      <c r="DC85" s="414"/>
      <c r="DD85" s="414"/>
      <c r="DE85" s="414"/>
      <c r="DF85" s="414"/>
      <c r="DG85" s="414"/>
      <c r="DI85" s="414">
        <f t="shared" si="45"/>
        <v>0</v>
      </c>
      <c r="DJ85" s="414"/>
      <c r="DK85" s="414"/>
      <c r="DL85" s="414"/>
      <c r="DM85" s="414"/>
      <c r="DN85" s="414"/>
      <c r="DO85" s="414"/>
      <c r="DP85" s="414"/>
      <c r="DQ85" s="414"/>
      <c r="DS85" s="414"/>
      <c r="DT85" s="414"/>
      <c r="DU85" s="414"/>
      <c r="DV85" s="414"/>
      <c r="DW85" s="414"/>
      <c r="DX85" s="414"/>
      <c r="DY85" s="414"/>
      <c r="DZ85" s="414"/>
      <c r="EB85" s="415">
        <f t="shared" si="29"/>
        <v>143289.97706371191</v>
      </c>
      <c r="EC85" s="415">
        <f t="shared" si="30"/>
        <v>652.43792243767314</v>
      </c>
      <c r="ED85" s="416">
        <f t="shared" si="46"/>
        <v>143942.41498614958</v>
      </c>
    </row>
    <row r="86" spans="1:134" hidden="1" x14ac:dyDescent="0.35">
      <c r="A86" s="17">
        <v>2129</v>
      </c>
      <c r="B86" s="4">
        <v>103229</v>
      </c>
      <c r="C86" s="4" t="s">
        <v>966</v>
      </c>
      <c r="D86" s="4" t="s">
        <v>967</v>
      </c>
      <c r="E86" s="15" t="s">
        <v>32</v>
      </c>
      <c r="F86" s="16" t="s">
        <v>27</v>
      </c>
      <c r="G86" s="215"/>
      <c r="H86" s="363">
        <v>0</v>
      </c>
      <c r="I86" s="410"/>
      <c r="J86" s="363">
        <v>0</v>
      </c>
      <c r="K86" s="363">
        <v>0</v>
      </c>
      <c r="L86" s="363">
        <v>0</v>
      </c>
      <c r="M86" s="363">
        <v>0</v>
      </c>
      <c r="N86" s="363">
        <v>0</v>
      </c>
      <c r="O86" s="363">
        <v>0</v>
      </c>
      <c r="P86" s="215">
        <f t="shared" si="31"/>
        <v>0</v>
      </c>
      <c r="Q86" s="363">
        <f t="shared" si="32"/>
        <v>0</v>
      </c>
      <c r="R86" s="410"/>
      <c r="S86" s="363">
        <v>0</v>
      </c>
      <c r="T86" s="363">
        <v>0</v>
      </c>
      <c r="U86" s="363">
        <v>0</v>
      </c>
      <c r="V86" s="363">
        <v>0</v>
      </c>
      <c r="W86" s="363">
        <v>0</v>
      </c>
      <c r="X86" s="363">
        <v>0</v>
      </c>
      <c r="Y86" s="363">
        <f t="shared" si="33"/>
        <v>0</v>
      </c>
      <c r="Z86" s="363">
        <f t="shared" si="34"/>
        <v>0</v>
      </c>
      <c r="AA86" s="410"/>
      <c r="AB86" s="411">
        <v>0</v>
      </c>
      <c r="AC86" s="411">
        <v>0</v>
      </c>
      <c r="AD86" s="411">
        <v>0</v>
      </c>
      <c r="AE86" s="411">
        <v>0</v>
      </c>
      <c r="AF86" s="411">
        <v>0</v>
      </c>
      <c r="AG86" s="411">
        <v>0</v>
      </c>
      <c r="AH86" s="363">
        <f t="shared" si="35"/>
        <v>0</v>
      </c>
      <c r="AI86" s="411">
        <f t="shared" si="36"/>
        <v>0</v>
      </c>
      <c r="AJ86" s="410"/>
      <c r="AK86" s="411">
        <v>0</v>
      </c>
      <c r="AL86" s="411">
        <v>0</v>
      </c>
      <c r="AM86" s="411">
        <v>0</v>
      </c>
      <c r="AN86" s="410"/>
      <c r="AO86" s="411">
        <f t="shared" si="37"/>
        <v>0</v>
      </c>
      <c r="AP86" s="411">
        <f t="shared" si="37"/>
        <v>0</v>
      </c>
      <c r="AQ86" s="411">
        <f t="shared" si="37"/>
        <v>0</v>
      </c>
      <c r="AR86" s="412"/>
      <c r="AS86" s="412">
        <v>0</v>
      </c>
      <c r="AT86" s="413">
        <f t="shared" si="38"/>
        <v>0</v>
      </c>
      <c r="AU86" s="412"/>
      <c r="AV86" s="412">
        <v>0</v>
      </c>
      <c r="AW86" s="412">
        <v>0</v>
      </c>
      <c r="AX86" s="412">
        <v>0</v>
      </c>
      <c r="AY86" s="412">
        <v>0</v>
      </c>
      <c r="AZ86" s="412">
        <v>0</v>
      </c>
      <c r="BA86" s="412">
        <v>0</v>
      </c>
      <c r="BB86" s="412">
        <v>0</v>
      </c>
      <c r="BC86" s="412">
        <f t="shared" si="39"/>
        <v>0</v>
      </c>
      <c r="BE86" s="205">
        <f t="shared" si="27"/>
        <v>0</v>
      </c>
      <c r="BF86" s="205">
        <f t="shared" si="27"/>
        <v>0</v>
      </c>
      <c r="BG86" s="205">
        <f t="shared" si="27"/>
        <v>0</v>
      </c>
      <c r="BH86" s="205">
        <f t="shared" si="27"/>
        <v>0</v>
      </c>
      <c r="BI86" s="205">
        <f t="shared" si="27"/>
        <v>0</v>
      </c>
      <c r="BJ86" s="205">
        <f t="shared" si="27"/>
        <v>0</v>
      </c>
      <c r="BK86" s="205">
        <f t="shared" si="40"/>
        <v>0</v>
      </c>
      <c r="BL86" s="205">
        <f t="shared" si="41"/>
        <v>0</v>
      </c>
      <c r="BM86" s="215">
        <f t="shared" si="42"/>
        <v>0</v>
      </c>
      <c r="BN86" s="215"/>
      <c r="BO86" s="412">
        <f t="shared" si="26"/>
        <v>0</v>
      </c>
      <c r="BP86" s="412">
        <f t="shared" si="26"/>
        <v>0</v>
      </c>
      <c r="BQ86" s="412">
        <f t="shared" si="26"/>
        <v>0</v>
      </c>
      <c r="BR86" s="412">
        <f t="shared" si="26"/>
        <v>0</v>
      </c>
      <c r="BS86" s="412">
        <f t="shared" si="26"/>
        <v>0</v>
      </c>
      <c r="BT86" s="412">
        <f t="shared" si="26"/>
        <v>0</v>
      </c>
      <c r="BU86" s="412">
        <f t="shared" si="25"/>
        <v>0</v>
      </c>
      <c r="BV86" s="412">
        <f t="shared" si="43"/>
        <v>0</v>
      </c>
      <c r="BW86" s="412">
        <f t="shared" si="28"/>
        <v>0</v>
      </c>
      <c r="BX86" s="412"/>
      <c r="BY86" s="412">
        <f t="shared" si="44"/>
        <v>0</v>
      </c>
      <c r="BZ86" s="412"/>
      <c r="CA86" s="412">
        <f>IFERROR(VLOOKUP(A86,'Actuals Summer'!A:S,19,FALSE),0)</f>
        <v>0</v>
      </c>
      <c r="CC86" s="412"/>
      <c r="CD86" s="412"/>
      <c r="CE86" s="412"/>
      <c r="CF86" s="412"/>
      <c r="CG86" s="412"/>
      <c r="CH86" s="412"/>
      <c r="CI86" s="412"/>
      <c r="CJ86" s="412"/>
      <c r="CK86" s="412"/>
      <c r="CL86" s="412"/>
      <c r="CM86" s="412"/>
      <c r="CN86" s="412"/>
      <c r="CO86" s="412"/>
      <c r="CQ86" s="363"/>
      <c r="CR86" s="363"/>
      <c r="CS86" s="363"/>
      <c r="CT86" s="363"/>
      <c r="CU86" s="363"/>
      <c r="CV86" s="363"/>
      <c r="CW86" s="363"/>
      <c r="CX86" s="363"/>
      <c r="CZ86" s="414"/>
      <c r="DA86" s="414"/>
      <c r="DB86" s="414"/>
      <c r="DC86" s="414"/>
      <c r="DD86" s="414"/>
      <c r="DE86" s="414"/>
      <c r="DF86" s="414"/>
      <c r="DG86" s="414"/>
      <c r="DI86" s="414">
        <f t="shared" si="45"/>
        <v>0</v>
      </c>
      <c r="DJ86" s="414"/>
      <c r="DK86" s="414"/>
      <c r="DL86" s="414"/>
      <c r="DM86" s="414"/>
      <c r="DN86" s="414"/>
      <c r="DO86" s="414"/>
      <c r="DP86" s="414"/>
      <c r="DQ86" s="414"/>
      <c r="DS86" s="414"/>
      <c r="DT86" s="414"/>
      <c r="DU86" s="414"/>
      <c r="DV86" s="414"/>
      <c r="DW86" s="414"/>
      <c r="DX86" s="414"/>
      <c r="DY86" s="414"/>
      <c r="DZ86" s="414"/>
      <c r="EB86" s="415">
        <f t="shared" si="29"/>
        <v>0</v>
      </c>
      <c r="EC86" s="415">
        <f t="shared" si="30"/>
        <v>0</v>
      </c>
      <c r="ED86" s="416">
        <f t="shared" si="46"/>
        <v>0</v>
      </c>
    </row>
    <row r="87" spans="1:134" hidden="1" x14ac:dyDescent="0.35">
      <c r="A87" s="17">
        <v>2128</v>
      </c>
      <c r="B87" s="4">
        <v>103228</v>
      </c>
      <c r="C87" s="4" t="s">
        <v>968</v>
      </c>
      <c r="D87" s="4" t="s">
        <v>969</v>
      </c>
      <c r="E87" s="15" t="s">
        <v>32</v>
      </c>
      <c r="F87" s="16" t="s">
        <v>27</v>
      </c>
      <c r="G87" s="215"/>
      <c r="H87" s="363">
        <v>0</v>
      </c>
      <c r="I87" s="410"/>
      <c r="J87" s="363">
        <v>0</v>
      </c>
      <c r="K87" s="363">
        <v>0</v>
      </c>
      <c r="L87" s="363">
        <v>0</v>
      </c>
      <c r="M87" s="363">
        <v>0</v>
      </c>
      <c r="N87" s="363">
        <v>0</v>
      </c>
      <c r="O87" s="363">
        <v>0</v>
      </c>
      <c r="P87" s="215">
        <f t="shared" si="31"/>
        <v>0</v>
      </c>
      <c r="Q87" s="363">
        <f t="shared" si="32"/>
        <v>0</v>
      </c>
      <c r="R87" s="410"/>
      <c r="S87" s="363">
        <v>0</v>
      </c>
      <c r="T87" s="363">
        <v>0</v>
      </c>
      <c r="U87" s="363">
        <v>0</v>
      </c>
      <c r="V87" s="363">
        <v>0</v>
      </c>
      <c r="W87" s="363">
        <v>0</v>
      </c>
      <c r="X87" s="363">
        <v>0</v>
      </c>
      <c r="Y87" s="363">
        <f t="shared" si="33"/>
        <v>0</v>
      </c>
      <c r="Z87" s="363">
        <f t="shared" si="34"/>
        <v>0</v>
      </c>
      <c r="AA87" s="410"/>
      <c r="AB87" s="411">
        <v>0</v>
      </c>
      <c r="AC87" s="411">
        <v>0</v>
      </c>
      <c r="AD87" s="411">
        <v>0</v>
      </c>
      <c r="AE87" s="411">
        <v>0</v>
      </c>
      <c r="AF87" s="411">
        <v>0</v>
      </c>
      <c r="AG87" s="411">
        <v>0</v>
      </c>
      <c r="AH87" s="363">
        <f t="shared" si="35"/>
        <v>0</v>
      </c>
      <c r="AI87" s="411">
        <f t="shared" si="36"/>
        <v>0</v>
      </c>
      <c r="AJ87" s="410"/>
      <c r="AK87" s="411">
        <v>0</v>
      </c>
      <c r="AL87" s="411">
        <v>0</v>
      </c>
      <c r="AM87" s="411">
        <v>0</v>
      </c>
      <c r="AN87" s="410"/>
      <c r="AO87" s="411">
        <f t="shared" si="37"/>
        <v>0</v>
      </c>
      <c r="AP87" s="411">
        <f t="shared" si="37"/>
        <v>0</v>
      </c>
      <c r="AQ87" s="411">
        <f t="shared" si="37"/>
        <v>0</v>
      </c>
      <c r="AR87" s="412"/>
      <c r="AS87" s="412">
        <v>0</v>
      </c>
      <c r="AT87" s="413">
        <f t="shared" si="38"/>
        <v>0</v>
      </c>
      <c r="AU87" s="412"/>
      <c r="AV87" s="412">
        <v>0</v>
      </c>
      <c r="AW87" s="412">
        <v>0</v>
      </c>
      <c r="AX87" s="412">
        <v>0</v>
      </c>
      <c r="AY87" s="412">
        <v>0</v>
      </c>
      <c r="AZ87" s="412">
        <v>0</v>
      </c>
      <c r="BA87" s="412">
        <v>0</v>
      </c>
      <c r="BB87" s="412">
        <v>0</v>
      </c>
      <c r="BC87" s="412">
        <f t="shared" si="39"/>
        <v>0</v>
      </c>
      <c r="BE87" s="205">
        <f t="shared" si="27"/>
        <v>0</v>
      </c>
      <c r="BF87" s="205">
        <f t="shared" si="27"/>
        <v>0</v>
      </c>
      <c r="BG87" s="205">
        <f t="shared" si="27"/>
        <v>0</v>
      </c>
      <c r="BH87" s="205">
        <f t="shared" si="27"/>
        <v>0</v>
      </c>
      <c r="BI87" s="205">
        <f t="shared" si="27"/>
        <v>0</v>
      </c>
      <c r="BJ87" s="205">
        <f t="shared" si="27"/>
        <v>0</v>
      </c>
      <c r="BK87" s="205">
        <f t="shared" si="40"/>
        <v>0</v>
      </c>
      <c r="BL87" s="205">
        <f t="shared" si="41"/>
        <v>0</v>
      </c>
      <c r="BM87" s="215">
        <f t="shared" si="42"/>
        <v>0</v>
      </c>
      <c r="BN87" s="215"/>
      <c r="BO87" s="412">
        <f t="shared" si="26"/>
        <v>0</v>
      </c>
      <c r="BP87" s="412">
        <f t="shared" si="26"/>
        <v>0</v>
      </c>
      <c r="BQ87" s="412">
        <f t="shared" si="26"/>
        <v>0</v>
      </c>
      <c r="BR87" s="412">
        <f t="shared" si="26"/>
        <v>0</v>
      </c>
      <c r="BS87" s="412">
        <f t="shared" si="26"/>
        <v>0</v>
      </c>
      <c r="BT87" s="412">
        <f t="shared" si="26"/>
        <v>0</v>
      </c>
      <c r="BU87" s="412">
        <f t="shared" si="25"/>
        <v>0</v>
      </c>
      <c r="BV87" s="412">
        <f t="shared" si="43"/>
        <v>0</v>
      </c>
      <c r="BW87" s="412">
        <f t="shared" si="28"/>
        <v>0</v>
      </c>
      <c r="BX87" s="412"/>
      <c r="BY87" s="412">
        <f t="shared" si="44"/>
        <v>0</v>
      </c>
      <c r="BZ87" s="412"/>
      <c r="CA87" s="412">
        <f>IFERROR(VLOOKUP(A87,'Actuals Summer'!A:S,19,FALSE),0)</f>
        <v>0</v>
      </c>
      <c r="CC87" s="412"/>
      <c r="CD87" s="412"/>
      <c r="CE87" s="412"/>
      <c r="CF87" s="412"/>
      <c r="CG87" s="412"/>
      <c r="CH87" s="412"/>
      <c r="CI87" s="412"/>
      <c r="CJ87" s="412"/>
      <c r="CK87" s="412"/>
      <c r="CL87" s="412"/>
      <c r="CM87" s="412"/>
      <c r="CN87" s="412"/>
      <c r="CO87" s="412"/>
      <c r="CQ87" s="363"/>
      <c r="CR87" s="363"/>
      <c r="CS87" s="363"/>
      <c r="CT87" s="363"/>
      <c r="CU87" s="363"/>
      <c r="CV87" s="363"/>
      <c r="CW87" s="363"/>
      <c r="CX87" s="363"/>
      <c r="CZ87" s="414"/>
      <c r="DA87" s="414"/>
      <c r="DB87" s="414"/>
      <c r="DC87" s="414"/>
      <c r="DD87" s="414"/>
      <c r="DE87" s="414"/>
      <c r="DF87" s="414"/>
      <c r="DG87" s="414"/>
      <c r="DI87" s="414">
        <f t="shared" si="45"/>
        <v>0</v>
      </c>
      <c r="DJ87" s="414"/>
      <c r="DK87" s="414"/>
      <c r="DL87" s="414"/>
      <c r="DM87" s="414"/>
      <c r="DN87" s="414"/>
      <c r="DO87" s="414"/>
      <c r="DP87" s="414"/>
      <c r="DQ87" s="414"/>
      <c r="DS87" s="414"/>
      <c r="DT87" s="414"/>
      <c r="DU87" s="414"/>
      <c r="DV87" s="414"/>
      <c r="DW87" s="414"/>
      <c r="DX87" s="414"/>
      <c r="DY87" s="414"/>
      <c r="DZ87" s="414"/>
      <c r="EB87" s="415">
        <f t="shared" si="29"/>
        <v>0</v>
      </c>
      <c r="EC87" s="415">
        <f t="shared" si="30"/>
        <v>0</v>
      </c>
      <c r="ED87" s="416">
        <f t="shared" si="46"/>
        <v>0</v>
      </c>
    </row>
    <row r="88" spans="1:134" hidden="1" x14ac:dyDescent="0.35">
      <c r="A88" s="17">
        <v>2420</v>
      </c>
      <c r="B88" s="4">
        <v>103353</v>
      </c>
      <c r="C88" s="4" t="s">
        <v>970</v>
      </c>
      <c r="D88" s="4" t="s">
        <v>971</v>
      </c>
      <c r="E88" s="15" t="s">
        <v>32</v>
      </c>
      <c r="F88" s="16" t="s">
        <v>27</v>
      </c>
      <c r="G88" s="215"/>
      <c r="H88" s="363">
        <v>0</v>
      </c>
      <c r="I88" s="410"/>
      <c r="J88" s="363">
        <v>0</v>
      </c>
      <c r="K88" s="363">
        <v>0</v>
      </c>
      <c r="L88" s="363">
        <v>0</v>
      </c>
      <c r="M88" s="363">
        <v>0</v>
      </c>
      <c r="N88" s="363">
        <v>0</v>
      </c>
      <c r="O88" s="363">
        <v>0</v>
      </c>
      <c r="P88" s="215">
        <f t="shared" si="31"/>
        <v>0</v>
      </c>
      <c r="Q88" s="363">
        <f t="shared" si="32"/>
        <v>0</v>
      </c>
      <c r="R88" s="410"/>
      <c r="S88" s="363">
        <v>0</v>
      </c>
      <c r="T88" s="363">
        <v>0</v>
      </c>
      <c r="U88" s="363">
        <v>0</v>
      </c>
      <c r="V88" s="363">
        <v>0</v>
      </c>
      <c r="W88" s="363">
        <v>0</v>
      </c>
      <c r="X88" s="363">
        <v>0</v>
      </c>
      <c r="Y88" s="363">
        <f t="shared" si="33"/>
        <v>0</v>
      </c>
      <c r="Z88" s="363">
        <f t="shared" si="34"/>
        <v>0</v>
      </c>
      <c r="AA88" s="410"/>
      <c r="AB88" s="411">
        <v>0</v>
      </c>
      <c r="AC88" s="411">
        <v>0</v>
      </c>
      <c r="AD88" s="411">
        <v>0</v>
      </c>
      <c r="AE88" s="411">
        <v>0</v>
      </c>
      <c r="AF88" s="411">
        <v>0</v>
      </c>
      <c r="AG88" s="411">
        <v>0</v>
      </c>
      <c r="AH88" s="363">
        <f t="shared" si="35"/>
        <v>0</v>
      </c>
      <c r="AI88" s="411">
        <f t="shared" si="36"/>
        <v>0</v>
      </c>
      <c r="AJ88" s="410"/>
      <c r="AK88" s="411">
        <v>0</v>
      </c>
      <c r="AL88" s="411">
        <v>0</v>
      </c>
      <c r="AM88" s="411">
        <v>0</v>
      </c>
      <c r="AN88" s="410"/>
      <c r="AO88" s="411">
        <f t="shared" si="37"/>
        <v>0</v>
      </c>
      <c r="AP88" s="411">
        <f t="shared" si="37"/>
        <v>0</v>
      </c>
      <c r="AQ88" s="411">
        <f t="shared" si="37"/>
        <v>0</v>
      </c>
      <c r="AR88" s="412"/>
      <c r="AS88" s="412">
        <v>0</v>
      </c>
      <c r="AT88" s="413">
        <f t="shared" si="38"/>
        <v>0</v>
      </c>
      <c r="AU88" s="412"/>
      <c r="AV88" s="412">
        <v>0</v>
      </c>
      <c r="AW88" s="412">
        <v>0</v>
      </c>
      <c r="AX88" s="412">
        <v>0</v>
      </c>
      <c r="AY88" s="412">
        <v>0</v>
      </c>
      <c r="AZ88" s="412">
        <v>0</v>
      </c>
      <c r="BA88" s="412">
        <v>0</v>
      </c>
      <c r="BB88" s="412">
        <v>0</v>
      </c>
      <c r="BC88" s="412">
        <f t="shared" si="39"/>
        <v>0</v>
      </c>
      <c r="BE88" s="205">
        <f t="shared" si="27"/>
        <v>0</v>
      </c>
      <c r="BF88" s="205">
        <f t="shared" si="27"/>
        <v>0</v>
      </c>
      <c r="BG88" s="205">
        <f t="shared" si="27"/>
        <v>0</v>
      </c>
      <c r="BH88" s="205">
        <f t="shared" si="27"/>
        <v>0</v>
      </c>
      <c r="BI88" s="205">
        <f t="shared" si="27"/>
        <v>0</v>
      </c>
      <c r="BJ88" s="205">
        <f t="shared" si="27"/>
        <v>0</v>
      </c>
      <c r="BK88" s="205">
        <f t="shared" si="40"/>
        <v>0</v>
      </c>
      <c r="BL88" s="205">
        <f t="shared" si="41"/>
        <v>0</v>
      </c>
      <c r="BM88" s="215">
        <f t="shared" si="42"/>
        <v>0</v>
      </c>
      <c r="BN88" s="215"/>
      <c r="BO88" s="412">
        <f t="shared" si="26"/>
        <v>0</v>
      </c>
      <c r="BP88" s="412">
        <f t="shared" si="26"/>
        <v>0</v>
      </c>
      <c r="BQ88" s="412">
        <f t="shared" si="26"/>
        <v>0</v>
      </c>
      <c r="BR88" s="412">
        <f t="shared" si="26"/>
        <v>0</v>
      </c>
      <c r="BS88" s="412">
        <f t="shared" si="26"/>
        <v>0</v>
      </c>
      <c r="BT88" s="412">
        <f t="shared" si="26"/>
        <v>0</v>
      </c>
      <c r="BU88" s="412">
        <f t="shared" si="25"/>
        <v>0</v>
      </c>
      <c r="BV88" s="412">
        <f t="shared" si="43"/>
        <v>0</v>
      </c>
      <c r="BW88" s="412">
        <f t="shared" si="28"/>
        <v>0</v>
      </c>
      <c r="BX88" s="412"/>
      <c r="BY88" s="412">
        <f t="shared" si="44"/>
        <v>0</v>
      </c>
      <c r="BZ88" s="412"/>
      <c r="CA88" s="412">
        <f>IFERROR(VLOOKUP(A88,'Actuals Summer'!A:S,19,FALSE),0)</f>
        <v>0</v>
      </c>
      <c r="CC88" s="412"/>
      <c r="CD88" s="412"/>
      <c r="CE88" s="412"/>
      <c r="CF88" s="412"/>
      <c r="CG88" s="412"/>
      <c r="CH88" s="412"/>
      <c r="CI88" s="412"/>
      <c r="CJ88" s="412"/>
      <c r="CK88" s="412"/>
      <c r="CL88" s="412"/>
      <c r="CM88" s="412"/>
      <c r="CN88" s="412"/>
      <c r="CO88" s="412"/>
      <c r="CQ88" s="363"/>
      <c r="CR88" s="363"/>
      <c r="CS88" s="363"/>
      <c r="CT88" s="363"/>
      <c r="CU88" s="363"/>
      <c r="CV88" s="363"/>
      <c r="CW88" s="363"/>
      <c r="CX88" s="363"/>
      <c r="CZ88" s="414"/>
      <c r="DA88" s="414"/>
      <c r="DB88" s="414"/>
      <c r="DC88" s="414"/>
      <c r="DD88" s="414"/>
      <c r="DE88" s="414"/>
      <c r="DF88" s="414"/>
      <c r="DG88" s="414"/>
      <c r="DI88" s="414">
        <f t="shared" si="45"/>
        <v>0</v>
      </c>
      <c r="DJ88" s="414"/>
      <c r="DK88" s="414"/>
      <c r="DL88" s="414"/>
      <c r="DM88" s="414"/>
      <c r="DN88" s="414"/>
      <c r="DO88" s="414"/>
      <c r="DP88" s="414"/>
      <c r="DQ88" s="414"/>
      <c r="DS88" s="414"/>
      <c r="DT88" s="414"/>
      <c r="DU88" s="414"/>
      <c r="DV88" s="414"/>
      <c r="DW88" s="414"/>
      <c r="DX88" s="414"/>
      <c r="DY88" s="414"/>
      <c r="DZ88" s="414"/>
      <c r="EB88" s="415">
        <f t="shared" si="29"/>
        <v>0</v>
      </c>
      <c r="EC88" s="415">
        <f t="shared" si="30"/>
        <v>0</v>
      </c>
      <c r="ED88" s="416">
        <f t="shared" si="46"/>
        <v>0</v>
      </c>
    </row>
    <row r="89" spans="1:134" hidden="1" x14ac:dyDescent="0.35">
      <c r="A89" s="17">
        <v>1012</v>
      </c>
      <c r="B89" s="4">
        <v>103126</v>
      </c>
      <c r="C89" s="4" t="s">
        <v>108</v>
      </c>
      <c r="D89" s="4" t="s">
        <v>109</v>
      </c>
      <c r="E89" s="15" t="s">
        <v>26</v>
      </c>
      <c r="F89" s="16" t="s">
        <v>27</v>
      </c>
      <c r="G89" s="215"/>
      <c r="H89" s="363">
        <v>258496.34722363501</v>
      </c>
      <c r="I89" s="410"/>
      <c r="J89" s="363">
        <v>0</v>
      </c>
      <c r="K89" s="363">
        <v>39826.799999999996</v>
      </c>
      <c r="L89" s="363">
        <v>132444</v>
      </c>
      <c r="M89" s="363">
        <v>11115</v>
      </c>
      <c r="N89" s="363">
        <v>0</v>
      </c>
      <c r="O89" s="363">
        <v>962.68421052631584</v>
      </c>
      <c r="P89" s="215">
        <f t="shared" si="31"/>
        <v>184348.48421052631</v>
      </c>
      <c r="Q89" s="363">
        <f t="shared" si="32"/>
        <v>147478.78736842106</v>
      </c>
      <c r="R89" s="410"/>
      <c r="S89" s="363">
        <v>0</v>
      </c>
      <c r="T89" s="363">
        <v>64718.549999999996</v>
      </c>
      <c r="U89" s="363">
        <v>101540.40000000001</v>
      </c>
      <c r="V89" s="363">
        <v>10335</v>
      </c>
      <c r="W89" s="363">
        <v>0</v>
      </c>
      <c r="X89" s="363">
        <v>320.89473684210526</v>
      </c>
      <c r="Y89" s="363">
        <f t="shared" si="33"/>
        <v>176914.84473684212</v>
      </c>
      <c r="Z89" s="363">
        <f t="shared" si="34"/>
        <v>141531.87578947371</v>
      </c>
      <c r="AA89" s="410"/>
      <c r="AB89" s="411">
        <v>0</v>
      </c>
      <c r="AC89" s="411">
        <v>43051.642105263156</v>
      </c>
      <c r="AD89" s="411">
        <v>102952.42105263157</v>
      </c>
      <c r="AE89" s="411">
        <v>8014.7368421052633</v>
      </c>
      <c r="AF89" s="411">
        <v>0</v>
      </c>
      <c r="AG89" s="411">
        <v>561.24099722991684</v>
      </c>
      <c r="AH89" s="363">
        <f t="shared" si="35"/>
        <v>154580.04099722989</v>
      </c>
      <c r="AI89" s="411">
        <f t="shared" si="36"/>
        <v>123664.03279778392</v>
      </c>
      <c r="AJ89" s="410"/>
      <c r="AK89" s="411">
        <v>3301.35</v>
      </c>
      <c r="AL89" s="411">
        <v>3870.75</v>
      </c>
      <c r="AM89" s="411">
        <v>2794.3578947368419</v>
      </c>
      <c r="AN89" s="410"/>
      <c r="AO89" s="411">
        <f t="shared" si="37"/>
        <v>2641.08</v>
      </c>
      <c r="AP89" s="411">
        <f t="shared" si="37"/>
        <v>3096.6000000000004</v>
      </c>
      <c r="AQ89" s="411">
        <f t="shared" si="37"/>
        <v>2235.4863157894738</v>
      </c>
      <c r="AR89" s="412"/>
      <c r="AS89" s="412">
        <v>263962.52778129739</v>
      </c>
      <c r="AT89" s="413">
        <f t="shared" si="38"/>
        <v>5466.1805576623883</v>
      </c>
      <c r="AU89" s="412"/>
      <c r="AV89" s="412">
        <v>0</v>
      </c>
      <c r="AW89" s="412">
        <v>39826.799999999996</v>
      </c>
      <c r="AX89" s="412">
        <v>150765.42000000001</v>
      </c>
      <c r="AY89" s="412">
        <v>13650</v>
      </c>
      <c r="AZ89" s="412">
        <v>0</v>
      </c>
      <c r="BA89" s="412">
        <v>962.67</v>
      </c>
      <c r="BB89" s="412">
        <v>4522.0500000000011</v>
      </c>
      <c r="BC89" s="412">
        <f t="shared" si="39"/>
        <v>473689.4677812974</v>
      </c>
      <c r="BE89" s="205">
        <f t="shared" si="27"/>
        <v>0</v>
      </c>
      <c r="BF89" s="205">
        <f t="shared" si="27"/>
        <v>0</v>
      </c>
      <c r="BG89" s="205">
        <f t="shared" si="27"/>
        <v>18321.420000000013</v>
      </c>
      <c r="BH89" s="205">
        <f t="shared" si="27"/>
        <v>2535</v>
      </c>
      <c r="BI89" s="205">
        <f t="shared" si="27"/>
        <v>0</v>
      </c>
      <c r="BJ89" s="205">
        <f t="shared" si="27"/>
        <v>-1.4210526315878269E-2</v>
      </c>
      <c r="BK89" s="205">
        <f t="shared" si="40"/>
        <v>1220.7000000000012</v>
      </c>
      <c r="BL89" s="205">
        <f t="shared" si="41"/>
        <v>27543.286347136087</v>
      </c>
      <c r="BM89" s="215">
        <f t="shared" si="42"/>
        <v>0</v>
      </c>
      <c r="BN89" s="215"/>
      <c r="BO89" s="412">
        <f t="shared" si="26"/>
        <v>0</v>
      </c>
      <c r="BP89" s="412">
        <f t="shared" si="26"/>
        <v>7965.3599999999969</v>
      </c>
      <c r="BQ89" s="412">
        <f t="shared" si="26"/>
        <v>44810.22</v>
      </c>
      <c r="BR89" s="412">
        <f t="shared" si="26"/>
        <v>4758</v>
      </c>
      <c r="BS89" s="412">
        <f t="shared" si="26"/>
        <v>0</v>
      </c>
      <c r="BT89" s="412">
        <f t="shared" si="26"/>
        <v>192.5226315789472</v>
      </c>
      <c r="BU89" s="412">
        <f t="shared" si="25"/>
        <v>1880.9700000000012</v>
      </c>
      <c r="BV89" s="412">
        <f t="shared" si="43"/>
        <v>59607.072631578951</v>
      </c>
      <c r="BW89" s="412">
        <f t="shared" si="28"/>
        <v>-5466.1805576623883</v>
      </c>
      <c r="BX89" s="412"/>
      <c r="BY89" s="412">
        <f t="shared" si="44"/>
        <v>209726.94</v>
      </c>
      <c r="BZ89" s="412"/>
      <c r="CA89" s="412">
        <f>IFERROR(VLOOKUP(A89,'Actuals Summer'!A:S,19,FALSE),0)</f>
        <v>209726.94</v>
      </c>
      <c r="CC89" s="412"/>
      <c r="CD89" s="412"/>
      <c r="CE89" s="412"/>
      <c r="CF89" s="412"/>
      <c r="CG89" s="412"/>
      <c r="CH89" s="412"/>
      <c r="CI89" s="412"/>
      <c r="CJ89" s="412"/>
      <c r="CK89" s="412"/>
      <c r="CL89" s="412"/>
      <c r="CM89" s="412"/>
      <c r="CN89" s="412"/>
      <c r="CO89" s="412"/>
      <c r="CQ89" s="363"/>
      <c r="CR89" s="363"/>
      <c r="CS89" s="363"/>
      <c r="CT89" s="363"/>
      <c r="CU89" s="363"/>
      <c r="CV89" s="363"/>
      <c r="CW89" s="363"/>
      <c r="CX89" s="363"/>
      <c r="CZ89" s="414"/>
      <c r="DA89" s="414"/>
      <c r="DB89" s="414"/>
      <c r="DC89" s="414"/>
      <c r="DD89" s="414"/>
      <c r="DE89" s="414"/>
      <c r="DF89" s="414"/>
      <c r="DG89" s="414"/>
      <c r="DI89" s="414">
        <f t="shared" si="45"/>
        <v>0</v>
      </c>
      <c r="DJ89" s="414"/>
      <c r="DK89" s="414"/>
      <c r="DL89" s="414"/>
      <c r="DM89" s="414"/>
      <c r="DN89" s="414"/>
      <c r="DO89" s="414"/>
      <c r="DP89" s="414"/>
      <c r="DQ89" s="414"/>
      <c r="DS89" s="414"/>
      <c r="DT89" s="414"/>
      <c r="DU89" s="414"/>
      <c r="DV89" s="414"/>
      <c r="DW89" s="414"/>
      <c r="DX89" s="414"/>
      <c r="DY89" s="414"/>
      <c r="DZ89" s="414"/>
      <c r="EB89" s="415">
        <f t="shared" si="29"/>
        <v>742549.08409708692</v>
      </c>
      <c r="EC89" s="415">
        <f t="shared" si="30"/>
        <v>1668.3785872576177</v>
      </c>
      <c r="ED89" s="416">
        <f t="shared" si="46"/>
        <v>744217.4626843445</v>
      </c>
    </row>
    <row r="90" spans="1:134" hidden="1" x14ac:dyDescent="0.35">
      <c r="A90" s="17">
        <v>2133</v>
      </c>
      <c r="B90" s="4">
        <v>103233</v>
      </c>
      <c r="C90" s="4" t="s">
        <v>972</v>
      </c>
      <c r="D90" s="4" t="s">
        <v>973</v>
      </c>
      <c r="E90" s="15" t="s">
        <v>32</v>
      </c>
      <c r="F90" s="16" t="s">
        <v>27</v>
      </c>
      <c r="G90" s="215"/>
      <c r="H90" s="363">
        <v>0</v>
      </c>
      <c r="I90" s="410"/>
      <c r="J90" s="363">
        <v>0</v>
      </c>
      <c r="K90" s="363">
        <v>0</v>
      </c>
      <c r="L90" s="363">
        <v>0</v>
      </c>
      <c r="M90" s="363">
        <v>0</v>
      </c>
      <c r="N90" s="363">
        <v>0</v>
      </c>
      <c r="O90" s="363">
        <v>0</v>
      </c>
      <c r="P90" s="215">
        <f t="shared" si="31"/>
        <v>0</v>
      </c>
      <c r="Q90" s="363">
        <f t="shared" si="32"/>
        <v>0</v>
      </c>
      <c r="R90" s="410"/>
      <c r="S90" s="363">
        <v>0</v>
      </c>
      <c r="T90" s="363">
        <v>0</v>
      </c>
      <c r="U90" s="363">
        <v>0</v>
      </c>
      <c r="V90" s="363">
        <v>0</v>
      </c>
      <c r="W90" s="363">
        <v>0</v>
      </c>
      <c r="X90" s="363">
        <v>0</v>
      </c>
      <c r="Y90" s="363">
        <f t="shared" si="33"/>
        <v>0</v>
      </c>
      <c r="Z90" s="363">
        <f t="shared" si="34"/>
        <v>0</v>
      </c>
      <c r="AA90" s="410"/>
      <c r="AB90" s="411">
        <v>0</v>
      </c>
      <c r="AC90" s="411">
        <v>0</v>
      </c>
      <c r="AD90" s="411">
        <v>0</v>
      </c>
      <c r="AE90" s="411">
        <v>0</v>
      </c>
      <c r="AF90" s="411">
        <v>0</v>
      </c>
      <c r="AG90" s="411">
        <v>0</v>
      </c>
      <c r="AH90" s="363">
        <f t="shared" si="35"/>
        <v>0</v>
      </c>
      <c r="AI90" s="411">
        <f t="shared" si="36"/>
        <v>0</v>
      </c>
      <c r="AJ90" s="410"/>
      <c r="AK90" s="411">
        <v>0</v>
      </c>
      <c r="AL90" s="411">
        <v>0</v>
      </c>
      <c r="AM90" s="411">
        <v>0</v>
      </c>
      <c r="AN90" s="410"/>
      <c r="AO90" s="411">
        <f t="shared" si="37"/>
        <v>0</v>
      </c>
      <c r="AP90" s="411">
        <f t="shared" si="37"/>
        <v>0</v>
      </c>
      <c r="AQ90" s="411">
        <f t="shared" si="37"/>
        <v>0</v>
      </c>
      <c r="AR90" s="412"/>
      <c r="AS90" s="412">
        <v>0</v>
      </c>
      <c r="AT90" s="413">
        <f t="shared" si="38"/>
        <v>0</v>
      </c>
      <c r="AU90" s="412"/>
      <c r="AV90" s="412">
        <v>0</v>
      </c>
      <c r="AW90" s="412">
        <v>0</v>
      </c>
      <c r="AX90" s="412">
        <v>0</v>
      </c>
      <c r="AY90" s="412">
        <v>0</v>
      </c>
      <c r="AZ90" s="412">
        <v>0</v>
      </c>
      <c r="BA90" s="412">
        <v>0</v>
      </c>
      <c r="BB90" s="412">
        <v>0</v>
      </c>
      <c r="BC90" s="412">
        <f t="shared" si="39"/>
        <v>0</v>
      </c>
      <c r="BE90" s="205">
        <f t="shared" si="27"/>
        <v>0</v>
      </c>
      <c r="BF90" s="205">
        <f t="shared" si="27"/>
        <v>0</v>
      </c>
      <c r="BG90" s="205">
        <f t="shared" si="27"/>
        <v>0</v>
      </c>
      <c r="BH90" s="205">
        <f t="shared" si="27"/>
        <v>0</v>
      </c>
      <c r="BI90" s="205">
        <f t="shared" si="27"/>
        <v>0</v>
      </c>
      <c r="BJ90" s="205">
        <f t="shared" si="27"/>
        <v>0</v>
      </c>
      <c r="BK90" s="205">
        <f t="shared" si="40"/>
        <v>0</v>
      </c>
      <c r="BL90" s="205">
        <f t="shared" si="41"/>
        <v>0</v>
      </c>
      <c r="BM90" s="215">
        <f t="shared" si="42"/>
        <v>0</v>
      </c>
      <c r="BN90" s="215"/>
      <c r="BO90" s="412">
        <f t="shared" si="26"/>
        <v>0</v>
      </c>
      <c r="BP90" s="412">
        <f t="shared" si="26"/>
        <v>0</v>
      </c>
      <c r="BQ90" s="412">
        <f t="shared" si="26"/>
        <v>0</v>
      </c>
      <c r="BR90" s="412">
        <f t="shared" si="26"/>
        <v>0</v>
      </c>
      <c r="BS90" s="412">
        <f t="shared" si="26"/>
        <v>0</v>
      </c>
      <c r="BT90" s="412">
        <f t="shared" si="26"/>
        <v>0</v>
      </c>
      <c r="BU90" s="412">
        <f t="shared" si="25"/>
        <v>0</v>
      </c>
      <c r="BV90" s="412">
        <f t="shared" si="43"/>
        <v>0</v>
      </c>
      <c r="BW90" s="412">
        <f t="shared" si="28"/>
        <v>0</v>
      </c>
      <c r="BX90" s="412"/>
      <c r="BY90" s="412">
        <f t="shared" si="44"/>
        <v>0</v>
      </c>
      <c r="BZ90" s="412"/>
      <c r="CA90" s="412">
        <f>IFERROR(VLOOKUP(A90,'Actuals Summer'!A:S,19,FALSE),0)</f>
        <v>0</v>
      </c>
      <c r="CC90" s="412"/>
      <c r="CD90" s="412"/>
      <c r="CE90" s="412"/>
      <c r="CF90" s="412"/>
      <c r="CG90" s="412"/>
      <c r="CH90" s="412"/>
      <c r="CI90" s="412"/>
      <c r="CJ90" s="412"/>
      <c r="CK90" s="412"/>
      <c r="CL90" s="412"/>
      <c r="CM90" s="412"/>
      <c r="CN90" s="412"/>
      <c r="CO90" s="412"/>
      <c r="CQ90" s="363"/>
      <c r="CR90" s="363"/>
      <c r="CS90" s="363"/>
      <c r="CT90" s="363"/>
      <c r="CU90" s="363"/>
      <c r="CV90" s="363"/>
      <c r="CW90" s="363"/>
      <c r="CX90" s="363"/>
      <c r="CZ90" s="414"/>
      <c r="DA90" s="414"/>
      <c r="DB90" s="414"/>
      <c r="DC90" s="414"/>
      <c r="DD90" s="414"/>
      <c r="DE90" s="414"/>
      <c r="DF90" s="414"/>
      <c r="DG90" s="414"/>
      <c r="DI90" s="414">
        <f t="shared" si="45"/>
        <v>0</v>
      </c>
      <c r="DJ90" s="414"/>
      <c r="DK90" s="414"/>
      <c r="DL90" s="414"/>
      <c r="DM90" s="414"/>
      <c r="DN90" s="414"/>
      <c r="DO90" s="414"/>
      <c r="DP90" s="414"/>
      <c r="DQ90" s="414"/>
      <c r="DS90" s="414"/>
      <c r="DT90" s="414"/>
      <c r="DU90" s="414"/>
      <c r="DV90" s="414"/>
      <c r="DW90" s="414"/>
      <c r="DX90" s="414"/>
      <c r="DY90" s="414"/>
      <c r="DZ90" s="414"/>
      <c r="EB90" s="415">
        <f t="shared" si="29"/>
        <v>0</v>
      </c>
      <c r="EC90" s="415">
        <f t="shared" si="30"/>
        <v>0</v>
      </c>
      <c r="ED90" s="416">
        <f t="shared" si="46"/>
        <v>0</v>
      </c>
    </row>
    <row r="91" spans="1:134" s="422" customFormat="1" x14ac:dyDescent="0.35">
      <c r="A91" s="18">
        <v>3322</v>
      </c>
      <c r="B91" s="19">
        <v>103426</v>
      </c>
      <c r="C91" s="19" t="s">
        <v>110</v>
      </c>
      <c r="D91" s="19" t="s">
        <v>111</v>
      </c>
      <c r="E91" s="20" t="s">
        <v>32</v>
      </c>
      <c r="F91" s="21" t="s">
        <v>49</v>
      </c>
      <c r="G91" s="417"/>
      <c r="H91" s="418">
        <v>0</v>
      </c>
      <c r="I91" s="418"/>
      <c r="J91" s="418">
        <v>0</v>
      </c>
      <c r="K91" s="418">
        <v>0</v>
      </c>
      <c r="L91" s="418">
        <v>38629.5</v>
      </c>
      <c r="M91" s="418">
        <v>1755</v>
      </c>
      <c r="N91" s="418">
        <v>0</v>
      </c>
      <c r="O91" s="418">
        <v>0</v>
      </c>
      <c r="P91" s="417">
        <f t="shared" si="31"/>
        <v>40384.5</v>
      </c>
      <c r="Q91" s="418">
        <f t="shared" si="32"/>
        <v>32307.600000000002</v>
      </c>
      <c r="R91" s="418"/>
      <c r="S91" s="418"/>
      <c r="T91" s="418"/>
      <c r="U91" s="418"/>
      <c r="V91" s="418"/>
      <c r="W91" s="418"/>
      <c r="X91" s="418"/>
      <c r="Y91" s="418"/>
      <c r="Z91" s="418"/>
      <c r="AA91" s="418"/>
      <c r="AB91" s="419"/>
      <c r="AC91" s="419"/>
      <c r="AD91" s="419"/>
      <c r="AE91" s="419"/>
      <c r="AF91" s="419"/>
      <c r="AG91" s="419"/>
      <c r="AH91" s="418"/>
      <c r="AI91" s="419"/>
      <c r="AJ91" s="418"/>
      <c r="AK91" s="419">
        <v>661.05000000000007</v>
      </c>
      <c r="AL91" s="419"/>
      <c r="AM91" s="419"/>
      <c r="AN91" s="418"/>
      <c r="AO91" s="419">
        <f t="shared" si="37"/>
        <v>528.84</v>
      </c>
      <c r="AP91" s="419">
        <f t="shared" si="37"/>
        <v>0</v>
      </c>
      <c r="AQ91" s="419">
        <f t="shared" si="37"/>
        <v>0</v>
      </c>
      <c r="AR91" s="420"/>
      <c r="AS91" s="420">
        <v>0</v>
      </c>
      <c r="AT91" s="421">
        <f t="shared" si="38"/>
        <v>0</v>
      </c>
      <c r="AU91" s="420"/>
      <c r="AV91" s="412"/>
      <c r="AW91" s="412"/>
      <c r="AX91" s="412"/>
      <c r="AY91" s="412"/>
      <c r="AZ91" s="412"/>
      <c r="BA91" s="412">
        <v>0</v>
      </c>
      <c r="BB91" s="412"/>
      <c r="BC91" s="412">
        <f t="shared" si="39"/>
        <v>0</v>
      </c>
      <c r="BE91" s="205"/>
      <c r="BF91" s="205"/>
      <c r="BG91" s="205"/>
      <c r="BH91" s="205"/>
      <c r="BI91" s="205"/>
      <c r="BJ91" s="205"/>
      <c r="BK91" s="205"/>
      <c r="BL91" s="205"/>
      <c r="BM91" s="215"/>
      <c r="BN91" s="215"/>
      <c r="BO91" s="412">
        <f t="shared" ref="BO91:BT122" si="47">AV91-(J91*80%)</f>
        <v>0</v>
      </c>
      <c r="BP91" s="412"/>
      <c r="BQ91" s="412"/>
      <c r="BR91" s="412"/>
      <c r="BS91" s="412"/>
      <c r="BT91" s="412"/>
      <c r="BU91" s="412"/>
      <c r="BV91" s="412">
        <f t="shared" si="43"/>
        <v>0</v>
      </c>
      <c r="BW91" s="412"/>
      <c r="BX91" s="420"/>
      <c r="BY91" s="412">
        <f t="shared" si="44"/>
        <v>32836.44</v>
      </c>
      <c r="BZ91" s="420"/>
      <c r="CA91" s="412">
        <f>IFERROR(VLOOKUP(A91,'Actuals Summer'!A:S,19,FALSE),0)</f>
        <v>44029.05</v>
      </c>
      <c r="CC91" s="412"/>
      <c r="CD91" s="412"/>
      <c r="CE91" s="412"/>
      <c r="CF91" s="412"/>
      <c r="CG91" s="412"/>
      <c r="CH91" s="412"/>
      <c r="CI91" s="412"/>
      <c r="CJ91" s="412"/>
      <c r="CK91" s="412"/>
      <c r="CL91" s="412"/>
      <c r="CM91" s="412"/>
      <c r="CN91" s="412"/>
      <c r="CO91" s="412"/>
      <c r="CP91"/>
      <c r="CQ91" s="363"/>
      <c r="CR91" s="363"/>
      <c r="CS91" s="363"/>
      <c r="CT91" s="363"/>
      <c r="CU91" s="363"/>
      <c r="CV91" s="363"/>
      <c r="CW91" s="363"/>
      <c r="CX91" s="363"/>
      <c r="CY91"/>
      <c r="CZ91" s="414"/>
      <c r="DA91" s="414"/>
      <c r="DB91" s="414"/>
      <c r="DC91" s="414"/>
      <c r="DD91" s="414"/>
      <c r="DE91" s="414"/>
      <c r="DF91" s="414"/>
      <c r="DG91" s="414"/>
      <c r="DH91"/>
      <c r="DI91" s="414">
        <f t="shared" si="45"/>
        <v>-11192.61</v>
      </c>
      <c r="DJ91" s="423"/>
      <c r="DK91" s="423"/>
      <c r="DL91" s="423"/>
      <c r="DM91" s="423"/>
      <c r="DN91" s="423"/>
      <c r="DO91" s="423"/>
      <c r="DP91" s="423"/>
      <c r="DQ91" s="423"/>
      <c r="DS91" s="423"/>
      <c r="DT91" s="423"/>
      <c r="DU91" s="423"/>
      <c r="DV91" s="423"/>
      <c r="DW91" s="423"/>
      <c r="DX91" s="423"/>
      <c r="DY91" s="423"/>
      <c r="DZ91" s="423"/>
      <c r="EB91" s="415">
        <f>((SUMIFS($J91:$AQ91,$J$3:$AQ$3,$EB$7)*80%))+SUMIFS($AS91:$AT91,$AS$3:$AT$3,$EB$7)+SUMIFS($AV91:$BC91,$AV$3:$BC$3,$EB$7)+Q91+AO91</f>
        <v>32836.44</v>
      </c>
      <c r="EC91" s="415">
        <f t="shared" si="30"/>
        <v>0</v>
      </c>
      <c r="ED91" s="424">
        <f t="shared" si="46"/>
        <v>32836.44</v>
      </c>
    </row>
    <row r="92" spans="1:134" hidden="1" x14ac:dyDescent="0.35">
      <c r="A92" s="17">
        <v>2406</v>
      </c>
      <c r="B92" s="4">
        <v>103345</v>
      </c>
      <c r="C92" s="4" t="s">
        <v>974</v>
      </c>
      <c r="D92" s="4" t="s">
        <v>975</v>
      </c>
      <c r="E92" s="15" t="s">
        <v>32</v>
      </c>
      <c r="F92" s="16" t="s">
        <v>27</v>
      </c>
      <c r="G92" s="215"/>
      <c r="H92" s="363">
        <v>0</v>
      </c>
      <c r="I92" s="410"/>
      <c r="J92" s="363">
        <v>0</v>
      </c>
      <c r="K92" s="363">
        <v>0</v>
      </c>
      <c r="L92" s="363">
        <v>0</v>
      </c>
      <c r="M92" s="363">
        <v>0</v>
      </c>
      <c r="N92" s="363">
        <v>0</v>
      </c>
      <c r="O92" s="363">
        <v>0</v>
      </c>
      <c r="P92" s="215">
        <f t="shared" si="31"/>
        <v>0</v>
      </c>
      <c r="Q92" s="363">
        <f t="shared" si="32"/>
        <v>0</v>
      </c>
      <c r="R92" s="410"/>
      <c r="S92" s="363">
        <v>0</v>
      </c>
      <c r="T92" s="363">
        <v>0</v>
      </c>
      <c r="U92" s="363">
        <v>0</v>
      </c>
      <c r="V92" s="363">
        <v>0</v>
      </c>
      <c r="W92" s="363">
        <v>0</v>
      </c>
      <c r="X92" s="363">
        <v>0</v>
      </c>
      <c r="Y92" s="363">
        <f t="shared" si="33"/>
        <v>0</v>
      </c>
      <c r="Z92" s="363">
        <f t="shared" si="34"/>
        <v>0</v>
      </c>
      <c r="AA92" s="410"/>
      <c r="AB92" s="411">
        <v>0</v>
      </c>
      <c r="AC92" s="411">
        <v>0</v>
      </c>
      <c r="AD92" s="411">
        <v>0</v>
      </c>
      <c r="AE92" s="411">
        <v>0</v>
      </c>
      <c r="AF92" s="411">
        <v>0</v>
      </c>
      <c r="AG92" s="411">
        <v>0</v>
      </c>
      <c r="AH92" s="363">
        <f t="shared" si="35"/>
        <v>0</v>
      </c>
      <c r="AI92" s="411">
        <f t="shared" si="36"/>
        <v>0</v>
      </c>
      <c r="AJ92" s="410"/>
      <c r="AK92" s="411">
        <v>0</v>
      </c>
      <c r="AL92" s="411">
        <v>0</v>
      </c>
      <c r="AM92" s="411">
        <v>0</v>
      </c>
      <c r="AN92" s="410"/>
      <c r="AO92" s="411">
        <f t="shared" si="37"/>
        <v>0</v>
      </c>
      <c r="AP92" s="411">
        <f t="shared" si="37"/>
        <v>0</v>
      </c>
      <c r="AQ92" s="411">
        <f t="shared" si="37"/>
        <v>0</v>
      </c>
      <c r="AR92" s="412"/>
      <c r="AS92" s="412">
        <v>0</v>
      </c>
      <c r="AT92" s="413">
        <f t="shared" si="38"/>
        <v>0</v>
      </c>
      <c r="AU92" s="412"/>
      <c r="AV92" s="412">
        <v>0</v>
      </c>
      <c r="AW92" s="412">
        <v>0</v>
      </c>
      <c r="AX92" s="412">
        <v>0</v>
      </c>
      <c r="AY92" s="412">
        <v>0</v>
      </c>
      <c r="AZ92" s="412">
        <v>0</v>
      </c>
      <c r="BA92" s="412">
        <v>0</v>
      </c>
      <c r="BB92" s="412">
        <v>0</v>
      </c>
      <c r="BC92" s="412">
        <f t="shared" si="39"/>
        <v>0</v>
      </c>
      <c r="BE92" s="205">
        <f t="shared" si="27"/>
        <v>0</v>
      </c>
      <c r="BF92" s="205">
        <f t="shared" si="27"/>
        <v>0</v>
      </c>
      <c r="BG92" s="205">
        <f t="shared" si="27"/>
        <v>0</v>
      </c>
      <c r="BH92" s="205">
        <f t="shared" si="27"/>
        <v>0</v>
      </c>
      <c r="BI92" s="205">
        <f t="shared" si="27"/>
        <v>0</v>
      </c>
      <c r="BJ92" s="205">
        <f t="shared" si="27"/>
        <v>0</v>
      </c>
      <c r="BK92" s="205">
        <f t="shared" si="40"/>
        <v>0</v>
      </c>
      <c r="BL92" s="205">
        <f t="shared" si="41"/>
        <v>0</v>
      </c>
      <c r="BM92" s="215">
        <f t="shared" si="42"/>
        <v>0</v>
      </c>
      <c r="BN92" s="215"/>
      <c r="BO92" s="412">
        <f t="shared" si="47"/>
        <v>0</v>
      </c>
      <c r="BP92" s="412">
        <f t="shared" si="47"/>
        <v>0</v>
      </c>
      <c r="BQ92" s="412">
        <f t="shared" si="47"/>
        <v>0</v>
      </c>
      <c r="BR92" s="412">
        <f t="shared" si="47"/>
        <v>0</v>
      </c>
      <c r="BS92" s="412">
        <f t="shared" si="47"/>
        <v>0</v>
      </c>
      <c r="BT92" s="412">
        <f t="shared" si="47"/>
        <v>0</v>
      </c>
      <c r="BU92" s="412">
        <f t="shared" ref="BU92:BU155" si="48">BB92-(AK92*80%)</f>
        <v>0</v>
      </c>
      <c r="BV92" s="412">
        <f t="shared" si="43"/>
        <v>0</v>
      </c>
      <c r="BW92" s="412">
        <f t="shared" si="28"/>
        <v>0</v>
      </c>
      <c r="BX92" s="412"/>
      <c r="BY92" s="412">
        <f t="shared" si="44"/>
        <v>0</v>
      </c>
      <c r="BZ92" s="412"/>
      <c r="CA92" s="412">
        <f>IFERROR(VLOOKUP(A92,'Actuals Summer'!A:S,19,FALSE),0)</f>
        <v>0</v>
      </c>
      <c r="CC92" s="412"/>
      <c r="CD92" s="412"/>
      <c r="CE92" s="412"/>
      <c r="CF92" s="412"/>
      <c r="CG92" s="412"/>
      <c r="CH92" s="412"/>
      <c r="CI92" s="412"/>
      <c r="CJ92" s="412"/>
      <c r="CK92" s="412"/>
      <c r="CL92" s="412"/>
      <c r="CM92" s="412"/>
      <c r="CN92" s="412"/>
      <c r="CO92" s="412"/>
      <c r="CQ92" s="363"/>
      <c r="CR92" s="363"/>
      <c r="CS92" s="363"/>
      <c r="CT92" s="363"/>
      <c r="CU92" s="363"/>
      <c r="CV92" s="363"/>
      <c r="CW92" s="363"/>
      <c r="CX92" s="363"/>
      <c r="CZ92" s="414"/>
      <c r="DA92" s="414"/>
      <c r="DB92" s="414"/>
      <c r="DC92" s="414"/>
      <c r="DD92" s="414"/>
      <c r="DE92" s="414"/>
      <c r="DF92" s="414"/>
      <c r="DG92" s="414"/>
      <c r="DI92" s="414">
        <f t="shared" si="45"/>
        <v>0</v>
      </c>
      <c r="DJ92" s="414"/>
      <c r="DK92" s="414"/>
      <c r="DL92" s="414"/>
      <c r="DM92" s="414"/>
      <c r="DN92" s="414"/>
      <c r="DO92" s="414"/>
      <c r="DP92" s="414"/>
      <c r="DQ92" s="414"/>
      <c r="DS92" s="414"/>
      <c r="DT92" s="414"/>
      <c r="DU92" s="414"/>
      <c r="DV92" s="414"/>
      <c r="DW92" s="414"/>
      <c r="DX92" s="414"/>
      <c r="DY92" s="414"/>
      <c r="DZ92" s="414"/>
      <c r="EB92" s="415">
        <f t="shared" si="29"/>
        <v>0</v>
      </c>
      <c r="EC92" s="415">
        <f t="shared" si="30"/>
        <v>0</v>
      </c>
      <c r="ED92" s="416">
        <f t="shared" si="46"/>
        <v>0</v>
      </c>
    </row>
    <row r="93" spans="1:134" hidden="1" x14ac:dyDescent="0.35">
      <c r="A93" s="17">
        <v>2416</v>
      </c>
      <c r="B93" s="4">
        <v>103351</v>
      </c>
      <c r="C93" s="4" t="s">
        <v>976</v>
      </c>
      <c r="D93" s="4" t="s">
        <v>977</v>
      </c>
      <c r="E93" s="15" t="s">
        <v>32</v>
      </c>
      <c r="F93" s="16" t="s">
        <v>27</v>
      </c>
      <c r="G93" s="215"/>
      <c r="H93" s="363">
        <v>0</v>
      </c>
      <c r="I93" s="410"/>
      <c r="J93" s="363">
        <v>0</v>
      </c>
      <c r="K93" s="363">
        <v>0</v>
      </c>
      <c r="L93" s="363">
        <v>0</v>
      </c>
      <c r="M93" s="363">
        <v>0</v>
      </c>
      <c r="N93" s="363">
        <v>0</v>
      </c>
      <c r="O93" s="363">
        <v>0</v>
      </c>
      <c r="P93" s="215">
        <f t="shared" si="31"/>
        <v>0</v>
      </c>
      <c r="Q93" s="363">
        <f t="shared" si="32"/>
        <v>0</v>
      </c>
      <c r="R93" s="410"/>
      <c r="S93" s="363">
        <v>0</v>
      </c>
      <c r="T93" s="363">
        <v>0</v>
      </c>
      <c r="U93" s="363">
        <v>0</v>
      </c>
      <c r="V93" s="363">
        <v>0</v>
      </c>
      <c r="W93" s="363">
        <v>0</v>
      </c>
      <c r="X93" s="363">
        <v>0</v>
      </c>
      <c r="Y93" s="363">
        <f t="shared" si="33"/>
        <v>0</v>
      </c>
      <c r="Z93" s="363">
        <f t="shared" si="34"/>
        <v>0</v>
      </c>
      <c r="AA93" s="410"/>
      <c r="AB93" s="411">
        <v>0</v>
      </c>
      <c r="AC93" s="411">
        <v>0</v>
      </c>
      <c r="AD93" s="411">
        <v>0</v>
      </c>
      <c r="AE93" s="411">
        <v>0</v>
      </c>
      <c r="AF93" s="411">
        <v>0</v>
      </c>
      <c r="AG93" s="411">
        <v>0</v>
      </c>
      <c r="AH93" s="363">
        <f t="shared" si="35"/>
        <v>0</v>
      </c>
      <c r="AI93" s="411">
        <f t="shared" si="36"/>
        <v>0</v>
      </c>
      <c r="AJ93" s="410"/>
      <c r="AK93" s="411">
        <v>0</v>
      </c>
      <c r="AL93" s="411">
        <v>0</v>
      </c>
      <c r="AM93" s="411">
        <v>0</v>
      </c>
      <c r="AN93" s="410"/>
      <c r="AO93" s="411">
        <f t="shared" si="37"/>
        <v>0</v>
      </c>
      <c r="AP93" s="411">
        <f t="shared" si="37"/>
        <v>0</v>
      </c>
      <c r="AQ93" s="411">
        <f t="shared" si="37"/>
        <v>0</v>
      </c>
      <c r="AR93" s="412"/>
      <c r="AS93" s="412">
        <v>0</v>
      </c>
      <c r="AT93" s="413">
        <f t="shared" si="38"/>
        <v>0</v>
      </c>
      <c r="AU93" s="412"/>
      <c r="AV93" s="412">
        <v>0</v>
      </c>
      <c r="AW93" s="412">
        <v>0</v>
      </c>
      <c r="AX93" s="412">
        <v>0</v>
      </c>
      <c r="AY93" s="412">
        <v>0</v>
      </c>
      <c r="AZ93" s="412">
        <v>0</v>
      </c>
      <c r="BA93" s="412">
        <v>0</v>
      </c>
      <c r="BB93" s="412">
        <v>0</v>
      </c>
      <c r="BC93" s="412">
        <f t="shared" si="39"/>
        <v>0</v>
      </c>
      <c r="BE93" s="205">
        <f t="shared" si="27"/>
        <v>0</v>
      </c>
      <c r="BF93" s="205">
        <f t="shared" si="27"/>
        <v>0</v>
      </c>
      <c r="BG93" s="205">
        <f t="shared" si="27"/>
        <v>0</v>
      </c>
      <c r="BH93" s="205">
        <f t="shared" si="27"/>
        <v>0</v>
      </c>
      <c r="BI93" s="205">
        <f t="shared" si="27"/>
        <v>0</v>
      </c>
      <c r="BJ93" s="205">
        <f t="shared" si="27"/>
        <v>0</v>
      </c>
      <c r="BK93" s="205">
        <f t="shared" si="40"/>
        <v>0</v>
      </c>
      <c r="BL93" s="205">
        <f t="shared" si="41"/>
        <v>0</v>
      </c>
      <c r="BM93" s="215">
        <f t="shared" si="42"/>
        <v>0</v>
      </c>
      <c r="BN93" s="215"/>
      <c r="BO93" s="412">
        <f t="shared" si="47"/>
        <v>0</v>
      </c>
      <c r="BP93" s="412">
        <f t="shared" si="47"/>
        <v>0</v>
      </c>
      <c r="BQ93" s="412">
        <f t="shared" si="47"/>
        <v>0</v>
      </c>
      <c r="BR93" s="412">
        <f t="shared" si="47"/>
        <v>0</v>
      </c>
      <c r="BS93" s="412">
        <f t="shared" si="47"/>
        <v>0</v>
      </c>
      <c r="BT93" s="412">
        <f t="shared" si="47"/>
        <v>0</v>
      </c>
      <c r="BU93" s="412">
        <f t="shared" si="48"/>
        <v>0</v>
      </c>
      <c r="BV93" s="412">
        <f t="shared" si="43"/>
        <v>0</v>
      </c>
      <c r="BW93" s="412">
        <f t="shared" si="28"/>
        <v>0</v>
      </c>
      <c r="BX93" s="412"/>
      <c r="BY93" s="412">
        <f t="shared" si="44"/>
        <v>0</v>
      </c>
      <c r="BZ93" s="412"/>
      <c r="CA93" s="412">
        <f>IFERROR(VLOOKUP(A93,'Actuals Summer'!A:S,19,FALSE),0)</f>
        <v>0</v>
      </c>
      <c r="CC93" s="412"/>
      <c r="CD93" s="412"/>
      <c r="CE93" s="412"/>
      <c r="CF93" s="412"/>
      <c r="CG93" s="412"/>
      <c r="CH93" s="412"/>
      <c r="CI93" s="412"/>
      <c r="CJ93" s="412"/>
      <c r="CK93" s="412"/>
      <c r="CL93" s="412"/>
      <c r="CM93" s="412"/>
      <c r="CN93" s="412"/>
      <c r="CO93" s="412"/>
      <c r="CQ93" s="363"/>
      <c r="CR93" s="363"/>
      <c r="CS93" s="363"/>
      <c r="CT93" s="363"/>
      <c r="CU93" s="363"/>
      <c r="CV93" s="363"/>
      <c r="CW93" s="363"/>
      <c r="CX93" s="363"/>
      <c r="CZ93" s="414"/>
      <c r="DA93" s="414"/>
      <c r="DB93" s="414"/>
      <c r="DC93" s="414"/>
      <c r="DD93" s="414"/>
      <c r="DE93" s="414"/>
      <c r="DF93" s="414"/>
      <c r="DG93" s="414"/>
      <c r="DI93" s="414">
        <f t="shared" si="45"/>
        <v>0</v>
      </c>
      <c r="DJ93" s="414"/>
      <c r="DK93" s="414"/>
      <c r="DL93" s="414"/>
      <c r="DM93" s="414"/>
      <c r="DN93" s="414"/>
      <c r="DO93" s="414"/>
      <c r="DP93" s="414"/>
      <c r="DQ93" s="414"/>
      <c r="DS93" s="414"/>
      <c r="DT93" s="414"/>
      <c r="DU93" s="414"/>
      <c r="DV93" s="414"/>
      <c r="DW93" s="414"/>
      <c r="DX93" s="414"/>
      <c r="DY93" s="414"/>
      <c r="DZ93" s="414"/>
      <c r="EB93" s="415">
        <f t="shared" si="29"/>
        <v>0</v>
      </c>
      <c r="EC93" s="415">
        <f t="shared" si="30"/>
        <v>0</v>
      </c>
      <c r="ED93" s="416">
        <f t="shared" si="46"/>
        <v>0</v>
      </c>
    </row>
    <row r="94" spans="1:134" hidden="1" x14ac:dyDescent="0.35">
      <c r="A94" s="17">
        <v>3003</v>
      </c>
      <c r="B94" s="4">
        <v>103398</v>
      </c>
      <c r="C94" s="4" t="s">
        <v>978</v>
      </c>
      <c r="D94" s="4" t="s">
        <v>979</v>
      </c>
      <c r="E94" s="15" t="s">
        <v>32</v>
      </c>
      <c r="F94" s="16" t="s">
        <v>27</v>
      </c>
      <c r="G94" s="215"/>
      <c r="H94" s="363">
        <v>0</v>
      </c>
      <c r="I94" s="410"/>
      <c r="J94" s="363">
        <v>0</v>
      </c>
      <c r="K94" s="363">
        <v>0</v>
      </c>
      <c r="L94" s="363">
        <v>0</v>
      </c>
      <c r="M94" s="363">
        <v>0</v>
      </c>
      <c r="N94" s="363">
        <v>0</v>
      </c>
      <c r="O94" s="363">
        <v>0</v>
      </c>
      <c r="P94" s="215">
        <f t="shared" si="31"/>
        <v>0</v>
      </c>
      <c r="Q94" s="363">
        <f t="shared" si="32"/>
        <v>0</v>
      </c>
      <c r="R94" s="410"/>
      <c r="S94" s="363">
        <v>0</v>
      </c>
      <c r="T94" s="363">
        <v>0</v>
      </c>
      <c r="U94" s="363">
        <v>0</v>
      </c>
      <c r="V94" s="363">
        <v>0</v>
      </c>
      <c r="W94" s="363">
        <v>0</v>
      </c>
      <c r="X94" s="363">
        <v>0</v>
      </c>
      <c r="Y94" s="363">
        <f t="shared" si="33"/>
        <v>0</v>
      </c>
      <c r="Z94" s="363">
        <f t="shared" si="34"/>
        <v>0</v>
      </c>
      <c r="AA94" s="410"/>
      <c r="AB94" s="411">
        <v>0</v>
      </c>
      <c r="AC94" s="411">
        <v>0</v>
      </c>
      <c r="AD94" s="411">
        <v>0</v>
      </c>
      <c r="AE94" s="411">
        <v>0</v>
      </c>
      <c r="AF94" s="411">
        <v>0</v>
      </c>
      <c r="AG94" s="411">
        <v>0</v>
      </c>
      <c r="AH94" s="363">
        <f t="shared" si="35"/>
        <v>0</v>
      </c>
      <c r="AI94" s="411">
        <f t="shared" si="36"/>
        <v>0</v>
      </c>
      <c r="AJ94" s="410"/>
      <c r="AK94" s="411">
        <v>0</v>
      </c>
      <c r="AL94" s="411">
        <v>0</v>
      </c>
      <c r="AM94" s="411">
        <v>0</v>
      </c>
      <c r="AN94" s="410"/>
      <c r="AO94" s="411">
        <f t="shared" si="37"/>
        <v>0</v>
      </c>
      <c r="AP94" s="411">
        <f t="shared" si="37"/>
        <v>0</v>
      </c>
      <c r="AQ94" s="411">
        <f t="shared" si="37"/>
        <v>0</v>
      </c>
      <c r="AR94" s="412"/>
      <c r="AS94" s="412">
        <v>0</v>
      </c>
      <c r="AT94" s="413">
        <f t="shared" si="38"/>
        <v>0</v>
      </c>
      <c r="AU94" s="412"/>
      <c r="AV94" s="412">
        <v>0</v>
      </c>
      <c r="AW94" s="412">
        <v>0</v>
      </c>
      <c r="AX94" s="412">
        <v>0</v>
      </c>
      <c r="AY94" s="412">
        <v>0</v>
      </c>
      <c r="AZ94" s="412">
        <v>0</v>
      </c>
      <c r="BA94" s="412">
        <v>0</v>
      </c>
      <c r="BB94" s="412">
        <v>0</v>
      </c>
      <c r="BC94" s="412">
        <f t="shared" si="39"/>
        <v>0</v>
      </c>
      <c r="BE94" s="205">
        <f t="shared" si="27"/>
        <v>0</v>
      </c>
      <c r="BF94" s="205">
        <f t="shared" si="27"/>
        <v>0</v>
      </c>
      <c r="BG94" s="205">
        <f t="shared" si="27"/>
        <v>0</v>
      </c>
      <c r="BH94" s="205">
        <f t="shared" si="27"/>
        <v>0</v>
      </c>
      <c r="BI94" s="205">
        <f t="shared" si="27"/>
        <v>0</v>
      </c>
      <c r="BJ94" s="205">
        <f t="shared" si="27"/>
        <v>0</v>
      </c>
      <c r="BK94" s="205">
        <f t="shared" si="40"/>
        <v>0</v>
      </c>
      <c r="BL94" s="205">
        <f t="shared" si="41"/>
        <v>0</v>
      </c>
      <c r="BM94" s="215">
        <f t="shared" si="42"/>
        <v>0</v>
      </c>
      <c r="BN94" s="215"/>
      <c r="BO94" s="412">
        <f t="shared" si="47"/>
        <v>0</v>
      </c>
      <c r="BP94" s="412">
        <f t="shared" si="47"/>
        <v>0</v>
      </c>
      <c r="BQ94" s="412">
        <f t="shared" si="47"/>
        <v>0</v>
      </c>
      <c r="BR94" s="412">
        <f t="shared" si="47"/>
        <v>0</v>
      </c>
      <c r="BS94" s="412">
        <f t="shared" si="47"/>
        <v>0</v>
      </c>
      <c r="BT94" s="412">
        <f t="shared" si="47"/>
        <v>0</v>
      </c>
      <c r="BU94" s="412">
        <f t="shared" si="48"/>
        <v>0</v>
      </c>
      <c r="BV94" s="412">
        <f t="shared" si="43"/>
        <v>0</v>
      </c>
      <c r="BW94" s="412">
        <f t="shared" si="28"/>
        <v>0</v>
      </c>
      <c r="BX94" s="412"/>
      <c r="BY94" s="412">
        <f t="shared" si="44"/>
        <v>0</v>
      </c>
      <c r="BZ94" s="412"/>
      <c r="CA94" s="412">
        <f>IFERROR(VLOOKUP(A94,'Actuals Summer'!A:S,19,FALSE),0)</f>
        <v>0</v>
      </c>
      <c r="CC94" s="412"/>
      <c r="CD94" s="412"/>
      <c r="CE94" s="412"/>
      <c r="CF94" s="412"/>
      <c r="CG94" s="412"/>
      <c r="CH94" s="412"/>
      <c r="CI94" s="412"/>
      <c r="CJ94" s="412"/>
      <c r="CK94" s="412"/>
      <c r="CL94" s="412"/>
      <c r="CM94" s="412"/>
      <c r="CN94" s="412"/>
      <c r="CO94" s="412"/>
      <c r="CQ94" s="363"/>
      <c r="CR94" s="363"/>
      <c r="CS94" s="363"/>
      <c r="CT94" s="363"/>
      <c r="CU94" s="363"/>
      <c r="CV94" s="363"/>
      <c r="CW94" s="363"/>
      <c r="CX94" s="363"/>
      <c r="CZ94" s="414"/>
      <c r="DA94" s="414"/>
      <c r="DB94" s="414"/>
      <c r="DC94" s="414"/>
      <c r="DD94" s="414"/>
      <c r="DE94" s="414"/>
      <c r="DF94" s="414"/>
      <c r="DG94" s="414"/>
      <c r="DI94" s="414">
        <f t="shared" si="45"/>
        <v>0</v>
      </c>
      <c r="DJ94" s="414"/>
      <c r="DK94" s="414"/>
      <c r="DL94" s="414"/>
      <c r="DM94" s="414"/>
      <c r="DN94" s="414"/>
      <c r="DO94" s="414"/>
      <c r="DP94" s="414"/>
      <c r="DQ94" s="414"/>
      <c r="DS94" s="414"/>
      <c r="DT94" s="414"/>
      <c r="DU94" s="414"/>
      <c r="DV94" s="414"/>
      <c r="DW94" s="414"/>
      <c r="DX94" s="414"/>
      <c r="DY94" s="414"/>
      <c r="DZ94" s="414"/>
      <c r="EB94" s="415">
        <f t="shared" si="29"/>
        <v>0</v>
      </c>
      <c r="EC94" s="415">
        <f t="shared" si="30"/>
        <v>0</v>
      </c>
      <c r="ED94" s="416">
        <f t="shared" si="46"/>
        <v>0</v>
      </c>
    </row>
    <row r="95" spans="1:134" hidden="1" x14ac:dyDescent="0.35">
      <c r="A95" s="17">
        <v>4245</v>
      </c>
      <c r="B95" s="4">
        <v>103519</v>
      </c>
      <c r="C95" s="4" t="s">
        <v>980</v>
      </c>
      <c r="D95" s="4" t="s">
        <v>981</v>
      </c>
      <c r="E95" s="15" t="s">
        <v>904</v>
      </c>
      <c r="F95" s="16" t="s">
        <v>27</v>
      </c>
      <c r="G95" s="215"/>
      <c r="H95" s="363">
        <v>0</v>
      </c>
      <c r="I95" s="410"/>
      <c r="J95" s="363">
        <v>0</v>
      </c>
      <c r="K95" s="363">
        <v>0</v>
      </c>
      <c r="L95" s="363">
        <v>0</v>
      </c>
      <c r="M95" s="363">
        <v>0</v>
      </c>
      <c r="N95" s="363">
        <v>0</v>
      </c>
      <c r="O95" s="363">
        <v>0</v>
      </c>
      <c r="P95" s="215">
        <f t="shared" si="31"/>
        <v>0</v>
      </c>
      <c r="Q95" s="363">
        <f t="shared" si="32"/>
        <v>0</v>
      </c>
      <c r="R95" s="410"/>
      <c r="S95" s="363">
        <v>0</v>
      </c>
      <c r="T95" s="363">
        <v>0</v>
      </c>
      <c r="U95" s="363">
        <v>0</v>
      </c>
      <c r="V95" s="363">
        <v>0</v>
      </c>
      <c r="W95" s="363">
        <v>0</v>
      </c>
      <c r="X95" s="363">
        <v>0</v>
      </c>
      <c r="Y95" s="363">
        <f t="shared" si="33"/>
        <v>0</v>
      </c>
      <c r="Z95" s="363">
        <f t="shared" si="34"/>
        <v>0</v>
      </c>
      <c r="AA95" s="410"/>
      <c r="AB95" s="411">
        <v>0</v>
      </c>
      <c r="AC95" s="411">
        <v>0</v>
      </c>
      <c r="AD95" s="411">
        <v>0</v>
      </c>
      <c r="AE95" s="411">
        <v>0</v>
      </c>
      <c r="AF95" s="411">
        <v>0</v>
      </c>
      <c r="AG95" s="411">
        <v>0</v>
      </c>
      <c r="AH95" s="363">
        <f t="shared" si="35"/>
        <v>0</v>
      </c>
      <c r="AI95" s="411">
        <f t="shared" si="36"/>
        <v>0</v>
      </c>
      <c r="AJ95" s="410"/>
      <c r="AK95" s="411">
        <v>0</v>
      </c>
      <c r="AL95" s="411">
        <v>0</v>
      </c>
      <c r="AM95" s="411">
        <v>0</v>
      </c>
      <c r="AN95" s="410"/>
      <c r="AO95" s="411">
        <f t="shared" si="37"/>
        <v>0</v>
      </c>
      <c r="AP95" s="411">
        <f t="shared" si="37"/>
        <v>0</v>
      </c>
      <c r="AQ95" s="411">
        <f t="shared" si="37"/>
        <v>0</v>
      </c>
      <c r="AR95" s="412"/>
      <c r="AS95" s="412">
        <v>0</v>
      </c>
      <c r="AT95" s="413">
        <f t="shared" si="38"/>
        <v>0</v>
      </c>
      <c r="AU95" s="412"/>
      <c r="AV95" s="412">
        <v>0</v>
      </c>
      <c r="AW95" s="412">
        <v>0</v>
      </c>
      <c r="AX95" s="412">
        <v>0</v>
      </c>
      <c r="AY95" s="412">
        <v>0</v>
      </c>
      <c r="AZ95" s="412">
        <v>0</v>
      </c>
      <c r="BA95" s="412">
        <v>0</v>
      </c>
      <c r="BB95" s="412">
        <v>0</v>
      </c>
      <c r="BC95" s="412">
        <f t="shared" si="39"/>
        <v>0</v>
      </c>
      <c r="BE95" s="205">
        <f t="shared" si="27"/>
        <v>0</v>
      </c>
      <c r="BF95" s="205">
        <f t="shared" si="27"/>
        <v>0</v>
      </c>
      <c r="BG95" s="205">
        <f t="shared" si="27"/>
        <v>0</v>
      </c>
      <c r="BH95" s="205">
        <f t="shared" si="27"/>
        <v>0</v>
      </c>
      <c r="BI95" s="205">
        <f t="shared" si="27"/>
        <v>0</v>
      </c>
      <c r="BJ95" s="205">
        <f t="shared" si="27"/>
        <v>0</v>
      </c>
      <c r="BK95" s="205">
        <f t="shared" si="40"/>
        <v>0</v>
      </c>
      <c r="BL95" s="205">
        <f t="shared" si="41"/>
        <v>0</v>
      </c>
      <c r="BM95" s="215">
        <f t="shared" si="42"/>
        <v>0</v>
      </c>
      <c r="BN95" s="215"/>
      <c r="BO95" s="412">
        <f t="shared" si="47"/>
        <v>0</v>
      </c>
      <c r="BP95" s="412">
        <f t="shared" si="47"/>
        <v>0</v>
      </c>
      <c r="BQ95" s="412">
        <f t="shared" si="47"/>
        <v>0</v>
      </c>
      <c r="BR95" s="412">
        <f t="shared" si="47"/>
        <v>0</v>
      </c>
      <c r="BS95" s="412">
        <f t="shared" si="47"/>
        <v>0</v>
      </c>
      <c r="BT95" s="412">
        <f t="shared" si="47"/>
        <v>0</v>
      </c>
      <c r="BU95" s="412">
        <f t="shared" si="48"/>
        <v>0</v>
      </c>
      <c r="BV95" s="412">
        <f t="shared" si="43"/>
        <v>0</v>
      </c>
      <c r="BW95" s="412">
        <f t="shared" si="28"/>
        <v>0</v>
      </c>
      <c r="BX95" s="412"/>
      <c r="BY95" s="412">
        <f t="shared" si="44"/>
        <v>0</v>
      </c>
      <c r="BZ95" s="412"/>
      <c r="CA95" s="412">
        <f>IFERROR(VLOOKUP(A95,'Actuals Summer'!A:S,19,FALSE),0)</f>
        <v>0</v>
      </c>
      <c r="CC95" s="412"/>
      <c r="CD95" s="412"/>
      <c r="CE95" s="412"/>
      <c r="CF95" s="412"/>
      <c r="CG95" s="412"/>
      <c r="CH95" s="412"/>
      <c r="CI95" s="412"/>
      <c r="CJ95" s="412"/>
      <c r="CK95" s="412"/>
      <c r="CL95" s="412"/>
      <c r="CM95" s="412"/>
      <c r="CN95" s="412"/>
      <c r="CO95" s="412"/>
      <c r="CQ95" s="363"/>
      <c r="CR95" s="363"/>
      <c r="CS95" s="363"/>
      <c r="CT95" s="363"/>
      <c r="CU95" s="363"/>
      <c r="CV95" s="363"/>
      <c r="CW95" s="363"/>
      <c r="CX95" s="363"/>
      <c r="CZ95" s="414"/>
      <c r="DA95" s="414"/>
      <c r="DB95" s="414"/>
      <c r="DC95" s="414"/>
      <c r="DD95" s="414"/>
      <c r="DE95" s="414"/>
      <c r="DF95" s="414"/>
      <c r="DG95" s="414"/>
      <c r="DI95" s="414">
        <f t="shared" si="45"/>
        <v>0</v>
      </c>
      <c r="DJ95" s="414"/>
      <c r="DK95" s="414"/>
      <c r="DL95" s="414"/>
      <c r="DM95" s="414"/>
      <c r="DN95" s="414"/>
      <c r="DO95" s="414"/>
      <c r="DP95" s="414"/>
      <c r="DQ95" s="414"/>
      <c r="DS95" s="414"/>
      <c r="DT95" s="414"/>
      <c r="DU95" s="414"/>
      <c r="DV95" s="414"/>
      <c r="DW95" s="414"/>
      <c r="DX95" s="414"/>
      <c r="DY95" s="414"/>
      <c r="DZ95" s="414"/>
      <c r="EB95" s="415">
        <f t="shared" si="29"/>
        <v>0</v>
      </c>
      <c r="EC95" s="415">
        <f t="shared" si="30"/>
        <v>0</v>
      </c>
      <c r="ED95" s="416">
        <f t="shared" si="46"/>
        <v>0</v>
      </c>
    </row>
    <row r="96" spans="1:134" hidden="1" x14ac:dyDescent="0.35">
      <c r="A96" s="17">
        <v>2457</v>
      </c>
      <c r="B96" s="4">
        <v>103384</v>
      </c>
      <c r="C96" s="4" t="s">
        <v>112</v>
      </c>
      <c r="D96" s="4" t="s">
        <v>113</v>
      </c>
      <c r="E96" s="15" t="s">
        <v>32</v>
      </c>
      <c r="F96" s="16" t="s">
        <v>27</v>
      </c>
      <c r="G96" s="215"/>
      <c r="H96" s="363">
        <v>0</v>
      </c>
      <c r="I96" s="410"/>
      <c r="J96" s="363">
        <v>0</v>
      </c>
      <c r="K96" s="363">
        <v>0</v>
      </c>
      <c r="L96" s="363">
        <v>48562.8</v>
      </c>
      <c r="M96" s="363">
        <v>4485</v>
      </c>
      <c r="N96" s="363">
        <v>1715.3157894736842</v>
      </c>
      <c r="O96" s="363">
        <v>0</v>
      </c>
      <c r="P96" s="215">
        <f t="shared" si="31"/>
        <v>54763.11578947369</v>
      </c>
      <c r="Q96" s="363">
        <f t="shared" si="32"/>
        <v>43810.492631578956</v>
      </c>
      <c r="R96" s="410"/>
      <c r="S96" s="363">
        <v>0</v>
      </c>
      <c r="T96" s="363">
        <v>0</v>
      </c>
      <c r="U96" s="363">
        <v>27592.5</v>
      </c>
      <c r="V96" s="363">
        <v>2535</v>
      </c>
      <c r="W96" s="363">
        <v>745.78947368421052</v>
      </c>
      <c r="X96" s="363">
        <v>0</v>
      </c>
      <c r="Y96" s="363">
        <f t="shared" si="33"/>
        <v>30873.28947368421</v>
      </c>
      <c r="Z96" s="363">
        <f t="shared" si="34"/>
        <v>24698.63157894737</v>
      </c>
      <c r="AA96" s="410"/>
      <c r="AB96" s="411">
        <v>0</v>
      </c>
      <c r="AC96" s="411">
        <v>0</v>
      </c>
      <c r="AD96" s="411">
        <v>36676.800000000003</v>
      </c>
      <c r="AE96" s="411">
        <v>2955.7894736842109</v>
      </c>
      <c r="AF96" s="411">
        <v>717.40720221606648</v>
      </c>
      <c r="AG96" s="411">
        <v>0</v>
      </c>
      <c r="AH96" s="363">
        <f t="shared" si="35"/>
        <v>40349.996675900285</v>
      </c>
      <c r="AI96" s="411">
        <f t="shared" si="36"/>
        <v>32279.997340720231</v>
      </c>
      <c r="AJ96" s="410"/>
      <c r="AK96" s="411">
        <v>2698.7999999999997</v>
      </c>
      <c r="AL96" s="411">
        <v>1636.0500000000002</v>
      </c>
      <c r="AM96" s="411">
        <v>2096.9052631578948</v>
      </c>
      <c r="AN96" s="410"/>
      <c r="AO96" s="411">
        <f t="shared" si="37"/>
        <v>2159.04</v>
      </c>
      <c r="AP96" s="411">
        <f t="shared" si="37"/>
        <v>1308.8400000000001</v>
      </c>
      <c r="AQ96" s="411">
        <f t="shared" si="37"/>
        <v>1677.524210526316</v>
      </c>
      <c r="AR96" s="412"/>
      <c r="AS96" s="412">
        <v>0</v>
      </c>
      <c r="AT96" s="413">
        <f t="shared" si="38"/>
        <v>0</v>
      </c>
      <c r="AU96" s="412"/>
      <c r="AV96" s="412">
        <v>0</v>
      </c>
      <c r="AW96" s="412">
        <v>0</v>
      </c>
      <c r="AX96" s="412">
        <v>26488.799999999999</v>
      </c>
      <c r="AY96" s="412">
        <v>2730</v>
      </c>
      <c r="AZ96" s="412">
        <v>0</v>
      </c>
      <c r="BA96" s="412">
        <v>0</v>
      </c>
      <c r="BB96" s="412">
        <v>1517.1</v>
      </c>
      <c r="BC96" s="412">
        <f t="shared" si="39"/>
        <v>30735.899999999998</v>
      </c>
      <c r="BE96" s="205">
        <f t="shared" si="27"/>
        <v>0</v>
      </c>
      <c r="BF96" s="205">
        <f t="shared" si="27"/>
        <v>0</v>
      </c>
      <c r="BG96" s="205">
        <f t="shared" si="27"/>
        <v>-22074.000000000004</v>
      </c>
      <c r="BH96" s="205">
        <f t="shared" si="27"/>
        <v>-1755</v>
      </c>
      <c r="BI96" s="205">
        <f t="shared" si="27"/>
        <v>-1715.3157894736842</v>
      </c>
      <c r="BJ96" s="205">
        <f t="shared" si="27"/>
        <v>0</v>
      </c>
      <c r="BK96" s="205">
        <f t="shared" si="40"/>
        <v>-1181.6999999999998</v>
      </c>
      <c r="BL96" s="205">
        <f t="shared" si="41"/>
        <v>-26726.015789473688</v>
      </c>
      <c r="BM96" s="215">
        <f t="shared" si="42"/>
        <v>0</v>
      </c>
      <c r="BN96" s="215"/>
      <c r="BO96" s="412">
        <f t="shared" si="47"/>
        <v>0</v>
      </c>
      <c r="BP96" s="412">
        <f t="shared" si="47"/>
        <v>0</v>
      </c>
      <c r="BQ96" s="412">
        <f t="shared" si="47"/>
        <v>-12361.440000000006</v>
      </c>
      <c r="BR96" s="412">
        <f t="shared" si="47"/>
        <v>-858</v>
      </c>
      <c r="BS96" s="412">
        <f t="shared" si="47"/>
        <v>-1372.2526315789473</v>
      </c>
      <c r="BT96" s="412">
        <f t="shared" si="47"/>
        <v>0</v>
      </c>
      <c r="BU96" s="412">
        <f t="shared" si="48"/>
        <v>-641.94000000000005</v>
      </c>
      <c r="BV96" s="412">
        <f t="shared" si="43"/>
        <v>-15233.632631578954</v>
      </c>
      <c r="BW96" s="412">
        <f t="shared" si="28"/>
        <v>3.637978807091713E-12</v>
      </c>
      <c r="BX96" s="412"/>
      <c r="BY96" s="412">
        <f t="shared" si="44"/>
        <v>30735.9</v>
      </c>
      <c r="BZ96" s="412"/>
      <c r="CA96" s="412">
        <f>IFERROR(VLOOKUP(A96,'Actuals Summer'!A:S,19,FALSE),0)</f>
        <v>30735.899999999998</v>
      </c>
      <c r="CC96" s="412"/>
      <c r="CD96" s="412"/>
      <c r="CE96" s="412"/>
      <c r="CF96" s="412"/>
      <c r="CG96" s="412"/>
      <c r="CH96" s="412"/>
      <c r="CI96" s="412"/>
      <c r="CJ96" s="412"/>
      <c r="CK96" s="412"/>
      <c r="CL96" s="412"/>
      <c r="CM96" s="412"/>
      <c r="CN96" s="412"/>
      <c r="CO96" s="412"/>
      <c r="CQ96" s="363"/>
      <c r="CR96" s="363"/>
      <c r="CS96" s="363"/>
      <c r="CT96" s="363"/>
      <c r="CU96" s="363"/>
      <c r="CV96" s="363"/>
      <c r="CW96" s="363"/>
      <c r="CX96" s="363"/>
      <c r="CZ96" s="414"/>
      <c r="DA96" s="414"/>
      <c r="DB96" s="414"/>
      <c r="DC96" s="414"/>
      <c r="DD96" s="414"/>
      <c r="DE96" s="414"/>
      <c r="DF96" s="414"/>
      <c r="DG96" s="414"/>
      <c r="DI96" s="414">
        <f t="shared" si="45"/>
        <v>0</v>
      </c>
      <c r="DJ96" s="414"/>
      <c r="DK96" s="414"/>
      <c r="DL96" s="414"/>
      <c r="DM96" s="414"/>
      <c r="DN96" s="414"/>
      <c r="DO96" s="414"/>
      <c r="DP96" s="414"/>
      <c r="DQ96" s="414"/>
      <c r="DS96" s="414"/>
      <c r="DT96" s="414"/>
      <c r="DU96" s="414"/>
      <c r="DV96" s="414"/>
      <c r="DW96" s="414"/>
      <c r="DX96" s="414"/>
      <c r="DY96" s="414"/>
      <c r="DZ96" s="414"/>
      <c r="EB96" s="415">
        <f t="shared" si="29"/>
        <v>90700.893130193916</v>
      </c>
      <c r="EC96" s="415">
        <f t="shared" si="30"/>
        <v>0</v>
      </c>
      <c r="ED96" s="416">
        <f t="shared" si="46"/>
        <v>90700.893130193916</v>
      </c>
    </row>
    <row r="97" spans="1:134" hidden="1" x14ac:dyDescent="0.35">
      <c r="A97" s="17">
        <v>2142</v>
      </c>
      <c r="B97" s="4">
        <v>103237</v>
      </c>
      <c r="C97" s="4" t="s">
        <v>114</v>
      </c>
      <c r="D97" s="4" t="s">
        <v>115</v>
      </c>
      <c r="E97" s="15" t="s">
        <v>32</v>
      </c>
      <c r="F97" s="16" t="s">
        <v>27</v>
      </c>
      <c r="G97" s="215"/>
      <c r="H97" s="363">
        <v>0</v>
      </c>
      <c r="I97" s="410"/>
      <c r="J97" s="363">
        <v>0</v>
      </c>
      <c r="K97" s="363">
        <v>0</v>
      </c>
      <c r="L97" s="363">
        <v>27592.5</v>
      </c>
      <c r="M97" s="363">
        <v>0</v>
      </c>
      <c r="N97" s="363">
        <v>0</v>
      </c>
      <c r="O97" s="363">
        <v>0</v>
      </c>
      <c r="P97" s="215">
        <f t="shared" si="31"/>
        <v>27592.5</v>
      </c>
      <c r="Q97" s="363">
        <f t="shared" si="32"/>
        <v>22074</v>
      </c>
      <c r="R97" s="410"/>
      <c r="S97" s="363">
        <v>0</v>
      </c>
      <c r="T97" s="363">
        <v>0</v>
      </c>
      <c r="U97" s="363">
        <v>28696.2</v>
      </c>
      <c r="V97" s="363">
        <v>3120</v>
      </c>
      <c r="W97" s="363">
        <v>1118.6842105263158</v>
      </c>
      <c r="X97" s="363">
        <v>0</v>
      </c>
      <c r="Y97" s="363">
        <f t="shared" si="33"/>
        <v>32934.884210526317</v>
      </c>
      <c r="Z97" s="363">
        <f t="shared" si="34"/>
        <v>26347.907368421056</v>
      </c>
      <c r="AA97" s="410"/>
      <c r="AB97" s="411">
        <v>0</v>
      </c>
      <c r="AC97" s="411">
        <v>0</v>
      </c>
      <c r="AD97" s="411">
        <v>24772.926315789471</v>
      </c>
      <c r="AE97" s="411">
        <v>1648.4210526315792</v>
      </c>
      <c r="AF97" s="411">
        <v>608.70914127423816</v>
      </c>
      <c r="AG97" s="411">
        <v>0</v>
      </c>
      <c r="AH97" s="363">
        <f t="shared" si="35"/>
        <v>27030.056509695289</v>
      </c>
      <c r="AI97" s="411">
        <f t="shared" si="36"/>
        <v>21624.045207756233</v>
      </c>
      <c r="AJ97" s="410"/>
      <c r="AK97" s="411">
        <v>1448.85</v>
      </c>
      <c r="AL97" s="411">
        <v>1831.05</v>
      </c>
      <c r="AM97" s="411">
        <v>1378.4210526315787</v>
      </c>
      <c r="AN97" s="410"/>
      <c r="AO97" s="411">
        <f t="shared" si="37"/>
        <v>1159.08</v>
      </c>
      <c r="AP97" s="411">
        <f t="shared" si="37"/>
        <v>1464.8400000000001</v>
      </c>
      <c r="AQ97" s="411">
        <f t="shared" si="37"/>
        <v>1102.7368421052631</v>
      </c>
      <c r="AR97" s="412"/>
      <c r="AS97" s="412">
        <v>0</v>
      </c>
      <c r="AT97" s="413">
        <f t="shared" si="38"/>
        <v>0</v>
      </c>
      <c r="AU97" s="412"/>
      <c r="AV97" s="412">
        <v>0</v>
      </c>
      <c r="AW97" s="412">
        <v>0</v>
      </c>
      <c r="AX97" s="412">
        <v>26488.799999999999</v>
      </c>
      <c r="AY97" s="412">
        <v>3510</v>
      </c>
      <c r="AZ97" s="412">
        <v>1342.421052631579</v>
      </c>
      <c r="BA97" s="412">
        <v>0</v>
      </c>
      <c r="BB97" s="412">
        <v>1696.5</v>
      </c>
      <c r="BC97" s="412">
        <f t="shared" si="39"/>
        <v>33037.721052631576</v>
      </c>
      <c r="BE97" s="205">
        <f t="shared" si="27"/>
        <v>0</v>
      </c>
      <c r="BF97" s="205">
        <f t="shared" si="27"/>
        <v>0</v>
      </c>
      <c r="BG97" s="205">
        <f t="shared" si="27"/>
        <v>-1103.7000000000007</v>
      </c>
      <c r="BH97" s="205">
        <f t="shared" si="27"/>
        <v>3510</v>
      </c>
      <c r="BI97" s="205">
        <f t="shared" si="27"/>
        <v>1342.421052631579</v>
      </c>
      <c r="BJ97" s="205">
        <f t="shared" si="27"/>
        <v>0</v>
      </c>
      <c r="BK97" s="205">
        <f t="shared" si="40"/>
        <v>247.65000000000009</v>
      </c>
      <c r="BL97" s="205">
        <f t="shared" si="41"/>
        <v>3996.3710526315786</v>
      </c>
      <c r="BM97" s="215">
        <f t="shared" si="42"/>
        <v>0</v>
      </c>
      <c r="BN97" s="215"/>
      <c r="BO97" s="412">
        <f t="shared" si="47"/>
        <v>0</v>
      </c>
      <c r="BP97" s="412">
        <f t="shared" si="47"/>
        <v>0</v>
      </c>
      <c r="BQ97" s="412">
        <f t="shared" si="47"/>
        <v>4414.7999999999993</v>
      </c>
      <c r="BR97" s="412">
        <f t="shared" si="47"/>
        <v>3510</v>
      </c>
      <c r="BS97" s="412">
        <f t="shared" si="47"/>
        <v>1342.421052631579</v>
      </c>
      <c r="BT97" s="412">
        <f t="shared" si="47"/>
        <v>0</v>
      </c>
      <c r="BU97" s="412">
        <f t="shared" si="48"/>
        <v>537.42000000000007</v>
      </c>
      <c r="BV97" s="412">
        <f t="shared" si="43"/>
        <v>9804.6410526315776</v>
      </c>
      <c r="BW97" s="412">
        <f t="shared" si="28"/>
        <v>0</v>
      </c>
      <c r="BX97" s="412"/>
      <c r="BY97" s="412">
        <f t="shared" si="44"/>
        <v>33037.721052631576</v>
      </c>
      <c r="BZ97" s="412"/>
      <c r="CA97" s="412">
        <f>IFERROR(VLOOKUP(A97,'Actuals Summer'!A:S,19,FALSE),0)</f>
        <v>33037.721052631576</v>
      </c>
      <c r="CC97" s="412"/>
      <c r="CD97" s="412"/>
      <c r="CE97" s="412"/>
      <c r="CF97" s="412"/>
      <c r="CG97" s="412"/>
      <c r="CH97" s="412"/>
      <c r="CI97" s="412"/>
      <c r="CJ97" s="412"/>
      <c r="CK97" s="412"/>
      <c r="CL97" s="412"/>
      <c r="CM97" s="412"/>
      <c r="CN97" s="412"/>
      <c r="CO97" s="412"/>
      <c r="CQ97" s="363"/>
      <c r="CR97" s="363"/>
      <c r="CS97" s="363"/>
      <c r="CT97" s="363"/>
      <c r="CU97" s="363"/>
      <c r="CV97" s="363"/>
      <c r="CW97" s="363"/>
      <c r="CX97" s="363"/>
      <c r="CZ97" s="414"/>
      <c r="DA97" s="414"/>
      <c r="DB97" s="414"/>
      <c r="DC97" s="414"/>
      <c r="DD97" s="414"/>
      <c r="DE97" s="414"/>
      <c r="DF97" s="414"/>
      <c r="DG97" s="414"/>
      <c r="DI97" s="414">
        <f t="shared" si="45"/>
        <v>0</v>
      </c>
      <c r="DJ97" s="414"/>
      <c r="DK97" s="414"/>
      <c r="DL97" s="414"/>
      <c r="DM97" s="414"/>
      <c r="DN97" s="414"/>
      <c r="DO97" s="414"/>
      <c r="DP97" s="414"/>
      <c r="DQ97" s="414"/>
      <c r="DS97" s="414"/>
      <c r="DT97" s="414"/>
      <c r="DU97" s="414"/>
      <c r="DV97" s="414"/>
      <c r="DW97" s="414"/>
      <c r="DX97" s="414"/>
      <c r="DY97" s="414"/>
      <c r="DZ97" s="414"/>
      <c r="EB97" s="415">
        <f t="shared" si="29"/>
        <v>83577.250470914136</v>
      </c>
      <c r="EC97" s="415">
        <f t="shared" si="30"/>
        <v>0</v>
      </c>
      <c r="ED97" s="416">
        <f t="shared" si="46"/>
        <v>83577.250470914136</v>
      </c>
    </row>
    <row r="98" spans="1:134" hidden="1" x14ac:dyDescent="0.35">
      <c r="A98" s="17">
        <v>2469</v>
      </c>
      <c r="B98" s="4">
        <v>103395</v>
      </c>
      <c r="C98" s="4" t="s">
        <v>982</v>
      </c>
      <c r="D98" s="4" t="s">
        <v>983</v>
      </c>
      <c r="E98" s="15" t="s">
        <v>32</v>
      </c>
      <c r="F98" s="16" t="s">
        <v>27</v>
      </c>
      <c r="G98" s="215"/>
      <c r="H98" s="363">
        <v>0</v>
      </c>
      <c r="I98" s="410"/>
      <c r="J98" s="363">
        <v>0</v>
      </c>
      <c r="K98" s="363">
        <v>0</v>
      </c>
      <c r="L98" s="363">
        <v>0</v>
      </c>
      <c r="M98" s="363">
        <v>0</v>
      </c>
      <c r="N98" s="363">
        <v>0</v>
      </c>
      <c r="O98" s="363">
        <v>0</v>
      </c>
      <c r="P98" s="215">
        <f t="shared" si="31"/>
        <v>0</v>
      </c>
      <c r="Q98" s="363">
        <f t="shared" si="32"/>
        <v>0</v>
      </c>
      <c r="R98" s="410"/>
      <c r="S98" s="363">
        <v>0</v>
      </c>
      <c r="T98" s="363">
        <v>0</v>
      </c>
      <c r="U98" s="363">
        <v>0</v>
      </c>
      <c r="V98" s="363">
        <v>0</v>
      </c>
      <c r="W98" s="363">
        <v>0</v>
      </c>
      <c r="X98" s="363">
        <v>0</v>
      </c>
      <c r="Y98" s="363">
        <f t="shared" si="33"/>
        <v>0</v>
      </c>
      <c r="Z98" s="363">
        <f t="shared" si="34"/>
        <v>0</v>
      </c>
      <c r="AA98" s="410"/>
      <c r="AB98" s="411">
        <v>0</v>
      </c>
      <c r="AC98" s="411">
        <v>0</v>
      </c>
      <c r="AD98" s="411">
        <v>0</v>
      </c>
      <c r="AE98" s="411">
        <v>0</v>
      </c>
      <c r="AF98" s="411">
        <v>0</v>
      </c>
      <c r="AG98" s="411">
        <v>0</v>
      </c>
      <c r="AH98" s="363">
        <f t="shared" si="35"/>
        <v>0</v>
      </c>
      <c r="AI98" s="411">
        <f t="shared" si="36"/>
        <v>0</v>
      </c>
      <c r="AJ98" s="410"/>
      <c r="AK98" s="411">
        <v>0</v>
      </c>
      <c r="AL98" s="411">
        <v>0</v>
      </c>
      <c r="AM98" s="411">
        <v>0</v>
      </c>
      <c r="AN98" s="410"/>
      <c r="AO98" s="411">
        <f t="shared" si="37"/>
        <v>0</v>
      </c>
      <c r="AP98" s="411">
        <f t="shared" si="37"/>
        <v>0</v>
      </c>
      <c r="AQ98" s="411">
        <f t="shared" si="37"/>
        <v>0</v>
      </c>
      <c r="AR98" s="412"/>
      <c r="AS98" s="412">
        <v>0</v>
      </c>
      <c r="AT98" s="413">
        <f t="shared" si="38"/>
        <v>0</v>
      </c>
      <c r="AU98" s="412"/>
      <c r="AV98" s="412">
        <v>0</v>
      </c>
      <c r="AW98" s="412">
        <v>0</v>
      </c>
      <c r="AX98" s="412">
        <v>0</v>
      </c>
      <c r="AY98" s="412">
        <v>0</v>
      </c>
      <c r="AZ98" s="412">
        <v>0</v>
      </c>
      <c r="BA98" s="412">
        <v>0</v>
      </c>
      <c r="BB98" s="412">
        <v>0</v>
      </c>
      <c r="BC98" s="412">
        <f t="shared" si="39"/>
        <v>0</v>
      </c>
      <c r="BE98" s="205">
        <f t="shared" si="27"/>
        <v>0</v>
      </c>
      <c r="BF98" s="205">
        <f t="shared" si="27"/>
        <v>0</v>
      </c>
      <c r="BG98" s="205">
        <f t="shared" si="27"/>
        <v>0</v>
      </c>
      <c r="BH98" s="205">
        <f t="shared" si="27"/>
        <v>0</v>
      </c>
      <c r="BI98" s="205">
        <f t="shared" si="27"/>
        <v>0</v>
      </c>
      <c r="BJ98" s="205">
        <f t="shared" si="27"/>
        <v>0</v>
      </c>
      <c r="BK98" s="205">
        <f t="shared" si="40"/>
        <v>0</v>
      </c>
      <c r="BL98" s="205">
        <f t="shared" si="41"/>
        <v>0</v>
      </c>
      <c r="BM98" s="215">
        <f t="shared" si="42"/>
        <v>0</v>
      </c>
      <c r="BN98" s="215"/>
      <c r="BO98" s="412">
        <f t="shared" si="47"/>
        <v>0</v>
      </c>
      <c r="BP98" s="412">
        <f t="shared" si="47"/>
        <v>0</v>
      </c>
      <c r="BQ98" s="412">
        <f t="shared" si="47"/>
        <v>0</v>
      </c>
      <c r="BR98" s="412">
        <f t="shared" si="47"/>
        <v>0</v>
      </c>
      <c r="BS98" s="412">
        <f t="shared" si="47"/>
        <v>0</v>
      </c>
      <c r="BT98" s="412">
        <f t="shared" si="47"/>
        <v>0</v>
      </c>
      <c r="BU98" s="412">
        <f t="shared" si="48"/>
        <v>0</v>
      </c>
      <c r="BV98" s="412">
        <f t="shared" si="43"/>
        <v>0</v>
      </c>
      <c r="BW98" s="412">
        <f t="shared" si="28"/>
        <v>0</v>
      </c>
      <c r="BX98" s="412"/>
      <c r="BY98" s="412">
        <f t="shared" si="44"/>
        <v>0</v>
      </c>
      <c r="BZ98" s="412"/>
      <c r="CA98" s="412">
        <f>IFERROR(VLOOKUP(A98,'Actuals Summer'!A:S,19,FALSE),0)</f>
        <v>0</v>
      </c>
      <c r="CC98" s="412"/>
      <c r="CD98" s="412"/>
      <c r="CE98" s="412"/>
      <c r="CF98" s="412"/>
      <c r="CG98" s="412"/>
      <c r="CH98" s="412"/>
      <c r="CI98" s="412"/>
      <c r="CJ98" s="412"/>
      <c r="CK98" s="412"/>
      <c r="CL98" s="412"/>
      <c r="CM98" s="412"/>
      <c r="CN98" s="412"/>
      <c r="CO98" s="412"/>
      <c r="CQ98" s="363"/>
      <c r="CR98" s="363"/>
      <c r="CS98" s="363"/>
      <c r="CT98" s="363"/>
      <c r="CU98" s="363"/>
      <c r="CV98" s="363"/>
      <c r="CW98" s="363"/>
      <c r="CX98" s="363"/>
      <c r="CZ98" s="414"/>
      <c r="DA98" s="414"/>
      <c r="DB98" s="414"/>
      <c r="DC98" s="414"/>
      <c r="DD98" s="414"/>
      <c r="DE98" s="414"/>
      <c r="DF98" s="414"/>
      <c r="DG98" s="414"/>
      <c r="DI98" s="414">
        <f t="shared" si="45"/>
        <v>0</v>
      </c>
      <c r="DJ98" s="414"/>
      <c r="DK98" s="414"/>
      <c r="DL98" s="414"/>
      <c r="DM98" s="414"/>
      <c r="DN98" s="414"/>
      <c r="DO98" s="414"/>
      <c r="DP98" s="414"/>
      <c r="DQ98" s="414"/>
      <c r="DS98" s="414"/>
      <c r="DT98" s="414"/>
      <c r="DU98" s="414"/>
      <c r="DV98" s="414"/>
      <c r="DW98" s="414"/>
      <c r="DX98" s="414"/>
      <c r="DY98" s="414"/>
      <c r="DZ98" s="414"/>
      <c r="EB98" s="415">
        <f t="shared" si="29"/>
        <v>0</v>
      </c>
      <c r="EC98" s="415">
        <f t="shared" si="30"/>
        <v>0</v>
      </c>
      <c r="ED98" s="416">
        <f t="shared" si="46"/>
        <v>0</v>
      </c>
    </row>
    <row r="99" spans="1:134" hidden="1" x14ac:dyDescent="0.35">
      <c r="A99" s="17">
        <v>1049</v>
      </c>
      <c r="B99" s="4">
        <v>103145</v>
      </c>
      <c r="C99" s="4" t="s">
        <v>116</v>
      </c>
      <c r="D99" s="4" t="s">
        <v>117</v>
      </c>
      <c r="E99" s="15" t="s">
        <v>26</v>
      </c>
      <c r="F99" s="16" t="s">
        <v>27</v>
      </c>
      <c r="G99" s="215"/>
      <c r="H99" s="363">
        <v>270624.97357297892</v>
      </c>
      <c r="I99" s="410"/>
      <c r="J99" s="363">
        <v>0</v>
      </c>
      <c r="K99" s="363">
        <v>43145.7</v>
      </c>
      <c r="L99" s="363">
        <v>146792.1</v>
      </c>
      <c r="M99" s="363">
        <v>16965</v>
      </c>
      <c r="N99" s="363">
        <v>1864.4736842105265</v>
      </c>
      <c r="O99" s="363">
        <v>1925.3684210526317</v>
      </c>
      <c r="P99" s="215">
        <f t="shared" si="31"/>
        <v>210692.64210526316</v>
      </c>
      <c r="Q99" s="363">
        <f t="shared" si="32"/>
        <v>168554.11368421055</v>
      </c>
      <c r="R99" s="410"/>
      <c r="S99" s="363">
        <v>0</v>
      </c>
      <c r="T99" s="363">
        <v>64718.549999999996</v>
      </c>
      <c r="U99" s="363">
        <v>82777.500000000015</v>
      </c>
      <c r="V99" s="363">
        <v>12870</v>
      </c>
      <c r="W99" s="363">
        <v>1342.421052631579</v>
      </c>
      <c r="X99" s="363">
        <v>1283.578947368421</v>
      </c>
      <c r="Y99" s="363">
        <f t="shared" si="33"/>
        <v>162992.05000000002</v>
      </c>
      <c r="Z99" s="363">
        <f t="shared" si="34"/>
        <v>130393.64000000001</v>
      </c>
      <c r="AA99" s="410"/>
      <c r="AB99" s="411">
        <v>0</v>
      </c>
      <c r="AC99" s="411">
        <v>42567.915789473685</v>
      </c>
      <c r="AD99" s="411">
        <v>106169.68421052632</v>
      </c>
      <c r="AE99" s="411">
        <v>11709.473684210527</v>
      </c>
      <c r="AF99" s="411">
        <v>1434.814404432133</v>
      </c>
      <c r="AG99" s="411">
        <v>1590.1828254847644</v>
      </c>
      <c r="AH99" s="363">
        <f t="shared" si="35"/>
        <v>163472.07091412746</v>
      </c>
      <c r="AI99" s="411">
        <f t="shared" si="36"/>
        <v>130777.65673130198</v>
      </c>
      <c r="AJ99" s="410"/>
      <c r="AK99" s="411">
        <v>9500.4</v>
      </c>
      <c r="AL99" s="411">
        <v>6910.8</v>
      </c>
      <c r="AM99" s="411">
        <v>6568.6736842105256</v>
      </c>
      <c r="AN99" s="410"/>
      <c r="AO99" s="411">
        <f t="shared" si="37"/>
        <v>7600.32</v>
      </c>
      <c r="AP99" s="411">
        <f t="shared" si="37"/>
        <v>5528.64</v>
      </c>
      <c r="AQ99" s="411">
        <f t="shared" si="37"/>
        <v>5254.9389473684205</v>
      </c>
      <c r="AR99" s="412"/>
      <c r="AS99" s="412">
        <v>270250.59557444666</v>
      </c>
      <c r="AT99" s="413">
        <f t="shared" si="38"/>
        <v>-374.3779985322617</v>
      </c>
      <c r="AU99" s="412"/>
      <c r="AV99" s="412">
        <v>0</v>
      </c>
      <c r="AW99" s="412">
        <v>43145.7</v>
      </c>
      <c r="AX99" s="412">
        <v>133547.70000000001</v>
      </c>
      <c r="AY99" s="412">
        <v>17940</v>
      </c>
      <c r="AZ99" s="412">
        <v>2013.6315789473686</v>
      </c>
      <c r="BA99" s="412">
        <v>2567.12</v>
      </c>
      <c r="BB99" s="412">
        <v>8726.25</v>
      </c>
      <c r="BC99" s="412">
        <f t="shared" si="39"/>
        <v>478190.99715339404</v>
      </c>
      <c r="BE99" s="205">
        <f t="shared" si="27"/>
        <v>0</v>
      </c>
      <c r="BF99" s="205">
        <f t="shared" si="27"/>
        <v>0</v>
      </c>
      <c r="BG99" s="205">
        <f t="shared" si="27"/>
        <v>-13244.399999999994</v>
      </c>
      <c r="BH99" s="205">
        <f t="shared" si="27"/>
        <v>975</v>
      </c>
      <c r="BI99" s="205">
        <f t="shared" si="27"/>
        <v>149.15789473684208</v>
      </c>
      <c r="BJ99" s="205">
        <f t="shared" si="27"/>
        <v>641.75157894736822</v>
      </c>
      <c r="BK99" s="205">
        <f t="shared" si="40"/>
        <v>-774.14999999999964</v>
      </c>
      <c r="BL99" s="205">
        <f t="shared" si="41"/>
        <v>-12627.018524848047</v>
      </c>
      <c r="BM99" s="215">
        <f t="shared" si="42"/>
        <v>0</v>
      </c>
      <c r="BN99" s="215"/>
      <c r="BO99" s="412">
        <f t="shared" si="47"/>
        <v>0</v>
      </c>
      <c r="BP99" s="412">
        <f t="shared" si="47"/>
        <v>8629.14</v>
      </c>
      <c r="BQ99" s="412">
        <f t="shared" si="47"/>
        <v>16114.020000000004</v>
      </c>
      <c r="BR99" s="412">
        <f t="shared" si="47"/>
        <v>4368</v>
      </c>
      <c r="BS99" s="412">
        <f t="shared" si="47"/>
        <v>522.05263157894728</v>
      </c>
      <c r="BT99" s="412">
        <f t="shared" si="47"/>
        <v>1026.8252631578944</v>
      </c>
      <c r="BU99" s="412">
        <f t="shared" si="48"/>
        <v>1125.9300000000003</v>
      </c>
      <c r="BV99" s="412">
        <f t="shared" si="43"/>
        <v>31785.967894736845</v>
      </c>
      <c r="BW99" s="412">
        <f t="shared" si="28"/>
        <v>374.37799853231991</v>
      </c>
      <c r="BX99" s="412"/>
      <c r="BY99" s="412">
        <f t="shared" si="44"/>
        <v>207940.40157894741</v>
      </c>
      <c r="BZ99" s="412"/>
      <c r="CA99" s="412">
        <f>IFERROR(VLOOKUP(A99,'Actuals Summer'!A:S,19,FALSE),0)</f>
        <v>207940.40157894738</v>
      </c>
      <c r="CC99" s="412"/>
      <c r="CD99" s="412"/>
      <c r="CE99" s="412"/>
      <c r="CF99" s="412"/>
      <c r="CG99" s="412"/>
      <c r="CH99" s="412"/>
      <c r="CI99" s="412"/>
      <c r="CJ99" s="412"/>
      <c r="CK99" s="412"/>
      <c r="CL99" s="412"/>
      <c r="CM99" s="412"/>
      <c r="CN99" s="412"/>
      <c r="CO99" s="412"/>
      <c r="CQ99" s="363"/>
      <c r="CR99" s="363"/>
      <c r="CS99" s="363"/>
      <c r="CT99" s="363"/>
      <c r="CU99" s="363"/>
      <c r="CV99" s="363"/>
      <c r="CW99" s="363"/>
      <c r="CX99" s="363"/>
      <c r="CZ99" s="414"/>
      <c r="DA99" s="414"/>
      <c r="DB99" s="414"/>
      <c r="DC99" s="414"/>
      <c r="DD99" s="414"/>
      <c r="DE99" s="414"/>
      <c r="DF99" s="414"/>
      <c r="DG99" s="414"/>
      <c r="DI99" s="414">
        <f t="shared" si="45"/>
        <v>0</v>
      </c>
      <c r="DJ99" s="414"/>
      <c r="DK99" s="414"/>
      <c r="DL99" s="414"/>
      <c r="DM99" s="414"/>
      <c r="DN99" s="414"/>
      <c r="DO99" s="414"/>
      <c r="DP99" s="414"/>
      <c r="DQ99" s="414"/>
      <c r="DS99" s="414"/>
      <c r="DT99" s="414"/>
      <c r="DU99" s="414"/>
      <c r="DV99" s="414"/>
      <c r="DW99" s="414"/>
      <c r="DX99" s="414"/>
      <c r="DY99" s="414"/>
      <c r="DZ99" s="414"/>
      <c r="EB99" s="415">
        <f t="shared" si="29"/>
        <v>745279.74341378175</v>
      </c>
      <c r="EC99" s="415">
        <f t="shared" si="30"/>
        <v>4866.1294182825477</v>
      </c>
      <c r="ED99" s="416">
        <f t="shared" si="46"/>
        <v>750145.87283206428</v>
      </c>
    </row>
    <row r="100" spans="1:134" hidden="1" x14ac:dyDescent="0.35">
      <c r="A100" s="17">
        <v>7053</v>
      </c>
      <c r="B100" s="4">
        <v>103628</v>
      </c>
      <c r="C100" s="4" t="s">
        <v>984</v>
      </c>
      <c r="D100" s="4" t="s">
        <v>985</v>
      </c>
      <c r="E100" s="15" t="s">
        <v>895</v>
      </c>
      <c r="F100" s="16" t="s">
        <v>1132</v>
      </c>
      <c r="G100" s="215"/>
      <c r="H100" s="363">
        <v>0</v>
      </c>
      <c r="I100" s="410"/>
      <c r="J100" s="363">
        <v>0</v>
      </c>
      <c r="K100" s="363">
        <v>0</v>
      </c>
      <c r="L100" s="363">
        <v>0</v>
      </c>
      <c r="M100" s="363">
        <v>0</v>
      </c>
      <c r="N100" s="363">
        <v>0</v>
      </c>
      <c r="O100" s="363">
        <v>0</v>
      </c>
      <c r="P100" s="215">
        <f t="shared" si="31"/>
        <v>0</v>
      </c>
      <c r="Q100" s="363">
        <f t="shared" si="32"/>
        <v>0</v>
      </c>
      <c r="R100" s="410"/>
      <c r="S100" s="363">
        <v>0</v>
      </c>
      <c r="T100" s="363">
        <v>0</v>
      </c>
      <c r="U100" s="363">
        <v>0</v>
      </c>
      <c r="V100" s="363">
        <v>0</v>
      </c>
      <c r="W100" s="363">
        <v>0</v>
      </c>
      <c r="X100" s="363">
        <v>0</v>
      </c>
      <c r="Y100" s="363">
        <f t="shared" si="33"/>
        <v>0</v>
      </c>
      <c r="Z100" s="363">
        <f t="shared" si="34"/>
        <v>0</v>
      </c>
      <c r="AA100" s="410"/>
      <c r="AB100" s="411">
        <v>0</v>
      </c>
      <c r="AC100" s="411">
        <v>0</v>
      </c>
      <c r="AD100" s="411">
        <v>0</v>
      </c>
      <c r="AE100" s="411">
        <v>0</v>
      </c>
      <c r="AF100" s="411">
        <v>0</v>
      </c>
      <c r="AG100" s="411">
        <v>0</v>
      </c>
      <c r="AH100" s="363">
        <f t="shared" si="35"/>
        <v>0</v>
      </c>
      <c r="AI100" s="411">
        <f t="shared" si="36"/>
        <v>0</v>
      </c>
      <c r="AJ100" s="410"/>
      <c r="AK100" s="411">
        <v>0</v>
      </c>
      <c r="AL100" s="411">
        <v>0</v>
      </c>
      <c r="AM100" s="411">
        <v>0</v>
      </c>
      <c r="AN100" s="410"/>
      <c r="AO100" s="411">
        <f t="shared" si="37"/>
        <v>0</v>
      </c>
      <c r="AP100" s="411">
        <f t="shared" si="37"/>
        <v>0</v>
      </c>
      <c r="AQ100" s="411">
        <f t="shared" si="37"/>
        <v>0</v>
      </c>
      <c r="AR100" s="412"/>
      <c r="AS100" s="412">
        <v>0</v>
      </c>
      <c r="AT100" s="413">
        <f t="shared" si="38"/>
        <v>0</v>
      </c>
      <c r="AU100" s="412"/>
      <c r="AV100" s="412">
        <v>0</v>
      </c>
      <c r="AW100" s="412">
        <v>0</v>
      </c>
      <c r="AX100" s="412">
        <v>0</v>
      </c>
      <c r="AY100" s="412">
        <v>0</v>
      </c>
      <c r="AZ100" s="412">
        <v>0</v>
      </c>
      <c r="BA100" s="412">
        <v>0</v>
      </c>
      <c r="BB100" s="412">
        <v>0</v>
      </c>
      <c r="BC100" s="412">
        <f t="shared" si="39"/>
        <v>0</v>
      </c>
      <c r="BE100" s="205">
        <f t="shared" si="27"/>
        <v>0</v>
      </c>
      <c r="BF100" s="205">
        <f t="shared" si="27"/>
        <v>0</v>
      </c>
      <c r="BG100" s="205">
        <f t="shared" si="27"/>
        <v>0</v>
      </c>
      <c r="BH100" s="205">
        <f t="shared" si="27"/>
        <v>0</v>
      </c>
      <c r="BI100" s="205">
        <f t="shared" si="27"/>
        <v>0</v>
      </c>
      <c r="BJ100" s="205">
        <f t="shared" si="27"/>
        <v>0</v>
      </c>
      <c r="BK100" s="205">
        <f t="shared" si="40"/>
        <v>0</v>
      </c>
      <c r="BL100" s="205">
        <f t="shared" si="41"/>
        <v>0</v>
      </c>
      <c r="BM100" s="215">
        <f t="shared" si="42"/>
        <v>0</v>
      </c>
      <c r="BN100" s="215"/>
      <c r="BO100" s="412">
        <f t="shared" si="47"/>
        <v>0</v>
      </c>
      <c r="BP100" s="412">
        <f t="shared" si="47"/>
        <v>0</v>
      </c>
      <c r="BQ100" s="412">
        <f t="shared" si="47"/>
        <v>0</v>
      </c>
      <c r="BR100" s="412">
        <f t="shared" si="47"/>
        <v>0</v>
      </c>
      <c r="BS100" s="412">
        <f t="shared" si="47"/>
        <v>0</v>
      </c>
      <c r="BT100" s="412">
        <f t="shared" si="47"/>
        <v>0</v>
      </c>
      <c r="BU100" s="412">
        <f t="shared" si="48"/>
        <v>0</v>
      </c>
      <c r="BV100" s="412">
        <f t="shared" si="43"/>
        <v>0</v>
      </c>
      <c r="BW100" s="412">
        <f t="shared" si="28"/>
        <v>0</v>
      </c>
      <c r="BX100" s="412"/>
      <c r="BY100" s="412">
        <f t="shared" si="44"/>
        <v>0</v>
      </c>
      <c r="BZ100" s="412"/>
      <c r="CA100" s="412">
        <f>IFERROR(VLOOKUP(A100,'Actuals Summer'!A:S,19,FALSE),0)</f>
        <v>0</v>
      </c>
      <c r="CC100" s="412"/>
      <c r="CD100" s="412"/>
      <c r="CE100" s="412"/>
      <c r="CF100" s="412"/>
      <c r="CG100" s="412"/>
      <c r="CH100" s="412"/>
      <c r="CI100" s="412"/>
      <c r="CJ100" s="412"/>
      <c r="CK100" s="412"/>
      <c r="CL100" s="412"/>
      <c r="CM100" s="412"/>
      <c r="CN100" s="412"/>
      <c r="CO100" s="412"/>
      <c r="CQ100" s="363"/>
      <c r="CR100" s="363"/>
      <c r="CS100" s="363"/>
      <c r="CT100" s="363"/>
      <c r="CU100" s="363"/>
      <c r="CV100" s="363"/>
      <c r="CW100" s="363"/>
      <c r="CX100" s="363"/>
      <c r="CZ100" s="414"/>
      <c r="DA100" s="414"/>
      <c r="DB100" s="414"/>
      <c r="DC100" s="414"/>
      <c r="DD100" s="414"/>
      <c r="DE100" s="414"/>
      <c r="DF100" s="414"/>
      <c r="DG100" s="414"/>
      <c r="DI100" s="414">
        <f t="shared" si="45"/>
        <v>0</v>
      </c>
      <c r="DJ100" s="414"/>
      <c r="DK100" s="414"/>
      <c r="DL100" s="414"/>
      <c r="DM100" s="414"/>
      <c r="DN100" s="414"/>
      <c r="DO100" s="414"/>
      <c r="DP100" s="414"/>
      <c r="DQ100" s="414"/>
      <c r="DS100" s="414"/>
      <c r="DT100" s="414"/>
      <c r="DU100" s="414"/>
      <c r="DV100" s="414"/>
      <c r="DW100" s="414"/>
      <c r="DX100" s="414"/>
      <c r="DY100" s="414"/>
      <c r="DZ100" s="414"/>
      <c r="EB100" s="415">
        <f t="shared" si="29"/>
        <v>0</v>
      </c>
      <c r="EC100" s="415">
        <f t="shared" si="30"/>
        <v>0</v>
      </c>
      <c r="ED100" s="416">
        <f t="shared" si="46"/>
        <v>0</v>
      </c>
    </row>
    <row r="101" spans="1:134" hidden="1" x14ac:dyDescent="0.35">
      <c r="A101" s="17">
        <v>3351</v>
      </c>
      <c r="B101" s="4">
        <v>103443</v>
      </c>
      <c r="C101" s="4" t="s">
        <v>118</v>
      </c>
      <c r="D101" s="4" t="s">
        <v>119</v>
      </c>
      <c r="E101" s="15" t="s">
        <v>32</v>
      </c>
      <c r="F101" s="16" t="s">
        <v>27</v>
      </c>
      <c r="G101" s="215"/>
      <c r="H101" s="363">
        <v>0</v>
      </c>
      <c r="I101" s="410"/>
      <c r="J101" s="363">
        <v>0</v>
      </c>
      <c r="K101" s="363">
        <v>0</v>
      </c>
      <c r="L101" s="363">
        <v>30903.600000000002</v>
      </c>
      <c r="M101" s="363">
        <v>1560</v>
      </c>
      <c r="N101" s="363">
        <v>522.0526315789474</v>
      </c>
      <c r="O101" s="363">
        <v>0</v>
      </c>
      <c r="P101" s="215">
        <f t="shared" si="31"/>
        <v>32985.652631578952</v>
      </c>
      <c r="Q101" s="363">
        <f t="shared" si="32"/>
        <v>26388.522105263164</v>
      </c>
      <c r="R101" s="410"/>
      <c r="S101" s="363">
        <v>0</v>
      </c>
      <c r="T101" s="363">
        <v>0</v>
      </c>
      <c r="U101" s="363">
        <v>23177.7</v>
      </c>
      <c r="V101" s="363">
        <v>2145</v>
      </c>
      <c r="W101" s="363">
        <v>820.36842105263156</v>
      </c>
      <c r="X101" s="363">
        <v>0</v>
      </c>
      <c r="Y101" s="363">
        <f t="shared" si="33"/>
        <v>26143.068421052631</v>
      </c>
      <c r="Z101" s="363">
        <f t="shared" si="34"/>
        <v>20914.454736842104</v>
      </c>
      <c r="AA101" s="410"/>
      <c r="AB101" s="411">
        <v>0</v>
      </c>
      <c r="AC101" s="411">
        <v>0</v>
      </c>
      <c r="AD101" s="411">
        <v>24343.957894736846</v>
      </c>
      <c r="AE101" s="411">
        <v>1477.8947368421054</v>
      </c>
      <c r="AF101" s="411">
        <v>521.7506925207756</v>
      </c>
      <c r="AG101" s="411">
        <v>0</v>
      </c>
      <c r="AH101" s="363">
        <f t="shared" si="35"/>
        <v>26343.603324099728</v>
      </c>
      <c r="AI101" s="411">
        <f t="shared" si="36"/>
        <v>21074.882659279785</v>
      </c>
      <c r="AJ101" s="410"/>
      <c r="AK101" s="411">
        <v>1041.3</v>
      </c>
      <c r="AL101" s="411">
        <v>1047.1500000000001</v>
      </c>
      <c r="AM101" s="411">
        <v>879.34736842105269</v>
      </c>
      <c r="AN101" s="410"/>
      <c r="AO101" s="411">
        <f t="shared" si="37"/>
        <v>833.04</v>
      </c>
      <c r="AP101" s="411">
        <f t="shared" si="37"/>
        <v>837.72000000000014</v>
      </c>
      <c r="AQ101" s="411">
        <f t="shared" si="37"/>
        <v>703.47789473684225</v>
      </c>
      <c r="AR101" s="412"/>
      <c r="AS101" s="412">
        <v>0</v>
      </c>
      <c r="AT101" s="413">
        <f t="shared" si="38"/>
        <v>0</v>
      </c>
      <c r="AU101" s="412"/>
      <c r="AV101" s="412">
        <v>0</v>
      </c>
      <c r="AW101" s="412">
        <v>0</v>
      </c>
      <c r="AX101" s="412">
        <v>27960.399999999998</v>
      </c>
      <c r="AY101" s="412">
        <v>2535</v>
      </c>
      <c r="AZ101" s="412">
        <v>894.94736842105272</v>
      </c>
      <c r="BA101" s="412">
        <v>0</v>
      </c>
      <c r="BB101" s="412">
        <v>1056.8999999999999</v>
      </c>
      <c r="BC101" s="412">
        <f t="shared" si="39"/>
        <v>32447.247368421053</v>
      </c>
      <c r="BE101" s="205">
        <f t="shared" si="27"/>
        <v>0</v>
      </c>
      <c r="BF101" s="205">
        <f t="shared" si="27"/>
        <v>0</v>
      </c>
      <c r="BG101" s="205">
        <f t="shared" si="27"/>
        <v>-2943.2000000000044</v>
      </c>
      <c r="BH101" s="205">
        <f t="shared" si="27"/>
        <v>975</v>
      </c>
      <c r="BI101" s="205">
        <f t="shared" si="27"/>
        <v>372.89473684210532</v>
      </c>
      <c r="BJ101" s="205">
        <f t="shared" si="27"/>
        <v>0</v>
      </c>
      <c r="BK101" s="205">
        <f t="shared" si="40"/>
        <v>15.599999999999909</v>
      </c>
      <c r="BL101" s="205">
        <f t="shared" si="41"/>
        <v>-1579.705263157899</v>
      </c>
      <c r="BM101" s="215">
        <f t="shared" si="42"/>
        <v>0</v>
      </c>
      <c r="BN101" s="215"/>
      <c r="BO101" s="412">
        <f t="shared" si="47"/>
        <v>0</v>
      </c>
      <c r="BP101" s="412">
        <f t="shared" si="47"/>
        <v>0</v>
      </c>
      <c r="BQ101" s="412">
        <f t="shared" si="47"/>
        <v>3237.5199999999932</v>
      </c>
      <c r="BR101" s="412">
        <f t="shared" si="47"/>
        <v>1287</v>
      </c>
      <c r="BS101" s="412">
        <f t="shared" si="47"/>
        <v>477.30526315789479</v>
      </c>
      <c r="BT101" s="412">
        <f t="shared" si="47"/>
        <v>0</v>
      </c>
      <c r="BU101" s="412">
        <f t="shared" si="48"/>
        <v>223.8599999999999</v>
      </c>
      <c r="BV101" s="412">
        <f t="shared" si="43"/>
        <v>5225.6852631578877</v>
      </c>
      <c r="BW101" s="412">
        <f t="shared" si="28"/>
        <v>0</v>
      </c>
      <c r="BX101" s="412"/>
      <c r="BY101" s="412">
        <f t="shared" si="44"/>
        <v>32447.247368421053</v>
      </c>
      <c r="BZ101" s="412"/>
      <c r="CA101" s="412">
        <f>IFERROR(VLOOKUP(A101,'Actuals Summer'!A:S,19,FALSE),0)</f>
        <v>32447.247368421053</v>
      </c>
      <c r="CC101" s="412"/>
      <c r="CD101" s="412"/>
      <c r="CE101" s="412"/>
      <c r="CF101" s="412"/>
      <c r="CG101" s="412"/>
      <c r="CH101" s="412"/>
      <c r="CI101" s="412"/>
      <c r="CJ101" s="412"/>
      <c r="CK101" s="412"/>
      <c r="CL101" s="412"/>
      <c r="CM101" s="412"/>
      <c r="CN101" s="412"/>
      <c r="CO101" s="412"/>
      <c r="CQ101" s="363"/>
      <c r="CR101" s="363"/>
      <c r="CS101" s="363"/>
      <c r="CT101" s="363"/>
      <c r="CU101" s="363"/>
      <c r="CV101" s="363"/>
      <c r="CW101" s="363"/>
      <c r="CX101" s="363"/>
      <c r="CZ101" s="414"/>
      <c r="DA101" s="414"/>
      <c r="DB101" s="414"/>
      <c r="DC101" s="414"/>
      <c r="DD101" s="414"/>
      <c r="DE101" s="414"/>
      <c r="DF101" s="414"/>
      <c r="DG101" s="414"/>
      <c r="DI101" s="414">
        <f t="shared" si="45"/>
        <v>0</v>
      </c>
      <c r="DJ101" s="414"/>
      <c r="DK101" s="414"/>
      <c r="DL101" s="414"/>
      <c r="DM101" s="414"/>
      <c r="DN101" s="414"/>
      <c r="DO101" s="414"/>
      <c r="DP101" s="414"/>
      <c r="DQ101" s="414"/>
      <c r="DS101" s="414"/>
      <c r="DT101" s="414"/>
      <c r="DU101" s="414"/>
      <c r="DV101" s="414"/>
      <c r="DW101" s="414"/>
      <c r="DX101" s="414"/>
      <c r="DY101" s="414"/>
      <c r="DZ101" s="414"/>
      <c r="EB101" s="415">
        <f t="shared" si="29"/>
        <v>75977.782659279794</v>
      </c>
      <c r="EC101" s="415">
        <f t="shared" si="30"/>
        <v>0</v>
      </c>
      <c r="ED101" s="416">
        <f t="shared" si="46"/>
        <v>75977.782659279794</v>
      </c>
    </row>
    <row r="102" spans="1:134" hidden="1" x14ac:dyDescent="0.35">
      <c r="A102" s="17">
        <v>3328</v>
      </c>
      <c r="B102" s="4">
        <v>103430</v>
      </c>
      <c r="C102" s="4" t="s">
        <v>120</v>
      </c>
      <c r="D102" s="4" t="s">
        <v>121</v>
      </c>
      <c r="E102" s="15" t="s">
        <v>32</v>
      </c>
      <c r="F102" s="16" t="s">
        <v>27</v>
      </c>
      <c r="G102" s="215"/>
      <c r="H102" s="363">
        <v>0</v>
      </c>
      <c r="I102" s="410"/>
      <c r="J102" s="363">
        <v>0</v>
      </c>
      <c r="K102" s="363">
        <v>0</v>
      </c>
      <c r="L102" s="363">
        <v>24281.4</v>
      </c>
      <c r="M102" s="363">
        <v>1950</v>
      </c>
      <c r="N102" s="363">
        <v>0</v>
      </c>
      <c r="O102" s="363">
        <v>0</v>
      </c>
      <c r="P102" s="215">
        <f t="shared" si="31"/>
        <v>26231.4</v>
      </c>
      <c r="Q102" s="363">
        <f t="shared" si="32"/>
        <v>20985.120000000003</v>
      </c>
      <c r="R102" s="410"/>
      <c r="S102" s="363">
        <v>0</v>
      </c>
      <c r="T102" s="363">
        <v>0</v>
      </c>
      <c r="U102" s="363">
        <v>13244.4</v>
      </c>
      <c r="V102" s="363">
        <v>585</v>
      </c>
      <c r="W102" s="363">
        <v>223.73684210526318</v>
      </c>
      <c r="X102" s="363">
        <v>0</v>
      </c>
      <c r="Y102" s="363">
        <f t="shared" si="33"/>
        <v>14053.136842105263</v>
      </c>
      <c r="Z102" s="363">
        <f t="shared" si="34"/>
        <v>11242.509473684211</v>
      </c>
      <c r="AA102" s="410"/>
      <c r="AB102" s="411">
        <v>0</v>
      </c>
      <c r="AC102" s="411">
        <v>0</v>
      </c>
      <c r="AD102" s="411">
        <v>18016.673684210527</v>
      </c>
      <c r="AE102" s="411">
        <v>1250.5263157894738</v>
      </c>
      <c r="AF102" s="411">
        <v>65.21883656509695</v>
      </c>
      <c r="AG102" s="411">
        <v>0</v>
      </c>
      <c r="AH102" s="363">
        <f t="shared" si="35"/>
        <v>19332.418836565099</v>
      </c>
      <c r="AI102" s="411">
        <f t="shared" si="36"/>
        <v>15465.93506925208</v>
      </c>
      <c r="AJ102" s="410"/>
      <c r="AK102" s="411">
        <v>1058.8499999999999</v>
      </c>
      <c r="AL102" s="411">
        <v>294.45</v>
      </c>
      <c r="AM102" s="411">
        <v>737.81052631578939</v>
      </c>
      <c r="AN102" s="410"/>
      <c r="AO102" s="411">
        <f t="shared" si="37"/>
        <v>847.07999999999993</v>
      </c>
      <c r="AP102" s="411">
        <f t="shared" si="37"/>
        <v>235.56</v>
      </c>
      <c r="AQ102" s="411">
        <f t="shared" si="37"/>
        <v>590.24842105263156</v>
      </c>
      <c r="AR102" s="412"/>
      <c r="AS102" s="412">
        <v>0</v>
      </c>
      <c r="AT102" s="413">
        <f t="shared" si="38"/>
        <v>0</v>
      </c>
      <c r="AU102" s="412"/>
      <c r="AV102" s="412">
        <v>0</v>
      </c>
      <c r="AW102" s="412">
        <v>0</v>
      </c>
      <c r="AX102" s="412">
        <v>13244.4</v>
      </c>
      <c r="AY102" s="412">
        <v>0</v>
      </c>
      <c r="AZ102" s="412">
        <v>0</v>
      </c>
      <c r="BA102" s="412">
        <v>0</v>
      </c>
      <c r="BB102" s="412">
        <v>294.45</v>
      </c>
      <c r="BC102" s="412">
        <f t="shared" si="39"/>
        <v>13538.85</v>
      </c>
      <c r="BE102" s="205">
        <f t="shared" si="27"/>
        <v>0</v>
      </c>
      <c r="BF102" s="205">
        <f t="shared" si="27"/>
        <v>0</v>
      </c>
      <c r="BG102" s="205">
        <f t="shared" si="27"/>
        <v>-11037.000000000002</v>
      </c>
      <c r="BH102" s="205">
        <f t="shared" si="27"/>
        <v>-1950</v>
      </c>
      <c r="BI102" s="205">
        <f t="shared" si="27"/>
        <v>0</v>
      </c>
      <c r="BJ102" s="205">
        <f t="shared" si="27"/>
        <v>0</v>
      </c>
      <c r="BK102" s="205">
        <f t="shared" si="40"/>
        <v>-764.39999999999986</v>
      </c>
      <c r="BL102" s="205">
        <f t="shared" si="41"/>
        <v>-13751.400000000001</v>
      </c>
      <c r="BM102" s="215">
        <f t="shared" si="42"/>
        <v>0</v>
      </c>
      <c r="BN102" s="215"/>
      <c r="BO102" s="412">
        <f t="shared" si="47"/>
        <v>0</v>
      </c>
      <c r="BP102" s="412">
        <f t="shared" si="47"/>
        <v>0</v>
      </c>
      <c r="BQ102" s="412">
        <f t="shared" si="47"/>
        <v>-6180.720000000003</v>
      </c>
      <c r="BR102" s="412">
        <f t="shared" si="47"/>
        <v>-1560</v>
      </c>
      <c r="BS102" s="412">
        <f t="shared" si="47"/>
        <v>0</v>
      </c>
      <c r="BT102" s="412">
        <f t="shared" si="47"/>
        <v>0</v>
      </c>
      <c r="BU102" s="412">
        <f t="shared" si="48"/>
        <v>-552.62999999999988</v>
      </c>
      <c r="BV102" s="412">
        <f t="shared" si="43"/>
        <v>-8293.3500000000022</v>
      </c>
      <c r="BW102" s="412">
        <f t="shared" si="28"/>
        <v>1.8189894035458565E-12</v>
      </c>
      <c r="BX102" s="412"/>
      <c r="BY102" s="412">
        <f t="shared" si="44"/>
        <v>13538.85</v>
      </c>
      <c r="BZ102" s="412"/>
      <c r="CA102" s="412">
        <f>IFERROR(VLOOKUP(A102,'Actuals Summer'!A:S,19,FALSE),0)</f>
        <v>13538.85</v>
      </c>
      <c r="CC102" s="412"/>
      <c r="CD102" s="412"/>
      <c r="CE102" s="412"/>
      <c r="CF102" s="412"/>
      <c r="CG102" s="412"/>
      <c r="CH102" s="412"/>
      <c r="CI102" s="412"/>
      <c r="CJ102" s="412"/>
      <c r="CK102" s="412"/>
      <c r="CL102" s="412"/>
      <c r="CM102" s="412"/>
      <c r="CN102" s="412"/>
      <c r="CO102" s="412"/>
      <c r="CQ102" s="363"/>
      <c r="CR102" s="363"/>
      <c r="CS102" s="363"/>
      <c r="CT102" s="363"/>
      <c r="CU102" s="363"/>
      <c r="CV102" s="363"/>
      <c r="CW102" s="363"/>
      <c r="CX102" s="363"/>
      <c r="CZ102" s="414"/>
      <c r="DA102" s="414"/>
      <c r="DB102" s="414"/>
      <c r="DC102" s="414"/>
      <c r="DD102" s="414"/>
      <c r="DE102" s="414"/>
      <c r="DF102" s="414"/>
      <c r="DG102" s="414"/>
      <c r="DI102" s="414">
        <f t="shared" si="45"/>
        <v>0</v>
      </c>
      <c r="DJ102" s="414"/>
      <c r="DK102" s="414"/>
      <c r="DL102" s="414"/>
      <c r="DM102" s="414"/>
      <c r="DN102" s="414"/>
      <c r="DO102" s="414"/>
      <c r="DP102" s="414"/>
      <c r="DQ102" s="414"/>
      <c r="DS102" s="414"/>
      <c r="DT102" s="414"/>
      <c r="DU102" s="414"/>
      <c r="DV102" s="414"/>
      <c r="DW102" s="414"/>
      <c r="DX102" s="414"/>
      <c r="DY102" s="414"/>
      <c r="DZ102" s="414"/>
      <c r="EB102" s="415">
        <f t="shared" si="29"/>
        <v>41073.102963988924</v>
      </c>
      <c r="EC102" s="415">
        <f t="shared" si="30"/>
        <v>0</v>
      </c>
      <c r="ED102" s="416">
        <f t="shared" si="46"/>
        <v>41073.102963988924</v>
      </c>
    </row>
    <row r="103" spans="1:134" hidden="1" x14ac:dyDescent="0.35">
      <c r="A103" s="17">
        <v>1008</v>
      </c>
      <c r="B103" s="4">
        <v>103123</v>
      </c>
      <c r="C103" s="4" t="s">
        <v>122</v>
      </c>
      <c r="D103" s="4" t="s">
        <v>123</v>
      </c>
      <c r="E103" s="15" t="s">
        <v>26</v>
      </c>
      <c r="F103" s="16" t="s">
        <v>27</v>
      </c>
      <c r="G103" s="215"/>
      <c r="H103" s="363">
        <v>181953.58686270969</v>
      </c>
      <c r="I103" s="410"/>
      <c r="J103" s="363">
        <v>0</v>
      </c>
      <c r="K103" s="363">
        <v>0</v>
      </c>
      <c r="L103" s="363">
        <v>114784.8</v>
      </c>
      <c r="M103" s="363">
        <v>2145</v>
      </c>
      <c r="N103" s="363">
        <v>0</v>
      </c>
      <c r="O103" s="363">
        <v>0</v>
      </c>
      <c r="P103" s="215">
        <f t="shared" si="31"/>
        <v>116929.8</v>
      </c>
      <c r="Q103" s="363">
        <f t="shared" si="32"/>
        <v>93543.840000000011</v>
      </c>
      <c r="R103" s="410"/>
      <c r="S103" s="363">
        <v>0</v>
      </c>
      <c r="T103" s="363">
        <v>0</v>
      </c>
      <c r="U103" s="363">
        <v>97125.6</v>
      </c>
      <c r="V103" s="363">
        <v>2340</v>
      </c>
      <c r="W103" s="363">
        <v>0</v>
      </c>
      <c r="X103" s="363">
        <v>320.89473684210526</v>
      </c>
      <c r="Y103" s="363">
        <f t="shared" si="33"/>
        <v>99786.494736842113</v>
      </c>
      <c r="Z103" s="363">
        <f t="shared" si="34"/>
        <v>79829.195789473699</v>
      </c>
      <c r="AA103" s="410"/>
      <c r="AB103" s="411">
        <v>0</v>
      </c>
      <c r="AC103" s="411">
        <v>0</v>
      </c>
      <c r="AD103" s="411">
        <v>93944.084210526329</v>
      </c>
      <c r="AE103" s="411">
        <v>1705.2631578947369</v>
      </c>
      <c r="AF103" s="411">
        <v>0</v>
      </c>
      <c r="AG103" s="411">
        <v>93.54016620498615</v>
      </c>
      <c r="AH103" s="363">
        <f t="shared" si="35"/>
        <v>95742.887534626047</v>
      </c>
      <c r="AI103" s="411">
        <f t="shared" si="36"/>
        <v>76594.310027700834</v>
      </c>
      <c r="AJ103" s="410"/>
      <c r="AK103" s="411">
        <v>372.45</v>
      </c>
      <c r="AL103" s="411">
        <v>294.45</v>
      </c>
      <c r="AM103" s="411">
        <v>302.96842105263153</v>
      </c>
      <c r="AN103" s="410"/>
      <c r="AO103" s="411">
        <f t="shared" si="37"/>
        <v>297.95999999999998</v>
      </c>
      <c r="AP103" s="411">
        <f t="shared" si="37"/>
        <v>235.56</v>
      </c>
      <c r="AQ103" s="411">
        <f t="shared" si="37"/>
        <v>242.37473684210522</v>
      </c>
      <c r="AR103" s="412"/>
      <c r="AS103" s="412">
        <v>178823.05821701515</v>
      </c>
      <c r="AT103" s="413">
        <f t="shared" si="38"/>
        <v>-3130.5286456945469</v>
      </c>
      <c r="AU103" s="412"/>
      <c r="AV103" s="412">
        <v>0</v>
      </c>
      <c r="AW103" s="412">
        <v>0</v>
      </c>
      <c r="AX103" s="412">
        <v>111473.7</v>
      </c>
      <c r="AY103" s="412">
        <v>4095</v>
      </c>
      <c r="AZ103" s="412">
        <v>0</v>
      </c>
      <c r="BA103" s="412">
        <v>320.89</v>
      </c>
      <c r="BB103" s="412">
        <v>278.85000000000002</v>
      </c>
      <c r="BC103" s="412">
        <f t="shared" si="39"/>
        <v>294991.49821701518</v>
      </c>
      <c r="BE103" s="205">
        <f t="shared" si="27"/>
        <v>0</v>
      </c>
      <c r="BF103" s="205">
        <f t="shared" si="27"/>
        <v>0</v>
      </c>
      <c r="BG103" s="205">
        <f t="shared" si="27"/>
        <v>-3311.1000000000058</v>
      </c>
      <c r="BH103" s="205">
        <f t="shared" si="27"/>
        <v>1950</v>
      </c>
      <c r="BI103" s="205">
        <f t="shared" si="27"/>
        <v>0</v>
      </c>
      <c r="BJ103" s="205">
        <f t="shared" si="27"/>
        <v>320.89</v>
      </c>
      <c r="BK103" s="205">
        <f t="shared" si="40"/>
        <v>-93.599999999999966</v>
      </c>
      <c r="BL103" s="205">
        <f t="shared" si="41"/>
        <v>-4264.3386456945527</v>
      </c>
      <c r="BM103" s="215">
        <f t="shared" si="42"/>
        <v>0</v>
      </c>
      <c r="BN103" s="215"/>
      <c r="BO103" s="412">
        <f t="shared" si="47"/>
        <v>0</v>
      </c>
      <c r="BP103" s="412">
        <f t="shared" si="47"/>
        <v>0</v>
      </c>
      <c r="BQ103" s="412">
        <f t="shared" si="47"/>
        <v>19645.859999999986</v>
      </c>
      <c r="BR103" s="412">
        <f t="shared" si="47"/>
        <v>2379</v>
      </c>
      <c r="BS103" s="412">
        <f t="shared" si="47"/>
        <v>0</v>
      </c>
      <c r="BT103" s="412">
        <f t="shared" si="47"/>
        <v>320.89</v>
      </c>
      <c r="BU103" s="412">
        <f t="shared" si="48"/>
        <v>-19.109999999999957</v>
      </c>
      <c r="BV103" s="412">
        <f t="shared" si="43"/>
        <v>22326.639999999985</v>
      </c>
      <c r="BW103" s="412">
        <f t="shared" si="28"/>
        <v>3130.5286456945469</v>
      </c>
      <c r="BX103" s="412"/>
      <c r="BY103" s="412">
        <f t="shared" si="44"/>
        <v>116168.44</v>
      </c>
      <c r="BZ103" s="412"/>
      <c r="CA103" s="412">
        <f>IFERROR(VLOOKUP(A103,'Actuals Summer'!A:S,19,FALSE),0)</f>
        <v>116168.44</v>
      </c>
      <c r="CC103" s="412"/>
      <c r="CD103" s="412"/>
      <c r="CE103" s="412"/>
      <c r="CF103" s="412"/>
      <c r="CG103" s="412"/>
      <c r="CH103" s="412"/>
      <c r="CI103" s="412"/>
      <c r="CJ103" s="412"/>
      <c r="CK103" s="412"/>
      <c r="CL103" s="412"/>
      <c r="CM103" s="412"/>
      <c r="CN103" s="412"/>
      <c r="CO103" s="412"/>
      <c r="CQ103" s="363"/>
      <c r="CR103" s="363"/>
      <c r="CS103" s="363"/>
      <c r="CT103" s="363"/>
      <c r="CU103" s="363"/>
      <c r="CV103" s="363"/>
      <c r="CW103" s="363"/>
      <c r="CX103" s="363"/>
      <c r="CZ103" s="414"/>
      <c r="DA103" s="414"/>
      <c r="DB103" s="414"/>
      <c r="DC103" s="414"/>
      <c r="DD103" s="414"/>
      <c r="DE103" s="414"/>
      <c r="DF103" s="414"/>
      <c r="DG103" s="414"/>
      <c r="DI103" s="414">
        <f t="shared" si="45"/>
        <v>0</v>
      </c>
      <c r="DJ103" s="414"/>
      <c r="DK103" s="414"/>
      <c r="DL103" s="414"/>
      <c r="DM103" s="414"/>
      <c r="DN103" s="414"/>
      <c r="DO103" s="414"/>
      <c r="DP103" s="414"/>
      <c r="DQ103" s="414"/>
      <c r="DS103" s="414"/>
      <c r="DT103" s="414"/>
      <c r="DU103" s="414"/>
      <c r="DV103" s="414"/>
      <c r="DW103" s="414"/>
      <c r="DX103" s="414"/>
      <c r="DY103" s="414"/>
      <c r="DZ103" s="414"/>
      <c r="EB103" s="415">
        <f t="shared" si="29"/>
        <v>451240.50084859412</v>
      </c>
      <c r="EC103" s="415">
        <f t="shared" si="30"/>
        <v>652.43792243767314</v>
      </c>
      <c r="ED103" s="416">
        <f t="shared" si="46"/>
        <v>451892.9387710318</v>
      </c>
    </row>
    <row r="104" spans="1:134" hidden="1" x14ac:dyDescent="0.35">
      <c r="A104" s="17">
        <v>4173</v>
      </c>
      <c r="B104" s="4">
        <v>103497</v>
      </c>
      <c r="C104" s="4" t="s">
        <v>986</v>
      </c>
      <c r="D104" s="4" t="s">
        <v>987</v>
      </c>
      <c r="E104" s="15" t="s">
        <v>904</v>
      </c>
      <c r="F104" s="16" t="s">
        <v>27</v>
      </c>
      <c r="G104" s="215"/>
      <c r="H104" s="363">
        <v>0</v>
      </c>
      <c r="I104" s="410"/>
      <c r="J104" s="363">
        <v>0</v>
      </c>
      <c r="K104" s="363">
        <v>0</v>
      </c>
      <c r="L104" s="363">
        <v>0</v>
      </c>
      <c r="M104" s="363">
        <v>0</v>
      </c>
      <c r="N104" s="363">
        <v>0</v>
      </c>
      <c r="O104" s="363">
        <v>0</v>
      </c>
      <c r="P104" s="215">
        <f t="shared" si="31"/>
        <v>0</v>
      </c>
      <c r="Q104" s="363">
        <f t="shared" si="32"/>
        <v>0</v>
      </c>
      <c r="R104" s="410"/>
      <c r="S104" s="363">
        <v>0</v>
      </c>
      <c r="T104" s="363">
        <v>0</v>
      </c>
      <c r="U104" s="363">
        <v>0</v>
      </c>
      <c r="V104" s="363">
        <v>0</v>
      </c>
      <c r="W104" s="363">
        <v>0</v>
      </c>
      <c r="X104" s="363">
        <v>0</v>
      </c>
      <c r="Y104" s="363">
        <f t="shared" si="33"/>
        <v>0</v>
      </c>
      <c r="Z104" s="363">
        <f t="shared" si="34"/>
        <v>0</v>
      </c>
      <c r="AA104" s="410"/>
      <c r="AB104" s="411">
        <v>0</v>
      </c>
      <c r="AC104" s="411">
        <v>0</v>
      </c>
      <c r="AD104" s="411">
        <v>0</v>
      </c>
      <c r="AE104" s="411">
        <v>0</v>
      </c>
      <c r="AF104" s="411">
        <v>0</v>
      </c>
      <c r="AG104" s="411">
        <v>0</v>
      </c>
      <c r="AH104" s="363">
        <f t="shared" si="35"/>
        <v>0</v>
      </c>
      <c r="AI104" s="411">
        <f t="shared" si="36"/>
        <v>0</v>
      </c>
      <c r="AJ104" s="410"/>
      <c r="AK104" s="411">
        <v>0</v>
      </c>
      <c r="AL104" s="411">
        <v>0</v>
      </c>
      <c r="AM104" s="411">
        <v>0</v>
      </c>
      <c r="AN104" s="410"/>
      <c r="AO104" s="411">
        <f t="shared" si="37"/>
        <v>0</v>
      </c>
      <c r="AP104" s="411">
        <f t="shared" si="37"/>
        <v>0</v>
      </c>
      <c r="AQ104" s="411">
        <f t="shared" si="37"/>
        <v>0</v>
      </c>
      <c r="AR104" s="412"/>
      <c r="AS104" s="412">
        <v>0</v>
      </c>
      <c r="AT104" s="413">
        <f t="shared" si="38"/>
        <v>0</v>
      </c>
      <c r="AU104" s="412"/>
      <c r="AV104" s="412">
        <v>0</v>
      </c>
      <c r="AW104" s="412">
        <v>0</v>
      </c>
      <c r="AX104" s="412">
        <v>0</v>
      </c>
      <c r="AY104" s="412">
        <v>0</v>
      </c>
      <c r="AZ104" s="412">
        <v>0</v>
      </c>
      <c r="BA104" s="412">
        <v>0</v>
      </c>
      <c r="BB104" s="412">
        <v>0</v>
      </c>
      <c r="BC104" s="412">
        <f t="shared" si="39"/>
        <v>0</v>
      </c>
      <c r="BE104" s="205">
        <f t="shared" si="27"/>
        <v>0</v>
      </c>
      <c r="BF104" s="205">
        <f t="shared" si="27"/>
        <v>0</v>
      </c>
      <c r="BG104" s="205">
        <f t="shared" si="27"/>
        <v>0</v>
      </c>
      <c r="BH104" s="205">
        <f t="shared" si="27"/>
        <v>0</v>
      </c>
      <c r="BI104" s="205">
        <f t="shared" si="27"/>
        <v>0</v>
      </c>
      <c r="BJ104" s="205">
        <f t="shared" si="27"/>
        <v>0</v>
      </c>
      <c r="BK104" s="205">
        <f t="shared" si="40"/>
        <v>0</v>
      </c>
      <c r="BL104" s="205">
        <f t="shared" si="41"/>
        <v>0</v>
      </c>
      <c r="BM104" s="215">
        <f t="shared" si="42"/>
        <v>0</v>
      </c>
      <c r="BN104" s="215"/>
      <c r="BO104" s="412">
        <f t="shared" si="47"/>
        <v>0</v>
      </c>
      <c r="BP104" s="412">
        <f t="shared" si="47"/>
        <v>0</v>
      </c>
      <c r="BQ104" s="412">
        <f t="shared" si="47"/>
        <v>0</v>
      </c>
      <c r="BR104" s="412">
        <f t="shared" si="47"/>
        <v>0</v>
      </c>
      <c r="BS104" s="412">
        <f t="shared" si="47"/>
        <v>0</v>
      </c>
      <c r="BT104" s="412">
        <f t="shared" si="47"/>
        <v>0</v>
      </c>
      <c r="BU104" s="412">
        <f t="shared" si="48"/>
        <v>0</v>
      </c>
      <c r="BV104" s="412">
        <f t="shared" si="43"/>
        <v>0</v>
      </c>
      <c r="BW104" s="412">
        <f t="shared" si="28"/>
        <v>0</v>
      </c>
      <c r="BX104" s="412"/>
      <c r="BY104" s="412">
        <f t="shared" si="44"/>
        <v>0</v>
      </c>
      <c r="BZ104" s="412"/>
      <c r="CA104" s="412">
        <f>IFERROR(VLOOKUP(A104,'Actuals Summer'!A:S,19,FALSE),0)</f>
        <v>0</v>
      </c>
      <c r="CC104" s="412"/>
      <c r="CD104" s="412"/>
      <c r="CE104" s="412"/>
      <c r="CF104" s="412"/>
      <c r="CG104" s="412"/>
      <c r="CH104" s="412"/>
      <c r="CI104" s="412"/>
      <c r="CJ104" s="412"/>
      <c r="CK104" s="412"/>
      <c r="CL104" s="412"/>
      <c r="CM104" s="412"/>
      <c r="CN104" s="412"/>
      <c r="CO104" s="412"/>
      <c r="CQ104" s="363"/>
      <c r="CR104" s="363"/>
      <c r="CS104" s="363"/>
      <c r="CT104" s="363"/>
      <c r="CU104" s="363"/>
      <c r="CV104" s="363"/>
      <c r="CW104" s="363"/>
      <c r="CX104" s="363"/>
      <c r="CZ104" s="414"/>
      <c r="DA104" s="414"/>
      <c r="DB104" s="414"/>
      <c r="DC104" s="414"/>
      <c r="DD104" s="414"/>
      <c r="DE104" s="414"/>
      <c r="DF104" s="414"/>
      <c r="DG104" s="414"/>
      <c r="DI104" s="414">
        <f t="shared" si="45"/>
        <v>0</v>
      </c>
      <c r="DJ104" s="414"/>
      <c r="DK104" s="414"/>
      <c r="DL104" s="414"/>
      <c r="DM104" s="414"/>
      <c r="DN104" s="414"/>
      <c r="DO104" s="414"/>
      <c r="DP104" s="414"/>
      <c r="DQ104" s="414"/>
      <c r="DS104" s="414"/>
      <c r="DT104" s="414"/>
      <c r="DU104" s="414"/>
      <c r="DV104" s="414"/>
      <c r="DW104" s="414"/>
      <c r="DX104" s="414"/>
      <c r="DY104" s="414"/>
      <c r="DZ104" s="414"/>
      <c r="EB104" s="415">
        <f t="shared" si="29"/>
        <v>0</v>
      </c>
      <c r="EC104" s="415">
        <f t="shared" si="30"/>
        <v>0</v>
      </c>
      <c r="ED104" s="416">
        <f t="shared" si="46"/>
        <v>0</v>
      </c>
    </row>
    <row r="105" spans="1:134" hidden="1" x14ac:dyDescent="0.35">
      <c r="A105" s="17">
        <v>2159</v>
      </c>
      <c r="B105" s="4">
        <v>103247</v>
      </c>
      <c r="C105" s="4" t="s">
        <v>988</v>
      </c>
      <c r="D105" s="4" t="s">
        <v>989</v>
      </c>
      <c r="E105" s="15" t="s">
        <v>32</v>
      </c>
      <c r="F105" s="16" t="s">
        <v>27</v>
      </c>
      <c r="G105" s="215"/>
      <c r="H105" s="363">
        <v>0</v>
      </c>
      <c r="I105" s="410"/>
      <c r="J105" s="363">
        <v>0</v>
      </c>
      <c r="K105" s="363">
        <v>0</v>
      </c>
      <c r="L105" s="363">
        <v>0</v>
      </c>
      <c r="M105" s="363">
        <v>0</v>
      </c>
      <c r="N105" s="363">
        <v>0</v>
      </c>
      <c r="O105" s="363">
        <v>0</v>
      </c>
      <c r="P105" s="215">
        <f t="shared" si="31"/>
        <v>0</v>
      </c>
      <c r="Q105" s="363">
        <f t="shared" si="32"/>
        <v>0</v>
      </c>
      <c r="R105" s="410"/>
      <c r="S105" s="363">
        <v>0</v>
      </c>
      <c r="T105" s="363">
        <v>0</v>
      </c>
      <c r="U105" s="363">
        <v>0</v>
      </c>
      <c r="V105" s="363">
        <v>0</v>
      </c>
      <c r="W105" s="363">
        <v>0</v>
      </c>
      <c r="X105" s="363">
        <v>0</v>
      </c>
      <c r="Y105" s="363">
        <f t="shared" si="33"/>
        <v>0</v>
      </c>
      <c r="Z105" s="363">
        <f t="shared" si="34"/>
        <v>0</v>
      </c>
      <c r="AA105" s="410"/>
      <c r="AB105" s="411">
        <v>0</v>
      </c>
      <c r="AC105" s="411">
        <v>0</v>
      </c>
      <c r="AD105" s="411">
        <v>0</v>
      </c>
      <c r="AE105" s="411">
        <v>0</v>
      </c>
      <c r="AF105" s="411">
        <v>0</v>
      </c>
      <c r="AG105" s="411">
        <v>0</v>
      </c>
      <c r="AH105" s="363">
        <f t="shared" si="35"/>
        <v>0</v>
      </c>
      <c r="AI105" s="411">
        <f t="shared" si="36"/>
        <v>0</v>
      </c>
      <c r="AJ105" s="410"/>
      <c r="AK105" s="411">
        <v>0</v>
      </c>
      <c r="AL105" s="411">
        <v>0</v>
      </c>
      <c r="AM105" s="411">
        <v>0</v>
      </c>
      <c r="AN105" s="410"/>
      <c r="AO105" s="411">
        <f t="shared" si="37"/>
        <v>0</v>
      </c>
      <c r="AP105" s="411">
        <f t="shared" si="37"/>
        <v>0</v>
      </c>
      <c r="AQ105" s="411">
        <f t="shared" si="37"/>
        <v>0</v>
      </c>
      <c r="AR105" s="412"/>
      <c r="AS105" s="412">
        <v>0</v>
      </c>
      <c r="AT105" s="413">
        <f t="shared" si="38"/>
        <v>0</v>
      </c>
      <c r="AU105" s="412"/>
      <c r="AV105" s="412">
        <v>0</v>
      </c>
      <c r="AW105" s="412">
        <v>0</v>
      </c>
      <c r="AX105" s="412">
        <v>0</v>
      </c>
      <c r="AY105" s="412">
        <v>0</v>
      </c>
      <c r="AZ105" s="412">
        <v>0</v>
      </c>
      <c r="BA105" s="412">
        <v>0</v>
      </c>
      <c r="BB105" s="412">
        <v>0</v>
      </c>
      <c r="BC105" s="412">
        <f t="shared" si="39"/>
        <v>0</v>
      </c>
      <c r="BE105" s="205">
        <f t="shared" si="27"/>
        <v>0</v>
      </c>
      <c r="BF105" s="205">
        <f t="shared" si="27"/>
        <v>0</v>
      </c>
      <c r="BG105" s="205">
        <f t="shared" si="27"/>
        <v>0</v>
      </c>
      <c r="BH105" s="205">
        <f t="shared" si="27"/>
        <v>0</v>
      </c>
      <c r="BI105" s="205">
        <f t="shared" si="27"/>
        <v>0</v>
      </c>
      <c r="BJ105" s="205">
        <f t="shared" si="27"/>
        <v>0</v>
      </c>
      <c r="BK105" s="205">
        <f t="shared" si="40"/>
        <v>0</v>
      </c>
      <c r="BL105" s="205">
        <f t="shared" si="41"/>
        <v>0</v>
      </c>
      <c r="BM105" s="215">
        <f t="shared" si="42"/>
        <v>0</v>
      </c>
      <c r="BN105" s="215"/>
      <c r="BO105" s="412">
        <f t="shared" si="47"/>
        <v>0</v>
      </c>
      <c r="BP105" s="412">
        <f t="shared" si="47"/>
        <v>0</v>
      </c>
      <c r="BQ105" s="412">
        <f t="shared" si="47"/>
        <v>0</v>
      </c>
      <c r="BR105" s="412">
        <f t="shared" si="47"/>
        <v>0</v>
      </c>
      <c r="BS105" s="412">
        <f t="shared" si="47"/>
        <v>0</v>
      </c>
      <c r="BT105" s="412">
        <f t="shared" si="47"/>
        <v>0</v>
      </c>
      <c r="BU105" s="412">
        <f t="shared" si="48"/>
        <v>0</v>
      </c>
      <c r="BV105" s="412">
        <f t="shared" si="43"/>
        <v>0</v>
      </c>
      <c r="BW105" s="412">
        <f t="shared" si="28"/>
        <v>0</v>
      </c>
      <c r="BX105" s="412"/>
      <c r="BY105" s="412">
        <f t="shared" si="44"/>
        <v>0</v>
      </c>
      <c r="BZ105" s="412"/>
      <c r="CA105" s="412">
        <f>IFERROR(VLOOKUP(A105,'Actuals Summer'!A:S,19,FALSE),0)</f>
        <v>0</v>
      </c>
      <c r="CC105" s="412"/>
      <c r="CD105" s="412"/>
      <c r="CE105" s="412"/>
      <c r="CF105" s="412"/>
      <c r="CG105" s="412"/>
      <c r="CH105" s="412"/>
      <c r="CI105" s="412"/>
      <c r="CJ105" s="412"/>
      <c r="CK105" s="412"/>
      <c r="CL105" s="412"/>
      <c r="CM105" s="412"/>
      <c r="CN105" s="412"/>
      <c r="CO105" s="412"/>
      <c r="CQ105" s="363"/>
      <c r="CR105" s="363"/>
      <c r="CS105" s="363"/>
      <c r="CT105" s="363"/>
      <c r="CU105" s="363"/>
      <c r="CV105" s="363"/>
      <c r="CW105" s="363"/>
      <c r="CX105" s="363"/>
      <c r="CZ105" s="414"/>
      <c r="DA105" s="414"/>
      <c r="DB105" s="414"/>
      <c r="DC105" s="414"/>
      <c r="DD105" s="414"/>
      <c r="DE105" s="414"/>
      <c r="DF105" s="414"/>
      <c r="DG105" s="414"/>
      <c r="DI105" s="414">
        <f t="shared" si="45"/>
        <v>0</v>
      </c>
      <c r="DJ105" s="414"/>
      <c r="DK105" s="414"/>
      <c r="DL105" s="414"/>
      <c r="DM105" s="414"/>
      <c r="DN105" s="414"/>
      <c r="DO105" s="414"/>
      <c r="DP105" s="414"/>
      <c r="DQ105" s="414"/>
      <c r="DS105" s="414"/>
      <c r="DT105" s="414"/>
      <c r="DU105" s="414"/>
      <c r="DV105" s="414"/>
      <c r="DW105" s="414"/>
      <c r="DX105" s="414"/>
      <c r="DY105" s="414"/>
      <c r="DZ105" s="414"/>
      <c r="EB105" s="415">
        <f t="shared" si="29"/>
        <v>0</v>
      </c>
      <c r="EC105" s="415">
        <f t="shared" si="30"/>
        <v>0</v>
      </c>
      <c r="ED105" s="416">
        <f t="shared" si="46"/>
        <v>0</v>
      </c>
    </row>
    <row r="106" spans="1:134" hidden="1" x14ac:dyDescent="0.35">
      <c r="A106" s="17">
        <v>2161</v>
      </c>
      <c r="B106" s="4">
        <v>103249</v>
      </c>
      <c r="C106" s="4" t="s">
        <v>124</v>
      </c>
      <c r="D106" s="4" t="s">
        <v>125</v>
      </c>
      <c r="E106" s="15" t="s">
        <v>32</v>
      </c>
      <c r="F106" s="16" t="s">
        <v>27</v>
      </c>
      <c r="G106" s="215"/>
      <c r="H106" s="363">
        <v>0</v>
      </c>
      <c r="I106" s="410"/>
      <c r="J106" s="363">
        <v>0</v>
      </c>
      <c r="K106" s="363">
        <v>0</v>
      </c>
      <c r="L106" s="363">
        <v>56288.7</v>
      </c>
      <c r="M106" s="363">
        <v>3705</v>
      </c>
      <c r="N106" s="363">
        <v>0</v>
      </c>
      <c r="O106" s="363">
        <v>0</v>
      </c>
      <c r="P106" s="215">
        <f t="shared" si="31"/>
        <v>59993.7</v>
      </c>
      <c r="Q106" s="363">
        <f t="shared" si="32"/>
        <v>47994.96</v>
      </c>
      <c r="R106" s="410"/>
      <c r="S106" s="363">
        <v>0</v>
      </c>
      <c r="T106" s="363">
        <v>0</v>
      </c>
      <c r="U106" s="363">
        <v>54081.3</v>
      </c>
      <c r="V106" s="363">
        <v>2340</v>
      </c>
      <c r="W106" s="363">
        <v>0</v>
      </c>
      <c r="X106" s="363">
        <v>0</v>
      </c>
      <c r="Y106" s="363">
        <f t="shared" si="33"/>
        <v>56421.3</v>
      </c>
      <c r="Z106" s="363">
        <f t="shared" si="34"/>
        <v>45137.040000000008</v>
      </c>
      <c r="AA106" s="410"/>
      <c r="AB106" s="411">
        <v>0</v>
      </c>
      <c r="AC106" s="411">
        <v>0</v>
      </c>
      <c r="AD106" s="411">
        <v>47937.221052631576</v>
      </c>
      <c r="AE106" s="411">
        <v>2671.5789473684213</v>
      </c>
      <c r="AF106" s="411">
        <v>0</v>
      </c>
      <c r="AG106" s="411">
        <v>0</v>
      </c>
      <c r="AH106" s="363">
        <f t="shared" si="35"/>
        <v>50608.799999999996</v>
      </c>
      <c r="AI106" s="411">
        <f t="shared" si="36"/>
        <v>40487.040000000001</v>
      </c>
      <c r="AJ106" s="410"/>
      <c r="AK106" s="411">
        <v>1236.3000000000002</v>
      </c>
      <c r="AL106" s="411">
        <v>1045.2</v>
      </c>
      <c r="AM106" s="411">
        <v>990.75789473684222</v>
      </c>
      <c r="AN106" s="410"/>
      <c r="AO106" s="411">
        <f t="shared" si="37"/>
        <v>989.04000000000019</v>
      </c>
      <c r="AP106" s="411">
        <f t="shared" si="37"/>
        <v>836.16000000000008</v>
      </c>
      <c r="AQ106" s="411">
        <f t="shared" si="37"/>
        <v>792.6063157894738</v>
      </c>
      <c r="AR106" s="412"/>
      <c r="AS106" s="412">
        <v>0</v>
      </c>
      <c r="AT106" s="413">
        <f t="shared" si="38"/>
        <v>0</v>
      </c>
      <c r="AU106" s="412"/>
      <c r="AV106" s="412">
        <v>0</v>
      </c>
      <c r="AW106" s="412">
        <v>0</v>
      </c>
      <c r="AX106" s="412">
        <v>57392.4</v>
      </c>
      <c r="AY106" s="412">
        <v>3900</v>
      </c>
      <c r="AZ106" s="412">
        <v>0</v>
      </c>
      <c r="BA106" s="412">
        <v>0</v>
      </c>
      <c r="BB106" s="412">
        <v>1195.3499999999999</v>
      </c>
      <c r="BC106" s="412">
        <f t="shared" si="39"/>
        <v>62487.75</v>
      </c>
      <c r="BE106" s="205">
        <f t="shared" si="27"/>
        <v>0</v>
      </c>
      <c r="BF106" s="205">
        <f t="shared" si="27"/>
        <v>0</v>
      </c>
      <c r="BG106" s="205">
        <f t="shared" si="27"/>
        <v>1103.7000000000044</v>
      </c>
      <c r="BH106" s="205">
        <f t="shared" si="27"/>
        <v>195</v>
      </c>
      <c r="BI106" s="205">
        <f t="shared" si="27"/>
        <v>0</v>
      </c>
      <c r="BJ106" s="205">
        <f t="shared" si="27"/>
        <v>0</v>
      </c>
      <c r="BK106" s="205">
        <f t="shared" si="40"/>
        <v>-40.950000000000273</v>
      </c>
      <c r="BL106" s="205">
        <f t="shared" si="41"/>
        <v>1257.7500000000041</v>
      </c>
      <c r="BM106" s="215">
        <f t="shared" si="42"/>
        <v>0</v>
      </c>
      <c r="BN106" s="215"/>
      <c r="BO106" s="412">
        <f t="shared" si="47"/>
        <v>0</v>
      </c>
      <c r="BP106" s="412">
        <f t="shared" si="47"/>
        <v>0</v>
      </c>
      <c r="BQ106" s="412">
        <f t="shared" si="47"/>
        <v>12361.440000000002</v>
      </c>
      <c r="BR106" s="412">
        <f t="shared" si="47"/>
        <v>936</v>
      </c>
      <c r="BS106" s="412">
        <f t="shared" si="47"/>
        <v>0</v>
      </c>
      <c r="BT106" s="412">
        <f t="shared" si="47"/>
        <v>0</v>
      </c>
      <c r="BU106" s="412">
        <f t="shared" si="48"/>
        <v>206.30999999999972</v>
      </c>
      <c r="BV106" s="412">
        <f t="shared" si="43"/>
        <v>13503.750000000002</v>
      </c>
      <c r="BW106" s="412">
        <f t="shared" si="28"/>
        <v>0</v>
      </c>
      <c r="BX106" s="412"/>
      <c r="BY106" s="412">
        <f t="shared" si="44"/>
        <v>62487.75</v>
      </c>
      <c r="BZ106" s="412"/>
      <c r="CA106" s="412">
        <f>IFERROR(VLOOKUP(A106,'Actuals Summer'!A:S,19,FALSE),0)</f>
        <v>62487.75</v>
      </c>
      <c r="CC106" s="412"/>
      <c r="CD106" s="412"/>
      <c r="CE106" s="412"/>
      <c r="CF106" s="412"/>
      <c r="CG106" s="412"/>
      <c r="CH106" s="412"/>
      <c r="CI106" s="412"/>
      <c r="CJ106" s="412"/>
      <c r="CK106" s="412"/>
      <c r="CL106" s="412"/>
      <c r="CM106" s="412"/>
      <c r="CN106" s="412"/>
      <c r="CO106" s="412"/>
      <c r="CQ106" s="363"/>
      <c r="CR106" s="363"/>
      <c r="CS106" s="363"/>
      <c r="CT106" s="363"/>
      <c r="CU106" s="363"/>
      <c r="CV106" s="363"/>
      <c r="CW106" s="363"/>
      <c r="CX106" s="363"/>
      <c r="CZ106" s="414"/>
      <c r="DA106" s="414"/>
      <c r="DB106" s="414"/>
      <c r="DC106" s="414"/>
      <c r="DD106" s="414"/>
      <c r="DE106" s="414"/>
      <c r="DF106" s="414"/>
      <c r="DG106" s="414"/>
      <c r="DI106" s="414">
        <f t="shared" si="45"/>
        <v>0</v>
      </c>
      <c r="DJ106" s="414"/>
      <c r="DK106" s="414"/>
      <c r="DL106" s="414"/>
      <c r="DM106" s="414"/>
      <c r="DN106" s="414"/>
      <c r="DO106" s="414"/>
      <c r="DP106" s="414"/>
      <c r="DQ106" s="414"/>
      <c r="DS106" s="414"/>
      <c r="DT106" s="414"/>
      <c r="DU106" s="414"/>
      <c r="DV106" s="414"/>
      <c r="DW106" s="414"/>
      <c r="DX106" s="414"/>
      <c r="DY106" s="414"/>
      <c r="DZ106" s="414"/>
      <c r="EB106" s="415">
        <f t="shared" si="29"/>
        <v>149740.5963157895</v>
      </c>
      <c r="EC106" s="415">
        <f t="shared" si="30"/>
        <v>0</v>
      </c>
      <c r="ED106" s="416">
        <f t="shared" si="46"/>
        <v>149740.5963157895</v>
      </c>
    </row>
    <row r="107" spans="1:134" hidden="1" x14ac:dyDescent="0.35">
      <c r="A107" s="17">
        <v>2160</v>
      </c>
      <c r="B107" s="4">
        <v>103248</v>
      </c>
      <c r="C107" s="4" t="s">
        <v>990</v>
      </c>
      <c r="D107" s="4" t="s">
        <v>991</v>
      </c>
      <c r="E107" s="15" t="s">
        <v>32</v>
      </c>
      <c r="F107" s="16" t="s">
        <v>27</v>
      </c>
      <c r="G107" s="215"/>
      <c r="H107" s="363">
        <v>0</v>
      </c>
      <c r="I107" s="410"/>
      <c r="J107" s="363">
        <v>0</v>
      </c>
      <c r="K107" s="363">
        <v>0</v>
      </c>
      <c r="L107" s="363">
        <v>0</v>
      </c>
      <c r="M107" s="363">
        <v>0</v>
      </c>
      <c r="N107" s="363">
        <v>0</v>
      </c>
      <c r="O107" s="363">
        <v>0</v>
      </c>
      <c r="P107" s="215">
        <f t="shared" si="31"/>
        <v>0</v>
      </c>
      <c r="Q107" s="363">
        <f t="shared" si="32"/>
        <v>0</v>
      </c>
      <c r="R107" s="410"/>
      <c r="S107" s="363">
        <v>0</v>
      </c>
      <c r="T107" s="363">
        <v>0</v>
      </c>
      <c r="U107" s="363">
        <v>0</v>
      </c>
      <c r="V107" s="363">
        <v>0</v>
      </c>
      <c r="W107" s="363">
        <v>0</v>
      </c>
      <c r="X107" s="363">
        <v>0</v>
      </c>
      <c r="Y107" s="363">
        <f t="shared" si="33"/>
        <v>0</v>
      </c>
      <c r="Z107" s="363">
        <f t="shared" si="34"/>
        <v>0</v>
      </c>
      <c r="AA107" s="410"/>
      <c r="AB107" s="411">
        <v>0</v>
      </c>
      <c r="AC107" s="411">
        <v>0</v>
      </c>
      <c r="AD107" s="411">
        <v>0</v>
      </c>
      <c r="AE107" s="411">
        <v>0</v>
      </c>
      <c r="AF107" s="411">
        <v>0</v>
      </c>
      <c r="AG107" s="411">
        <v>0</v>
      </c>
      <c r="AH107" s="363">
        <f t="shared" si="35"/>
        <v>0</v>
      </c>
      <c r="AI107" s="411">
        <f t="shared" si="36"/>
        <v>0</v>
      </c>
      <c r="AJ107" s="410"/>
      <c r="AK107" s="411">
        <v>0</v>
      </c>
      <c r="AL107" s="411">
        <v>0</v>
      </c>
      <c r="AM107" s="411">
        <v>0</v>
      </c>
      <c r="AN107" s="410"/>
      <c r="AO107" s="411">
        <f t="shared" si="37"/>
        <v>0</v>
      </c>
      <c r="AP107" s="411">
        <f t="shared" si="37"/>
        <v>0</v>
      </c>
      <c r="AQ107" s="411">
        <f t="shared" si="37"/>
        <v>0</v>
      </c>
      <c r="AR107" s="412"/>
      <c r="AS107" s="412">
        <v>0</v>
      </c>
      <c r="AT107" s="413">
        <f t="shared" si="38"/>
        <v>0</v>
      </c>
      <c r="AU107" s="412"/>
      <c r="AV107" s="412">
        <v>0</v>
      </c>
      <c r="AW107" s="412">
        <v>0</v>
      </c>
      <c r="AX107" s="412">
        <v>0</v>
      </c>
      <c r="AY107" s="412">
        <v>0</v>
      </c>
      <c r="AZ107" s="412">
        <v>0</v>
      </c>
      <c r="BA107" s="412">
        <v>0</v>
      </c>
      <c r="BB107" s="412">
        <v>0</v>
      </c>
      <c r="BC107" s="412">
        <f t="shared" si="39"/>
        <v>0</v>
      </c>
      <c r="BE107" s="205">
        <f t="shared" si="27"/>
        <v>0</v>
      </c>
      <c r="BF107" s="205">
        <f t="shared" si="27"/>
        <v>0</v>
      </c>
      <c r="BG107" s="205">
        <f t="shared" si="27"/>
        <v>0</v>
      </c>
      <c r="BH107" s="205">
        <f t="shared" si="27"/>
        <v>0</v>
      </c>
      <c r="BI107" s="205">
        <f t="shared" si="27"/>
        <v>0</v>
      </c>
      <c r="BJ107" s="205">
        <f t="shared" si="27"/>
        <v>0</v>
      </c>
      <c r="BK107" s="205">
        <f t="shared" si="40"/>
        <v>0</v>
      </c>
      <c r="BL107" s="205">
        <f t="shared" si="41"/>
        <v>0</v>
      </c>
      <c r="BM107" s="215">
        <f t="shared" si="42"/>
        <v>0</v>
      </c>
      <c r="BN107" s="215"/>
      <c r="BO107" s="412">
        <f t="shared" si="47"/>
        <v>0</v>
      </c>
      <c r="BP107" s="412">
        <f t="shared" si="47"/>
        <v>0</v>
      </c>
      <c r="BQ107" s="412">
        <f t="shared" si="47"/>
        <v>0</v>
      </c>
      <c r="BR107" s="412">
        <f t="shared" si="47"/>
        <v>0</v>
      </c>
      <c r="BS107" s="412">
        <f t="shared" si="47"/>
        <v>0</v>
      </c>
      <c r="BT107" s="412">
        <f t="shared" si="47"/>
        <v>0</v>
      </c>
      <c r="BU107" s="412">
        <f t="shared" si="48"/>
        <v>0</v>
      </c>
      <c r="BV107" s="412">
        <f t="shared" si="43"/>
        <v>0</v>
      </c>
      <c r="BW107" s="412">
        <f t="shared" si="28"/>
        <v>0</v>
      </c>
      <c r="BX107" s="412"/>
      <c r="BY107" s="412">
        <f t="shared" si="44"/>
        <v>0</v>
      </c>
      <c r="BZ107" s="412"/>
      <c r="CA107" s="412">
        <f>IFERROR(VLOOKUP(A107,'Actuals Summer'!A:S,19,FALSE),0)</f>
        <v>0</v>
      </c>
      <c r="CC107" s="412"/>
      <c r="CD107" s="412"/>
      <c r="CE107" s="412"/>
      <c r="CF107" s="412"/>
      <c r="CG107" s="412"/>
      <c r="CH107" s="412"/>
      <c r="CI107" s="412"/>
      <c r="CJ107" s="412"/>
      <c r="CK107" s="412"/>
      <c r="CL107" s="412"/>
      <c r="CM107" s="412"/>
      <c r="CN107" s="412"/>
      <c r="CO107" s="412"/>
      <c r="CQ107" s="363"/>
      <c r="CR107" s="363"/>
      <c r="CS107" s="363"/>
      <c r="CT107" s="363"/>
      <c r="CU107" s="363"/>
      <c r="CV107" s="363"/>
      <c r="CW107" s="363"/>
      <c r="CX107" s="363"/>
      <c r="CZ107" s="414"/>
      <c r="DA107" s="414"/>
      <c r="DB107" s="414"/>
      <c r="DC107" s="414"/>
      <c r="DD107" s="414"/>
      <c r="DE107" s="414"/>
      <c r="DF107" s="414"/>
      <c r="DG107" s="414"/>
      <c r="DI107" s="414">
        <f t="shared" si="45"/>
        <v>0</v>
      </c>
      <c r="DJ107" s="414"/>
      <c r="DK107" s="414"/>
      <c r="DL107" s="414"/>
      <c r="DM107" s="414"/>
      <c r="DN107" s="414"/>
      <c r="DO107" s="414"/>
      <c r="DP107" s="414"/>
      <c r="DQ107" s="414"/>
      <c r="DS107" s="414"/>
      <c r="DT107" s="414"/>
      <c r="DU107" s="414"/>
      <c r="DV107" s="414"/>
      <c r="DW107" s="414"/>
      <c r="DX107" s="414"/>
      <c r="DY107" s="414"/>
      <c r="DZ107" s="414"/>
      <c r="EB107" s="415">
        <f t="shared" si="29"/>
        <v>0</v>
      </c>
      <c r="EC107" s="415">
        <f t="shared" si="30"/>
        <v>0</v>
      </c>
      <c r="ED107" s="416">
        <f t="shared" si="46"/>
        <v>0</v>
      </c>
    </row>
    <row r="108" spans="1:134" hidden="1" x14ac:dyDescent="0.35">
      <c r="A108" s="17">
        <v>2063</v>
      </c>
      <c r="B108" s="4">
        <v>103193</v>
      </c>
      <c r="C108" s="4" t="s">
        <v>126</v>
      </c>
      <c r="D108" s="4" t="s">
        <v>127</v>
      </c>
      <c r="E108" s="15" t="s">
        <v>32</v>
      </c>
      <c r="F108" s="16" t="s">
        <v>27</v>
      </c>
      <c r="G108" s="215"/>
      <c r="H108" s="363">
        <v>0</v>
      </c>
      <c r="I108" s="410"/>
      <c r="J108" s="363">
        <v>0</v>
      </c>
      <c r="K108" s="363">
        <v>0</v>
      </c>
      <c r="L108" s="363">
        <v>34214.700000000004</v>
      </c>
      <c r="M108" s="363">
        <v>3510</v>
      </c>
      <c r="N108" s="363">
        <v>0</v>
      </c>
      <c r="O108" s="363">
        <v>0</v>
      </c>
      <c r="P108" s="215">
        <f t="shared" si="31"/>
        <v>37724.700000000004</v>
      </c>
      <c r="Q108" s="363">
        <f t="shared" si="32"/>
        <v>30179.760000000006</v>
      </c>
      <c r="R108" s="410"/>
      <c r="S108" s="363">
        <v>0</v>
      </c>
      <c r="T108" s="363">
        <v>0</v>
      </c>
      <c r="U108" s="363">
        <v>33111</v>
      </c>
      <c r="V108" s="363">
        <v>2925</v>
      </c>
      <c r="W108" s="363">
        <v>0</v>
      </c>
      <c r="X108" s="363">
        <v>0</v>
      </c>
      <c r="Y108" s="363">
        <f t="shared" si="33"/>
        <v>36036</v>
      </c>
      <c r="Z108" s="363">
        <f t="shared" si="34"/>
        <v>28828.800000000003</v>
      </c>
      <c r="AA108" s="410"/>
      <c r="AB108" s="411">
        <v>0</v>
      </c>
      <c r="AC108" s="411">
        <v>0</v>
      </c>
      <c r="AD108" s="411">
        <v>28955.36842105263</v>
      </c>
      <c r="AE108" s="411">
        <v>2785.2631578947367</v>
      </c>
      <c r="AF108" s="411">
        <v>0</v>
      </c>
      <c r="AG108" s="411">
        <v>0</v>
      </c>
      <c r="AH108" s="363">
        <f t="shared" si="35"/>
        <v>31740.631578947367</v>
      </c>
      <c r="AI108" s="411">
        <f t="shared" si="36"/>
        <v>25392.505263157895</v>
      </c>
      <c r="AJ108" s="410"/>
      <c r="AK108" s="411">
        <v>2322.4499999999998</v>
      </c>
      <c r="AL108" s="411">
        <v>2018.25</v>
      </c>
      <c r="AM108" s="411">
        <v>1891.1368421052628</v>
      </c>
      <c r="AN108" s="410"/>
      <c r="AO108" s="411">
        <f t="shared" si="37"/>
        <v>1857.96</v>
      </c>
      <c r="AP108" s="411">
        <f t="shared" si="37"/>
        <v>1614.6000000000001</v>
      </c>
      <c r="AQ108" s="411">
        <f t="shared" si="37"/>
        <v>1512.9094736842103</v>
      </c>
      <c r="AR108" s="412"/>
      <c r="AS108" s="412">
        <v>0</v>
      </c>
      <c r="AT108" s="413">
        <f t="shared" si="38"/>
        <v>0</v>
      </c>
      <c r="AU108" s="412"/>
      <c r="AV108" s="412">
        <v>0</v>
      </c>
      <c r="AW108" s="412">
        <v>0</v>
      </c>
      <c r="AX108" s="412">
        <v>29799.9</v>
      </c>
      <c r="AY108" s="412">
        <v>3900</v>
      </c>
      <c r="AZ108" s="412">
        <v>0</v>
      </c>
      <c r="BA108" s="412">
        <v>0</v>
      </c>
      <c r="BB108" s="412">
        <v>1764.7500000000002</v>
      </c>
      <c r="BC108" s="412">
        <f t="shared" si="39"/>
        <v>35464.65</v>
      </c>
      <c r="BE108" s="205">
        <f t="shared" si="27"/>
        <v>0</v>
      </c>
      <c r="BF108" s="205">
        <f t="shared" si="27"/>
        <v>0</v>
      </c>
      <c r="BG108" s="205">
        <f t="shared" si="27"/>
        <v>-4414.8000000000029</v>
      </c>
      <c r="BH108" s="205">
        <f t="shared" ref="BH108:BJ171" si="49">AY108-M108</f>
        <v>390</v>
      </c>
      <c r="BI108" s="205">
        <f t="shared" si="49"/>
        <v>0</v>
      </c>
      <c r="BJ108" s="205">
        <f t="shared" si="49"/>
        <v>0</v>
      </c>
      <c r="BK108" s="205">
        <f t="shared" si="40"/>
        <v>-557.69999999999959</v>
      </c>
      <c r="BL108" s="205">
        <f t="shared" si="41"/>
        <v>-4582.5000000000027</v>
      </c>
      <c r="BM108" s="215">
        <f t="shared" si="42"/>
        <v>0</v>
      </c>
      <c r="BN108" s="215"/>
      <c r="BO108" s="412">
        <f t="shared" si="47"/>
        <v>0</v>
      </c>
      <c r="BP108" s="412">
        <f t="shared" si="47"/>
        <v>0</v>
      </c>
      <c r="BQ108" s="412">
        <f t="shared" si="47"/>
        <v>2428.1399999999958</v>
      </c>
      <c r="BR108" s="412">
        <f t="shared" si="47"/>
        <v>1092</v>
      </c>
      <c r="BS108" s="412">
        <f t="shared" si="47"/>
        <v>0</v>
      </c>
      <c r="BT108" s="412">
        <f t="shared" si="47"/>
        <v>0</v>
      </c>
      <c r="BU108" s="412">
        <f t="shared" si="48"/>
        <v>-93.209999999999809</v>
      </c>
      <c r="BV108" s="412">
        <f t="shared" si="43"/>
        <v>3426.9299999999957</v>
      </c>
      <c r="BW108" s="412">
        <f t="shared" si="28"/>
        <v>0</v>
      </c>
      <c r="BX108" s="412"/>
      <c r="BY108" s="412">
        <f t="shared" si="44"/>
        <v>35464.65</v>
      </c>
      <c r="BZ108" s="412"/>
      <c r="CA108" s="412">
        <f>IFERROR(VLOOKUP(A108,'Actuals Summer'!A:S,19,FALSE),0)</f>
        <v>35464.65</v>
      </c>
      <c r="CC108" s="412"/>
      <c r="CD108" s="412"/>
      <c r="CE108" s="412"/>
      <c r="CF108" s="412"/>
      <c r="CG108" s="412"/>
      <c r="CH108" s="412"/>
      <c r="CI108" s="412"/>
      <c r="CJ108" s="412"/>
      <c r="CK108" s="412"/>
      <c r="CL108" s="412"/>
      <c r="CM108" s="412"/>
      <c r="CN108" s="412"/>
      <c r="CO108" s="412"/>
      <c r="CQ108" s="363"/>
      <c r="CR108" s="363"/>
      <c r="CS108" s="363"/>
      <c r="CT108" s="363"/>
      <c r="CU108" s="363"/>
      <c r="CV108" s="363"/>
      <c r="CW108" s="363"/>
      <c r="CX108" s="363"/>
      <c r="CZ108" s="414"/>
      <c r="DA108" s="414"/>
      <c r="DB108" s="414"/>
      <c r="DC108" s="414"/>
      <c r="DD108" s="414"/>
      <c r="DE108" s="414"/>
      <c r="DF108" s="414"/>
      <c r="DG108" s="414"/>
      <c r="DI108" s="414">
        <f t="shared" si="45"/>
        <v>0</v>
      </c>
      <c r="DJ108" s="414"/>
      <c r="DK108" s="414"/>
      <c r="DL108" s="414"/>
      <c r="DM108" s="414"/>
      <c r="DN108" s="414"/>
      <c r="DO108" s="414"/>
      <c r="DP108" s="414"/>
      <c r="DQ108" s="414"/>
      <c r="DS108" s="414"/>
      <c r="DT108" s="414"/>
      <c r="DU108" s="414"/>
      <c r="DV108" s="414"/>
      <c r="DW108" s="414"/>
      <c r="DX108" s="414"/>
      <c r="DY108" s="414"/>
      <c r="DZ108" s="414"/>
      <c r="EB108" s="415">
        <f t="shared" si="29"/>
        <v>92813.464736842099</v>
      </c>
      <c r="EC108" s="415">
        <f t="shared" si="30"/>
        <v>0</v>
      </c>
      <c r="ED108" s="416">
        <f t="shared" si="46"/>
        <v>92813.464736842099</v>
      </c>
    </row>
    <row r="109" spans="1:134" hidden="1" x14ac:dyDescent="0.35">
      <c r="A109" s="17">
        <v>1018</v>
      </c>
      <c r="B109" s="4">
        <v>103131</v>
      </c>
      <c r="C109" s="4" t="s">
        <v>128</v>
      </c>
      <c r="D109" s="4" t="s">
        <v>129</v>
      </c>
      <c r="E109" s="15" t="s">
        <v>26</v>
      </c>
      <c r="F109" s="16" t="s">
        <v>27</v>
      </c>
      <c r="G109" s="215"/>
      <c r="H109" s="363">
        <v>299273.27355248138</v>
      </c>
      <c r="I109" s="410"/>
      <c r="J109" s="363">
        <v>0</v>
      </c>
      <c r="K109" s="363">
        <v>76334.7</v>
      </c>
      <c r="L109" s="363">
        <v>205288.2</v>
      </c>
      <c r="M109" s="363">
        <v>16965</v>
      </c>
      <c r="N109" s="363">
        <v>6413.7894736842109</v>
      </c>
      <c r="O109" s="363">
        <v>3208.9473684210525</v>
      </c>
      <c r="P109" s="215">
        <f t="shared" si="31"/>
        <v>308210.6368421053</v>
      </c>
      <c r="Q109" s="363">
        <f t="shared" si="32"/>
        <v>246568.50947368424</v>
      </c>
      <c r="R109" s="410"/>
      <c r="S109" s="363">
        <v>0</v>
      </c>
      <c r="T109" s="363">
        <v>79653.599999999991</v>
      </c>
      <c r="U109" s="363">
        <v>103747.80000000002</v>
      </c>
      <c r="V109" s="363">
        <v>13650</v>
      </c>
      <c r="W109" s="363">
        <v>5220.5263157894742</v>
      </c>
      <c r="X109" s="363">
        <v>1925.3684210526317</v>
      </c>
      <c r="Y109" s="363">
        <f t="shared" si="33"/>
        <v>204197.29473684213</v>
      </c>
      <c r="Z109" s="363">
        <f t="shared" si="34"/>
        <v>163357.83578947373</v>
      </c>
      <c r="AA109" s="410"/>
      <c r="AB109" s="411">
        <v>0</v>
      </c>
      <c r="AC109" s="411">
        <v>57563.431578947369</v>
      </c>
      <c r="AD109" s="411">
        <v>138985.76842105263</v>
      </c>
      <c r="AE109" s="411">
        <v>11595.78947368421</v>
      </c>
      <c r="AF109" s="411">
        <v>4369.6620498614957</v>
      </c>
      <c r="AG109" s="411">
        <v>2338.5041551246541</v>
      </c>
      <c r="AH109" s="363">
        <f t="shared" si="35"/>
        <v>214853.15567867039</v>
      </c>
      <c r="AI109" s="411">
        <f t="shared" si="36"/>
        <v>171882.52454293633</v>
      </c>
      <c r="AJ109" s="410"/>
      <c r="AK109" s="411">
        <v>8326.5</v>
      </c>
      <c r="AL109" s="411">
        <v>5169.45</v>
      </c>
      <c r="AM109" s="411">
        <v>5432.968421052632</v>
      </c>
      <c r="AN109" s="410"/>
      <c r="AO109" s="411">
        <f t="shared" si="37"/>
        <v>6661.2000000000007</v>
      </c>
      <c r="AP109" s="411">
        <f t="shared" si="37"/>
        <v>4135.5600000000004</v>
      </c>
      <c r="AQ109" s="411">
        <f t="shared" si="37"/>
        <v>4346.3747368421054</v>
      </c>
      <c r="AR109" s="412"/>
      <c r="AS109" s="412">
        <v>297945.35338077939</v>
      </c>
      <c r="AT109" s="413">
        <f t="shared" si="38"/>
        <v>-1327.9201717019896</v>
      </c>
      <c r="AU109" s="412"/>
      <c r="AV109" s="412">
        <v>0</v>
      </c>
      <c r="AW109" s="412">
        <v>76334.7</v>
      </c>
      <c r="AX109" s="412">
        <v>182110.5</v>
      </c>
      <c r="AY109" s="412">
        <v>20085</v>
      </c>
      <c r="AZ109" s="412">
        <v>7681.6315789473683</v>
      </c>
      <c r="BA109" s="412">
        <v>5455.13</v>
      </c>
      <c r="BB109" s="412">
        <v>7835.0999999999995</v>
      </c>
      <c r="BC109" s="412">
        <f t="shared" si="39"/>
        <v>597447.41495972674</v>
      </c>
      <c r="BE109" s="205">
        <f t="shared" ref="BE109:BJ172" si="50">AV109-J109</f>
        <v>0</v>
      </c>
      <c r="BF109" s="205">
        <f t="shared" si="50"/>
        <v>0</v>
      </c>
      <c r="BG109" s="205">
        <f t="shared" si="50"/>
        <v>-23177.700000000012</v>
      </c>
      <c r="BH109" s="205">
        <f t="shared" si="49"/>
        <v>3120</v>
      </c>
      <c r="BI109" s="205">
        <f t="shared" si="49"/>
        <v>1267.8421052631575</v>
      </c>
      <c r="BJ109" s="205">
        <f t="shared" si="49"/>
        <v>2246.1826315789476</v>
      </c>
      <c r="BK109" s="205">
        <f t="shared" si="40"/>
        <v>-491.40000000000055</v>
      </c>
      <c r="BL109" s="205">
        <f t="shared" si="41"/>
        <v>-18362.995434859899</v>
      </c>
      <c r="BM109" s="215">
        <f t="shared" si="42"/>
        <v>0</v>
      </c>
      <c r="BN109" s="215"/>
      <c r="BO109" s="412">
        <f t="shared" si="47"/>
        <v>0</v>
      </c>
      <c r="BP109" s="412">
        <f t="shared" si="47"/>
        <v>15266.939999999995</v>
      </c>
      <c r="BQ109" s="412">
        <f t="shared" si="47"/>
        <v>17879.939999999973</v>
      </c>
      <c r="BR109" s="412">
        <f t="shared" si="47"/>
        <v>6513</v>
      </c>
      <c r="BS109" s="412">
        <f t="shared" si="47"/>
        <v>2550.5999999999995</v>
      </c>
      <c r="BT109" s="412">
        <f t="shared" si="47"/>
        <v>2887.972105263158</v>
      </c>
      <c r="BU109" s="412">
        <f t="shared" si="48"/>
        <v>1173.8999999999987</v>
      </c>
      <c r="BV109" s="412">
        <f t="shared" si="43"/>
        <v>46272.352105263126</v>
      </c>
      <c r="BW109" s="412">
        <f t="shared" si="28"/>
        <v>1327.920171702106</v>
      </c>
      <c r="BX109" s="412"/>
      <c r="BY109" s="412">
        <f t="shared" si="44"/>
        <v>299502.06157894741</v>
      </c>
      <c r="BZ109" s="412"/>
      <c r="CA109" s="412">
        <f>IFERROR(VLOOKUP(A109,'Actuals Summer'!A:S,19,FALSE),0)</f>
        <v>299502.06157894735</v>
      </c>
      <c r="CC109" s="412"/>
      <c r="CD109" s="412"/>
      <c r="CE109" s="412"/>
      <c r="CF109" s="412"/>
      <c r="CG109" s="412"/>
      <c r="CH109" s="412"/>
      <c r="CI109" s="412"/>
      <c r="CJ109" s="412"/>
      <c r="CK109" s="412"/>
      <c r="CL109" s="412"/>
      <c r="CM109" s="412"/>
      <c r="CN109" s="412"/>
      <c r="CO109" s="412"/>
      <c r="CQ109" s="363"/>
      <c r="CR109" s="363"/>
      <c r="CS109" s="363"/>
      <c r="CT109" s="363"/>
      <c r="CU109" s="363"/>
      <c r="CV109" s="363"/>
      <c r="CW109" s="363"/>
      <c r="CX109" s="363"/>
      <c r="CZ109" s="414"/>
      <c r="DA109" s="414"/>
      <c r="DB109" s="414"/>
      <c r="DC109" s="414"/>
      <c r="DD109" s="414"/>
      <c r="DE109" s="414"/>
      <c r="DF109" s="414"/>
      <c r="DG109" s="414"/>
      <c r="DI109" s="414">
        <f t="shared" si="45"/>
        <v>0</v>
      </c>
      <c r="DJ109" s="414"/>
      <c r="DK109" s="414"/>
      <c r="DL109" s="414"/>
      <c r="DM109" s="414"/>
      <c r="DN109" s="414"/>
      <c r="DO109" s="414"/>
      <c r="DP109" s="414"/>
      <c r="DQ109" s="414"/>
      <c r="DS109" s="414"/>
      <c r="DT109" s="414"/>
      <c r="DU109" s="414"/>
      <c r="DV109" s="414"/>
      <c r="DW109" s="414"/>
      <c r="DX109" s="414"/>
      <c r="DY109" s="414"/>
      <c r="DZ109" s="414"/>
      <c r="EB109" s="415">
        <f t="shared" si="29"/>
        <v>932303.48196803709</v>
      </c>
      <c r="EC109" s="415">
        <f t="shared" si="30"/>
        <v>8866.2280609418285</v>
      </c>
      <c r="ED109" s="416">
        <f t="shared" si="46"/>
        <v>941169.71002897888</v>
      </c>
    </row>
    <row r="110" spans="1:134" hidden="1" x14ac:dyDescent="0.35">
      <c r="A110" s="17">
        <v>7033</v>
      </c>
      <c r="B110" s="4">
        <v>103613</v>
      </c>
      <c r="C110" s="4" t="s">
        <v>992</v>
      </c>
      <c r="D110" s="4" t="s">
        <v>993</v>
      </c>
      <c r="E110" s="15" t="s">
        <v>895</v>
      </c>
      <c r="F110" s="16" t="s">
        <v>27</v>
      </c>
      <c r="G110" s="215"/>
      <c r="H110" s="363">
        <v>0</v>
      </c>
      <c r="I110" s="410"/>
      <c r="J110" s="363">
        <v>0</v>
      </c>
      <c r="K110" s="363">
        <v>0</v>
      </c>
      <c r="L110" s="363">
        <v>0</v>
      </c>
      <c r="M110" s="363">
        <v>0</v>
      </c>
      <c r="N110" s="363">
        <v>0</v>
      </c>
      <c r="O110" s="363">
        <v>0</v>
      </c>
      <c r="P110" s="215">
        <f t="shared" si="31"/>
        <v>0</v>
      </c>
      <c r="Q110" s="363">
        <f t="shared" si="32"/>
        <v>0</v>
      </c>
      <c r="R110" s="410"/>
      <c r="S110" s="363">
        <v>0</v>
      </c>
      <c r="T110" s="363">
        <v>0</v>
      </c>
      <c r="U110" s="363">
        <v>0</v>
      </c>
      <c r="V110" s="363">
        <v>0</v>
      </c>
      <c r="W110" s="363">
        <v>0</v>
      </c>
      <c r="X110" s="363">
        <v>0</v>
      </c>
      <c r="Y110" s="363">
        <f t="shared" si="33"/>
        <v>0</v>
      </c>
      <c r="Z110" s="363">
        <f t="shared" si="34"/>
        <v>0</v>
      </c>
      <c r="AA110" s="410"/>
      <c r="AB110" s="411">
        <v>0</v>
      </c>
      <c r="AC110" s="411">
        <v>0</v>
      </c>
      <c r="AD110" s="411">
        <v>0</v>
      </c>
      <c r="AE110" s="411">
        <v>0</v>
      </c>
      <c r="AF110" s="411">
        <v>0</v>
      </c>
      <c r="AG110" s="411">
        <v>0</v>
      </c>
      <c r="AH110" s="363">
        <f t="shared" si="35"/>
        <v>0</v>
      </c>
      <c r="AI110" s="411">
        <f t="shared" si="36"/>
        <v>0</v>
      </c>
      <c r="AJ110" s="410"/>
      <c r="AK110" s="411">
        <v>0</v>
      </c>
      <c r="AL110" s="411">
        <v>0</v>
      </c>
      <c r="AM110" s="411">
        <v>0</v>
      </c>
      <c r="AN110" s="410"/>
      <c r="AO110" s="411">
        <f t="shared" si="37"/>
        <v>0</v>
      </c>
      <c r="AP110" s="411">
        <f t="shared" si="37"/>
        <v>0</v>
      </c>
      <c r="AQ110" s="411">
        <f t="shared" si="37"/>
        <v>0</v>
      </c>
      <c r="AR110" s="412"/>
      <c r="AS110" s="412">
        <v>0</v>
      </c>
      <c r="AT110" s="413">
        <f t="shared" si="38"/>
        <v>0</v>
      </c>
      <c r="AU110" s="412"/>
      <c r="AV110" s="412">
        <v>0</v>
      </c>
      <c r="AW110" s="412">
        <v>0</v>
      </c>
      <c r="AX110" s="412">
        <v>0</v>
      </c>
      <c r="AY110" s="412">
        <v>0</v>
      </c>
      <c r="AZ110" s="412">
        <v>0</v>
      </c>
      <c r="BA110" s="412">
        <v>0</v>
      </c>
      <c r="BB110" s="412">
        <v>0</v>
      </c>
      <c r="BC110" s="412">
        <f t="shared" si="39"/>
        <v>0</v>
      </c>
      <c r="BE110" s="205">
        <f t="shared" si="50"/>
        <v>0</v>
      </c>
      <c r="BF110" s="205">
        <f t="shared" si="50"/>
        <v>0</v>
      </c>
      <c r="BG110" s="205">
        <f t="shared" si="50"/>
        <v>0</v>
      </c>
      <c r="BH110" s="205">
        <f t="shared" si="49"/>
        <v>0</v>
      </c>
      <c r="BI110" s="205">
        <f t="shared" si="49"/>
        <v>0</v>
      </c>
      <c r="BJ110" s="205">
        <f t="shared" si="49"/>
        <v>0</v>
      </c>
      <c r="BK110" s="205">
        <f t="shared" si="40"/>
        <v>0</v>
      </c>
      <c r="BL110" s="205">
        <f t="shared" si="41"/>
        <v>0</v>
      </c>
      <c r="BM110" s="215">
        <f t="shared" si="42"/>
        <v>0</v>
      </c>
      <c r="BN110" s="215"/>
      <c r="BO110" s="412">
        <f t="shared" si="47"/>
        <v>0</v>
      </c>
      <c r="BP110" s="412">
        <f t="shared" si="47"/>
        <v>0</v>
      </c>
      <c r="BQ110" s="412">
        <f t="shared" si="47"/>
        <v>0</v>
      </c>
      <c r="BR110" s="412">
        <f t="shared" si="47"/>
        <v>0</v>
      </c>
      <c r="BS110" s="412">
        <f t="shared" si="47"/>
        <v>0</v>
      </c>
      <c r="BT110" s="412">
        <f t="shared" si="47"/>
        <v>0</v>
      </c>
      <c r="BU110" s="412">
        <f t="shared" si="48"/>
        <v>0</v>
      </c>
      <c r="BV110" s="412">
        <f t="shared" si="43"/>
        <v>0</v>
      </c>
      <c r="BW110" s="412">
        <f t="shared" si="28"/>
        <v>0</v>
      </c>
      <c r="BX110" s="412"/>
      <c r="BY110" s="412">
        <f t="shared" si="44"/>
        <v>0</v>
      </c>
      <c r="BZ110" s="412"/>
      <c r="CA110" s="412">
        <f>IFERROR(VLOOKUP(A110,'Actuals Summer'!A:S,19,FALSE),0)</f>
        <v>0</v>
      </c>
      <c r="CC110" s="412"/>
      <c r="CD110" s="412"/>
      <c r="CE110" s="412"/>
      <c r="CF110" s="412"/>
      <c r="CG110" s="412"/>
      <c r="CH110" s="412"/>
      <c r="CI110" s="412"/>
      <c r="CJ110" s="412"/>
      <c r="CK110" s="412"/>
      <c r="CL110" s="412"/>
      <c r="CM110" s="412"/>
      <c r="CN110" s="412"/>
      <c r="CO110" s="412"/>
      <c r="CQ110" s="363"/>
      <c r="CR110" s="363"/>
      <c r="CS110" s="363"/>
      <c r="CT110" s="363"/>
      <c r="CU110" s="363"/>
      <c r="CV110" s="363"/>
      <c r="CW110" s="363"/>
      <c r="CX110" s="363"/>
      <c r="CZ110" s="414"/>
      <c r="DA110" s="414"/>
      <c r="DB110" s="414"/>
      <c r="DC110" s="414"/>
      <c r="DD110" s="414"/>
      <c r="DE110" s="414"/>
      <c r="DF110" s="414"/>
      <c r="DG110" s="414"/>
      <c r="DI110" s="414">
        <f t="shared" si="45"/>
        <v>0</v>
      </c>
      <c r="DJ110" s="414"/>
      <c r="DK110" s="414"/>
      <c r="DL110" s="414"/>
      <c r="DM110" s="414"/>
      <c r="DN110" s="414"/>
      <c r="DO110" s="414"/>
      <c r="DP110" s="414"/>
      <c r="DQ110" s="414"/>
      <c r="DS110" s="414"/>
      <c r="DT110" s="414"/>
      <c r="DU110" s="414"/>
      <c r="DV110" s="414"/>
      <c r="DW110" s="414"/>
      <c r="DX110" s="414"/>
      <c r="DY110" s="414"/>
      <c r="DZ110" s="414"/>
      <c r="EB110" s="415">
        <f t="shared" si="29"/>
        <v>0</v>
      </c>
      <c r="EC110" s="415">
        <f t="shared" si="30"/>
        <v>0</v>
      </c>
      <c r="ED110" s="416">
        <f t="shared" si="46"/>
        <v>0</v>
      </c>
    </row>
    <row r="111" spans="1:134" hidden="1" x14ac:dyDescent="0.35">
      <c r="A111" s="17">
        <v>4177</v>
      </c>
      <c r="B111" s="4">
        <v>103498</v>
      </c>
      <c r="C111" s="4" t="s">
        <v>994</v>
      </c>
      <c r="D111" s="4" t="s">
        <v>995</v>
      </c>
      <c r="E111" s="15" t="s">
        <v>904</v>
      </c>
      <c r="F111" s="16" t="s">
        <v>27</v>
      </c>
      <c r="G111" s="215"/>
      <c r="H111" s="363">
        <v>0</v>
      </c>
      <c r="I111" s="410"/>
      <c r="J111" s="363">
        <v>0</v>
      </c>
      <c r="K111" s="363">
        <v>0</v>
      </c>
      <c r="L111" s="363">
        <v>0</v>
      </c>
      <c r="M111" s="363">
        <v>0</v>
      </c>
      <c r="N111" s="363">
        <v>0</v>
      </c>
      <c r="O111" s="363">
        <v>0</v>
      </c>
      <c r="P111" s="215">
        <f t="shared" si="31"/>
        <v>0</v>
      </c>
      <c r="Q111" s="363">
        <f t="shared" si="32"/>
        <v>0</v>
      </c>
      <c r="R111" s="410"/>
      <c r="S111" s="363">
        <v>0</v>
      </c>
      <c r="T111" s="363">
        <v>0</v>
      </c>
      <c r="U111" s="363">
        <v>0</v>
      </c>
      <c r="V111" s="363">
        <v>0</v>
      </c>
      <c r="W111" s="363">
        <v>0</v>
      </c>
      <c r="X111" s="363">
        <v>0</v>
      </c>
      <c r="Y111" s="363">
        <f t="shared" si="33"/>
        <v>0</v>
      </c>
      <c r="Z111" s="363">
        <f t="shared" si="34"/>
        <v>0</v>
      </c>
      <c r="AA111" s="410"/>
      <c r="AB111" s="411">
        <v>0</v>
      </c>
      <c r="AC111" s="411">
        <v>0</v>
      </c>
      <c r="AD111" s="411">
        <v>0</v>
      </c>
      <c r="AE111" s="411">
        <v>0</v>
      </c>
      <c r="AF111" s="411">
        <v>0</v>
      </c>
      <c r="AG111" s="411">
        <v>0</v>
      </c>
      <c r="AH111" s="363">
        <f t="shared" si="35"/>
        <v>0</v>
      </c>
      <c r="AI111" s="411">
        <f t="shared" si="36"/>
        <v>0</v>
      </c>
      <c r="AJ111" s="410"/>
      <c r="AK111" s="411">
        <v>0</v>
      </c>
      <c r="AL111" s="411">
        <v>0</v>
      </c>
      <c r="AM111" s="411">
        <v>0</v>
      </c>
      <c r="AN111" s="410"/>
      <c r="AO111" s="411">
        <f t="shared" si="37"/>
        <v>0</v>
      </c>
      <c r="AP111" s="411">
        <f t="shared" si="37"/>
        <v>0</v>
      </c>
      <c r="AQ111" s="411">
        <f t="shared" si="37"/>
        <v>0</v>
      </c>
      <c r="AR111" s="412"/>
      <c r="AS111" s="412">
        <v>0</v>
      </c>
      <c r="AT111" s="413">
        <f t="shared" si="38"/>
        <v>0</v>
      </c>
      <c r="AU111" s="412"/>
      <c r="AV111" s="412">
        <v>0</v>
      </c>
      <c r="AW111" s="412">
        <v>0</v>
      </c>
      <c r="AX111" s="412">
        <v>0</v>
      </c>
      <c r="AY111" s="412">
        <v>0</v>
      </c>
      <c r="AZ111" s="412">
        <v>0</v>
      </c>
      <c r="BA111" s="412">
        <v>0</v>
      </c>
      <c r="BB111" s="412">
        <v>0</v>
      </c>
      <c r="BC111" s="412">
        <f t="shared" si="39"/>
        <v>0</v>
      </c>
      <c r="BE111" s="205">
        <f t="shared" si="50"/>
        <v>0</v>
      </c>
      <c r="BF111" s="205">
        <f t="shared" si="50"/>
        <v>0</v>
      </c>
      <c r="BG111" s="205">
        <f t="shared" si="50"/>
        <v>0</v>
      </c>
      <c r="BH111" s="205">
        <f t="shared" si="49"/>
        <v>0</v>
      </c>
      <c r="BI111" s="205">
        <f t="shared" si="49"/>
        <v>0</v>
      </c>
      <c r="BJ111" s="205">
        <f t="shared" si="49"/>
        <v>0</v>
      </c>
      <c r="BK111" s="205">
        <f t="shared" si="40"/>
        <v>0</v>
      </c>
      <c r="BL111" s="205">
        <f t="shared" si="41"/>
        <v>0</v>
      </c>
      <c r="BM111" s="215">
        <f t="shared" si="42"/>
        <v>0</v>
      </c>
      <c r="BN111" s="215"/>
      <c r="BO111" s="412">
        <f t="shared" si="47"/>
        <v>0</v>
      </c>
      <c r="BP111" s="412">
        <f t="shared" si="47"/>
        <v>0</v>
      </c>
      <c r="BQ111" s="412">
        <f t="shared" si="47"/>
        <v>0</v>
      </c>
      <c r="BR111" s="412">
        <f t="shared" si="47"/>
        <v>0</v>
      </c>
      <c r="BS111" s="412">
        <f t="shared" si="47"/>
        <v>0</v>
      </c>
      <c r="BT111" s="412">
        <f t="shared" si="47"/>
        <v>0</v>
      </c>
      <c r="BU111" s="412">
        <f t="shared" si="48"/>
        <v>0</v>
      </c>
      <c r="BV111" s="412">
        <f t="shared" si="43"/>
        <v>0</v>
      </c>
      <c r="BW111" s="412">
        <f t="shared" si="28"/>
        <v>0</v>
      </c>
      <c r="BX111" s="412"/>
      <c r="BY111" s="412">
        <f t="shared" si="44"/>
        <v>0</v>
      </c>
      <c r="BZ111" s="412"/>
      <c r="CA111" s="412">
        <f>IFERROR(VLOOKUP(A111,'Actuals Summer'!A:S,19,FALSE),0)</f>
        <v>0</v>
      </c>
      <c r="CC111" s="412"/>
      <c r="CD111" s="412"/>
      <c r="CE111" s="412"/>
      <c r="CF111" s="412"/>
      <c r="CG111" s="412"/>
      <c r="CH111" s="412"/>
      <c r="CI111" s="412"/>
      <c r="CJ111" s="412"/>
      <c r="CK111" s="412"/>
      <c r="CL111" s="412"/>
      <c r="CM111" s="412"/>
      <c r="CN111" s="412"/>
      <c r="CO111" s="412"/>
      <c r="CQ111" s="363"/>
      <c r="CR111" s="363"/>
      <c r="CS111" s="363"/>
      <c r="CT111" s="363"/>
      <c r="CU111" s="363"/>
      <c r="CV111" s="363"/>
      <c r="CW111" s="363"/>
      <c r="CX111" s="363"/>
      <c r="CZ111" s="414"/>
      <c r="DA111" s="414"/>
      <c r="DB111" s="414"/>
      <c r="DC111" s="414"/>
      <c r="DD111" s="414"/>
      <c r="DE111" s="414"/>
      <c r="DF111" s="414"/>
      <c r="DG111" s="414"/>
      <c r="DI111" s="414">
        <f t="shared" si="45"/>
        <v>0</v>
      </c>
      <c r="DJ111" s="414"/>
      <c r="DK111" s="414"/>
      <c r="DL111" s="414"/>
      <c r="DM111" s="414"/>
      <c r="DN111" s="414"/>
      <c r="DO111" s="414"/>
      <c r="DP111" s="414"/>
      <c r="DQ111" s="414"/>
      <c r="DS111" s="414"/>
      <c r="DT111" s="414"/>
      <c r="DU111" s="414"/>
      <c r="DV111" s="414"/>
      <c r="DW111" s="414"/>
      <c r="DX111" s="414"/>
      <c r="DY111" s="414"/>
      <c r="DZ111" s="414"/>
      <c r="EB111" s="415">
        <f t="shared" si="29"/>
        <v>0</v>
      </c>
      <c r="EC111" s="415">
        <f t="shared" si="30"/>
        <v>0</v>
      </c>
      <c r="ED111" s="416">
        <f t="shared" si="46"/>
        <v>0</v>
      </c>
    </row>
    <row r="112" spans="1:134" hidden="1" x14ac:dyDescent="0.35">
      <c r="A112" s="17">
        <v>2169</v>
      </c>
      <c r="B112" s="4">
        <v>103252</v>
      </c>
      <c r="C112" s="4" t="s">
        <v>130</v>
      </c>
      <c r="D112" s="4" t="s">
        <v>131</v>
      </c>
      <c r="E112" s="15" t="s">
        <v>32</v>
      </c>
      <c r="F112" s="16" t="s">
        <v>27</v>
      </c>
      <c r="G112" s="215"/>
      <c r="H112" s="363">
        <v>0</v>
      </c>
      <c r="I112" s="410"/>
      <c r="J112" s="363">
        <v>0</v>
      </c>
      <c r="K112" s="363">
        <v>0</v>
      </c>
      <c r="L112" s="363">
        <v>39733.200000000004</v>
      </c>
      <c r="M112" s="363">
        <v>3900</v>
      </c>
      <c r="N112" s="363">
        <v>0</v>
      </c>
      <c r="O112" s="363">
        <v>0</v>
      </c>
      <c r="P112" s="215">
        <f t="shared" si="31"/>
        <v>43633.200000000004</v>
      </c>
      <c r="Q112" s="363">
        <f t="shared" si="32"/>
        <v>34906.560000000005</v>
      </c>
      <c r="R112" s="410"/>
      <c r="S112" s="363">
        <v>0</v>
      </c>
      <c r="T112" s="363">
        <v>0</v>
      </c>
      <c r="U112" s="363">
        <v>35318.400000000001</v>
      </c>
      <c r="V112" s="363">
        <v>2535</v>
      </c>
      <c r="W112" s="363">
        <v>969.52631578947376</v>
      </c>
      <c r="X112" s="363">
        <v>0</v>
      </c>
      <c r="Y112" s="363">
        <f t="shared" si="33"/>
        <v>38822.926315789475</v>
      </c>
      <c r="Z112" s="363">
        <f t="shared" si="34"/>
        <v>31058.341052631582</v>
      </c>
      <c r="AA112" s="410"/>
      <c r="AB112" s="411">
        <v>0</v>
      </c>
      <c r="AC112" s="411">
        <v>0</v>
      </c>
      <c r="AD112" s="411">
        <v>32172.631578947374</v>
      </c>
      <c r="AE112" s="411">
        <v>2842.105263157895</v>
      </c>
      <c r="AF112" s="411">
        <v>304.35457063711908</v>
      </c>
      <c r="AG112" s="411">
        <v>0</v>
      </c>
      <c r="AH112" s="363">
        <f t="shared" si="35"/>
        <v>35319.091412742389</v>
      </c>
      <c r="AI112" s="411">
        <f t="shared" si="36"/>
        <v>28255.273130193913</v>
      </c>
      <c r="AJ112" s="410"/>
      <c r="AK112" s="411">
        <v>2154.75</v>
      </c>
      <c r="AL112" s="411">
        <v>2039.6999999999998</v>
      </c>
      <c r="AM112" s="411">
        <v>1700.1473684210523</v>
      </c>
      <c r="AN112" s="410"/>
      <c r="AO112" s="411">
        <f t="shared" si="37"/>
        <v>1723.8000000000002</v>
      </c>
      <c r="AP112" s="411">
        <f t="shared" si="37"/>
        <v>1631.76</v>
      </c>
      <c r="AQ112" s="411">
        <f t="shared" si="37"/>
        <v>1360.1178947368419</v>
      </c>
      <c r="AR112" s="412"/>
      <c r="AS112" s="412">
        <v>0</v>
      </c>
      <c r="AT112" s="413">
        <f t="shared" si="38"/>
        <v>0</v>
      </c>
      <c r="AU112" s="412"/>
      <c r="AV112" s="412">
        <v>0</v>
      </c>
      <c r="AW112" s="412">
        <v>0</v>
      </c>
      <c r="AX112" s="412">
        <v>44148.000000000007</v>
      </c>
      <c r="AY112" s="412">
        <v>3315</v>
      </c>
      <c r="AZ112" s="412">
        <v>1267.8421052631579</v>
      </c>
      <c r="BA112" s="412">
        <v>0</v>
      </c>
      <c r="BB112" s="412">
        <v>2472.6000000000004</v>
      </c>
      <c r="BC112" s="412">
        <f t="shared" si="39"/>
        <v>51203.442105263166</v>
      </c>
      <c r="BE112" s="205">
        <f t="shared" si="50"/>
        <v>0</v>
      </c>
      <c r="BF112" s="205">
        <f t="shared" si="50"/>
        <v>0</v>
      </c>
      <c r="BG112" s="205">
        <f t="shared" si="50"/>
        <v>4414.8000000000029</v>
      </c>
      <c r="BH112" s="205">
        <f t="shared" si="49"/>
        <v>-585</v>
      </c>
      <c r="BI112" s="205">
        <f t="shared" si="49"/>
        <v>1267.8421052631579</v>
      </c>
      <c r="BJ112" s="205">
        <f t="shared" si="49"/>
        <v>0</v>
      </c>
      <c r="BK112" s="205">
        <f t="shared" si="40"/>
        <v>317.85000000000036</v>
      </c>
      <c r="BL112" s="205">
        <f t="shared" si="41"/>
        <v>5415.4921052631616</v>
      </c>
      <c r="BM112" s="215">
        <f t="shared" si="42"/>
        <v>0</v>
      </c>
      <c r="BN112" s="215"/>
      <c r="BO112" s="412">
        <f t="shared" si="47"/>
        <v>0</v>
      </c>
      <c r="BP112" s="412">
        <f t="shared" si="47"/>
        <v>0</v>
      </c>
      <c r="BQ112" s="412">
        <f t="shared" si="47"/>
        <v>12361.440000000002</v>
      </c>
      <c r="BR112" s="412">
        <f t="shared" si="47"/>
        <v>195</v>
      </c>
      <c r="BS112" s="412">
        <f t="shared" si="47"/>
        <v>1267.8421052631579</v>
      </c>
      <c r="BT112" s="412">
        <f t="shared" si="47"/>
        <v>0</v>
      </c>
      <c r="BU112" s="412">
        <f t="shared" si="48"/>
        <v>748.80000000000018</v>
      </c>
      <c r="BV112" s="412">
        <f t="shared" si="43"/>
        <v>14573.082105263162</v>
      </c>
      <c r="BW112" s="412">
        <f t="shared" si="28"/>
        <v>0</v>
      </c>
      <c r="BX112" s="412"/>
      <c r="BY112" s="412">
        <f t="shared" si="44"/>
        <v>51203.442105263166</v>
      </c>
      <c r="BZ112" s="412"/>
      <c r="CA112" s="412">
        <f>IFERROR(VLOOKUP(A112,'Actuals Summer'!A:S,19,FALSE),0)</f>
        <v>51203.442105263166</v>
      </c>
      <c r="CC112" s="412"/>
      <c r="CD112" s="412"/>
      <c r="CE112" s="412"/>
      <c r="CF112" s="412"/>
      <c r="CG112" s="412"/>
      <c r="CH112" s="412"/>
      <c r="CI112" s="412"/>
      <c r="CJ112" s="412"/>
      <c r="CK112" s="412"/>
      <c r="CL112" s="412"/>
      <c r="CM112" s="412"/>
      <c r="CN112" s="412"/>
      <c r="CO112" s="412"/>
      <c r="CQ112" s="363"/>
      <c r="CR112" s="363"/>
      <c r="CS112" s="363"/>
      <c r="CT112" s="363"/>
      <c r="CU112" s="363"/>
      <c r="CV112" s="363"/>
      <c r="CW112" s="363"/>
      <c r="CX112" s="363"/>
      <c r="CZ112" s="414"/>
      <c r="DA112" s="414"/>
      <c r="DB112" s="414"/>
      <c r="DC112" s="414"/>
      <c r="DD112" s="414"/>
      <c r="DE112" s="414"/>
      <c r="DF112" s="414"/>
      <c r="DG112" s="414"/>
      <c r="DI112" s="414">
        <f t="shared" si="45"/>
        <v>0</v>
      </c>
      <c r="DJ112" s="414"/>
      <c r="DK112" s="414"/>
      <c r="DL112" s="414"/>
      <c r="DM112" s="414"/>
      <c r="DN112" s="414"/>
      <c r="DO112" s="414"/>
      <c r="DP112" s="414"/>
      <c r="DQ112" s="414"/>
      <c r="DS112" s="414"/>
      <c r="DT112" s="414"/>
      <c r="DU112" s="414"/>
      <c r="DV112" s="414"/>
      <c r="DW112" s="414"/>
      <c r="DX112" s="414"/>
      <c r="DY112" s="414"/>
      <c r="DZ112" s="414"/>
      <c r="EB112" s="415">
        <f t="shared" si="29"/>
        <v>113508.9341828255</v>
      </c>
      <c r="EC112" s="415">
        <f t="shared" si="30"/>
        <v>0</v>
      </c>
      <c r="ED112" s="416">
        <f t="shared" si="46"/>
        <v>113508.9341828255</v>
      </c>
    </row>
    <row r="113" spans="1:134" hidden="1" x14ac:dyDescent="0.35">
      <c r="A113" s="17">
        <v>2008</v>
      </c>
      <c r="B113" s="4">
        <v>103157</v>
      </c>
      <c r="C113" s="4" t="s">
        <v>132</v>
      </c>
      <c r="D113" s="4" t="s">
        <v>133</v>
      </c>
      <c r="E113" s="15" t="s">
        <v>32</v>
      </c>
      <c r="F113" s="16" t="s">
        <v>27</v>
      </c>
      <c r="G113" s="215"/>
      <c r="H113" s="363">
        <v>0</v>
      </c>
      <c r="I113" s="410"/>
      <c r="J113" s="363">
        <v>0</v>
      </c>
      <c r="K113" s="363">
        <v>0</v>
      </c>
      <c r="L113" s="363">
        <v>60703.500000000007</v>
      </c>
      <c r="M113" s="363">
        <v>3315</v>
      </c>
      <c r="N113" s="363">
        <v>149.15789473684211</v>
      </c>
      <c r="O113" s="363">
        <v>0</v>
      </c>
      <c r="P113" s="215">
        <f t="shared" si="31"/>
        <v>64167.657894736847</v>
      </c>
      <c r="Q113" s="363">
        <f t="shared" si="32"/>
        <v>51334.126315789479</v>
      </c>
      <c r="R113" s="410"/>
      <c r="S113" s="363">
        <v>0</v>
      </c>
      <c r="T113" s="363">
        <v>0</v>
      </c>
      <c r="U113" s="363">
        <v>49666.5</v>
      </c>
      <c r="V113" s="363">
        <v>2535</v>
      </c>
      <c r="W113" s="363">
        <v>0</v>
      </c>
      <c r="X113" s="363">
        <v>0</v>
      </c>
      <c r="Y113" s="363">
        <f t="shared" si="33"/>
        <v>52201.5</v>
      </c>
      <c r="Z113" s="363">
        <f t="shared" si="34"/>
        <v>41761.200000000004</v>
      </c>
      <c r="AA113" s="410"/>
      <c r="AB113" s="411">
        <v>0</v>
      </c>
      <c r="AC113" s="411">
        <v>0</v>
      </c>
      <c r="AD113" s="411">
        <v>51476.210526315786</v>
      </c>
      <c r="AE113" s="411">
        <v>2671.5789473684213</v>
      </c>
      <c r="AF113" s="411">
        <v>86.958448753462591</v>
      </c>
      <c r="AG113" s="411">
        <v>0</v>
      </c>
      <c r="AH113" s="363">
        <f t="shared" si="35"/>
        <v>54234.747922437666</v>
      </c>
      <c r="AI113" s="411">
        <f t="shared" si="36"/>
        <v>43387.798337950138</v>
      </c>
      <c r="AJ113" s="410"/>
      <c r="AK113" s="411">
        <v>1604.85</v>
      </c>
      <c r="AL113" s="411">
        <v>1144.6500000000001</v>
      </c>
      <c r="AM113" s="411">
        <v>1368.7578947368422</v>
      </c>
      <c r="AN113" s="410"/>
      <c r="AO113" s="411">
        <f t="shared" si="37"/>
        <v>1283.8800000000001</v>
      </c>
      <c r="AP113" s="411">
        <f t="shared" si="37"/>
        <v>915.72000000000014</v>
      </c>
      <c r="AQ113" s="411">
        <f t="shared" si="37"/>
        <v>1095.0063157894738</v>
      </c>
      <c r="AR113" s="412"/>
      <c r="AS113" s="412">
        <v>0</v>
      </c>
      <c r="AT113" s="413">
        <f t="shared" si="38"/>
        <v>0</v>
      </c>
      <c r="AU113" s="412"/>
      <c r="AV113" s="412">
        <v>0</v>
      </c>
      <c r="AW113" s="412">
        <v>0</v>
      </c>
      <c r="AX113" s="412">
        <v>58496.1</v>
      </c>
      <c r="AY113" s="412">
        <v>4290</v>
      </c>
      <c r="AZ113" s="412">
        <v>298.31578947368422</v>
      </c>
      <c r="BA113" s="412">
        <v>0</v>
      </c>
      <c r="BB113" s="412">
        <v>1207.05</v>
      </c>
      <c r="BC113" s="412">
        <f t="shared" si="39"/>
        <v>64291.465789473688</v>
      </c>
      <c r="BE113" s="205">
        <f t="shared" si="50"/>
        <v>0</v>
      </c>
      <c r="BF113" s="205">
        <f t="shared" si="50"/>
        <v>0</v>
      </c>
      <c r="BG113" s="205">
        <f t="shared" si="50"/>
        <v>-2207.4000000000087</v>
      </c>
      <c r="BH113" s="205">
        <f t="shared" si="49"/>
        <v>975</v>
      </c>
      <c r="BI113" s="205">
        <f t="shared" si="49"/>
        <v>149.15789473684211</v>
      </c>
      <c r="BJ113" s="205">
        <f t="shared" si="49"/>
        <v>0</v>
      </c>
      <c r="BK113" s="205">
        <f t="shared" si="40"/>
        <v>-397.79999999999995</v>
      </c>
      <c r="BL113" s="205">
        <f t="shared" si="41"/>
        <v>-1481.0421052631666</v>
      </c>
      <c r="BM113" s="215">
        <f t="shared" si="42"/>
        <v>0</v>
      </c>
      <c r="BN113" s="215"/>
      <c r="BO113" s="412">
        <f t="shared" si="47"/>
        <v>0</v>
      </c>
      <c r="BP113" s="412">
        <f t="shared" si="47"/>
        <v>0</v>
      </c>
      <c r="BQ113" s="412">
        <f t="shared" si="47"/>
        <v>9933.2999999999884</v>
      </c>
      <c r="BR113" s="412">
        <f t="shared" si="47"/>
        <v>1638</v>
      </c>
      <c r="BS113" s="412">
        <f t="shared" si="47"/>
        <v>178.98947368421051</v>
      </c>
      <c r="BT113" s="412">
        <f t="shared" si="47"/>
        <v>0</v>
      </c>
      <c r="BU113" s="412">
        <f t="shared" si="48"/>
        <v>-76.830000000000155</v>
      </c>
      <c r="BV113" s="412">
        <f t="shared" si="43"/>
        <v>11673.459473684199</v>
      </c>
      <c r="BW113" s="412">
        <f t="shared" si="28"/>
        <v>-1.4551915228366852E-11</v>
      </c>
      <c r="BX113" s="412"/>
      <c r="BY113" s="412">
        <f t="shared" si="44"/>
        <v>64291.465789473674</v>
      </c>
      <c r="BZ113" s="412"/>
      <c r="CA113" s="412">
        <f>IFERROR(VLOOKUP(A113,'Actuals Summer'!A:S,19,FALSE),0)</f>
        <v>64291.465789473688</v>
      </c>
      <c r="CC113" s="412"/>
      <c r="CD113" s="412"/>
      <c r="CE113" s="412"/>
      <c r="CF113" s="412"/>
      <c r="CG113" s="412"/>
      <c r="CH113" s="412"/>
      <c r="CI113" s="412"/>
      <c r="CJ113" s="412"/>
      <c r="CK113" s="412"/>
      <c r="CL113" s="412"/>
      <c r="CM113" s="412"/>
      <c r="CN113" s="412"/>
      <c r="CO113" s="412"/>
      <c r="CQ113" s="363"/>
      <c r="CR113" s="363"/>
      <c r="CS113" s="363"/>
      <c r="CT113" s="363"/>
      <c r="CU113" s="363"/>
      <c r="CV113" s="363"/>
      <c r="CW113" s="363"/>
      <c r="CX113" s="363"/>
      <c r="CZ113" s="414"/>
      <c r="DA113" s="414"/>
      <c r="DB113" s="414"/>
      <c r="DC113" s="414"/>
      <c r="DD113" s="414"/>
      <c r="DE113" s="414"/>
      <c r="DF113" s="414"/>
      <c r="DG113" s="414"/>
      <c r="DI113" s="414">
        <f t="shared" si="45"/>
        <v>0</v>
      </c>
      <c r="DJ113" s="414"/>
      <c r="DK113" s="414"/>
      <c r="DL113" s="414"/>
      <c r="DM113" s="414"/>
      <c r="DN113" s="414"/>
      <c r="DO113" s="414"/>
      <c r="DP113" s="414"/>
      <c r="DQ113" s="414"/>
      <c r="DS113" s="414"/>
      <c r="DT113" s="414"/>
      <c r="DU113" s="414"/>
      <c r="DV113" s="414"/>
      <c r="DW113" s="414"/>
      <c r="DX113" s="414"/>
      <c r="DY113" s="414"/>
      <c r="DZ113" s="414"/>
      <c r="EB113" s="415">
        <f t="shared" si="29"/>
        <v>151451.1904432133</v>
      </c>
      <c r="EC113" s="415">
        <f t="shared" si="30"/>
        <v>0</v>
      </c>
      <c r="ED113" s="416">
        <f t="shared" si="46"/>
        <v>151451.1904432133</v>
      </c>
    </row>
    <row r="114" spans="1:134" hidden="1" x14ac:dyDescent="0.35">
      <c r="A114" s="17">
        <v>1038</v>
      </c>
      <c r="B114" s="4">
        <v>103142</v>
      </c>
      <c r="C114" s="4" t="s">
        <v>134</v>
      </c>
      <c r="D114" s="4" t="s">
        <v>135</v>
      </c>
      <c r="E114" s="15" t="s">
        <v>26</v>
      </c>
      <c r="F114" s="16" t="s">
        <v>27</v>
      </c>
      <c r="G114" s="215"/>
      <c r="H114" s="363">
        <v>307545.93083170155</v>
      </c>
      <c r="I114" s="410"/>
      <c r="J114" s="363">
        <v>0</v>
      </c>
      <c r="K114" s="363">
        <v>76334.7</v>
      </c>
      <c r="L114" s="363">
        <v>177695.7</v>
      </c>
      <c r="M114" s="363">
        <v>14820</v>
      </c>
      <c r="N114" s="363">
        <v>5593.4210526315792</v>
      </c>
      <c r="O114" s="363">
        <v>0</v>
      </c>
      <c r="P114" s="215">
        <f t="shared" si="31"/>
        <v>274443.8210526316</v>
      </c>
      <c r="Q114" s="363">
        <f t="shared" si="32"/>
        <v>219555.05684210529</v>
      </c>
      <c r="R114" s="410"/>
      <c r="S114" s="363">
        <v>0</v>
      </c>
      <c r="T114" s="363">
        <v>81313.05</v>
      </c>
      <c r="U114" s="363">
        <v>126925.5</v>
      </c>
      <c r="V114" s="363">
        <v>10335</v>
      </c>
      <c r="W114" s="363">
        <v>3878.105263157895</v>
      </c>
      <c r="X114" s="363">
        <v>962.68421052631584</v>
      </c>
      <c r="Y114" s="363">
        <f t="shared" si="33"/>
        <v>223414.3394736842</v>
      </c>
      <c r="Z114" s="363">
        <f t="shared" si="34"/>
        <v>178731.47157894738</v>
      </c>
      <c r="AA114" s="410"/>
      <c r="AB114" s="411">
        <v>0</v>
      </c>
      <c r="AC114" s="411">
        <v>47888.905263157896</v>
      </c>
      <c r="AD114" s="411">
        <v>133194.69473684212</v>
      </c>
      <c r="AE114" s="411">
        <v>9776.8421052631566</v>
      </c>
      <c r="AF114" s="411">
        <v>3652.2548476454294</v>
      </c>
      <c r="AG114" s="411">
        <v>280.62049861495842</v>
      </c>
      <c r="AH114" s="363">
        <f t="shared" si="35"/>
        <v>194793.31745152359</v>
      </c>
      <c r="AI114" s="411">
        <f t="shared" si="36"/>
        <v>155834.65396121886</v>
      </c>
      <c r="AJ114" s="410"/>
      <c r="AK114" s="411">
        <v>10450.049999999999</v>
      </c>
      <c r="AL114" s="411">
        <v>7950.1499999999987</v>
      </c>
      <c r="AM114" s="411">
        <v>7329.78947368421</v>
      </c>
      <c r="AN114" s="410"/>
      <c r="AO114" s="411">
        <f t="shared" si="37"/>
        <v>8360.0399999999991</v>
      </c>
      <c r="AP114" s="411">
        <f t="shared" si="37"/>
        <v>6360.119999999999</v>
      </c>
      <c r="AQ114" s="411">
        <f t="shared" si="37"/>
        <v>5863.8315789473681</v>
      </c>
      <c r="AR114" s="412"/>
      <c r="AS114" s="412">
        <v>308888.07336934848</v>
      </c>
      <c r="AT114" s="413">
        <f t="shared" si="38"/>
        <v>1342.1425376469269</v>
      </c>
      <c r="AU114" s="412"/>
      <c r="AV114" s="412">
        <v>0</v>
      </c>
      <c r="AW114" s="412">
        <v>76334.7</v>
      </c>
      <c r="AX114" s="412">
        <v>183214.2</v>
      </c>
      <c r="AY114" s="412">
        <v>12285</v>
      </c>
      <c r="AZ114" s="412">
        <v>4325.5789473684208</v>
      </c>
      <c r="BA114" s="412">
        <v>962.67</v>
      </c>
      <c r="BB114" s="412">
        <v>8905.65</v>
      </c>
      <c r="BC114" s="412">
        <f t="shared" si="39"/>
        <v>594915.87231671694</v>
      </c>
      <c r="BE114" s="205">
        <f t="shared" si="50"/>
        <v>0</v>
      </c>
      <c r="BF114" s="205">
        <f t="shared" si="50"/>
        <v>0</v>
      </c>
      <c r="BG114" s="205">
        <f t="shared" si="50"/>
        <v>5518.5</v>
      </c>
      <c r="BH114" s="205">
        <f t="shared" si="49"/>
        <v>-2535</v>
      </c>
      <c r="BI114" s="205">
        <f t="shared" si="49"/>
        <v>-1267.8421052631584</v>
      </c>
      <c r="BJ114" s="205">
        <f t="shared" si="49"/>
        <v>962.67</v>
      </c>
      <c r="BK114" s="205">
        <f t="shared" si="40"/>
        <v>-1544.3999999999996</v>
      </c>
      <c r="BL114" s="205">
        <f t="shared" si="41"/>
        <v>2476.070432383769</v>
      </c>
      <c r="BM114" s="215">
        <f t="shared" si="42"/>
        <v>0</v>
      </c>
      <c r="BN114" s="215"/>
      <c r="BO114" s="412">
        <f t="shared" si="47"/>
        <v>0</v>
      </c>
      <c r="BP114" s="412">
        <f t="shared" si="47"/>
        <v>15266.939999999995</v>
      </c>
      <c r="BQ114" s="412">
        <f t="shared" si="47"/>
        <v>41057.639999999985</v>
      </c>
      <c r="BR114" s="412">
        <f t="shared" si="47"/>
        <v>429</v>
      </c>
      <c r="BS114" s="412">
        <f t="shared" si="47"/>
        <v>-149.15789473684254</v>
      </c>
      <c r="BT114" s="412">
        <f t="shared" si="47"/>
        <v>962.67</v>
      </c>
      <c r="BU114" s="412">
        <f t="shared" si="48"/>
        <v>545.61000000000058</v>
      </c>
      <c r="BV114" s="412">
        <f t="shared" si="43"/>
        <v>58112.702105263139</v>
      </c>
      <c r="BW114" s="412">
        <f t="shared" si="28"/>
        <v>-1342.1425376469269</v>
      </c>
      <c r="BX114" s="412"/>
      <c r="BY114" s="412">
        <f t="shared" si="44"/>
        <v>286027.7989473684</v>
      </c>
      <c r="BZ114" s="412"/>
      <c r="CA114" s="412">
        <f>IFERROR(VLOOKUP(A114,'Actuals Summer'!A:S,19,FALSE),0)</f>
        <v>286027.79894736846</v>
      </c>
      <c r="CC114" s="412"/>
      <c r="CD114" s="412"/>
      <c r="CE114" s="412"/>
      <c r="CF114" s="412"/>
      <c r="CG114" s="412"/>
      <c r="CH114" s="412"/>
      <c r="CI114" s="412"/>
      <c r="CJ114" s="412"/>
      <c r="CK114" s="412"/>
      <c r="CL114" s="412"/>
      <c r="CM114" s="412"/>
      <c r="CN114" s="412"/>
      <c r="CO114" s="412"/>
      <c r="CQ114" s="363"/>
      <c r="CR114" s="363"/>
      <c r="CS114" s="363"/>
      <c r="CT114" s="363"/>
      <c r="CU114" s="363"/>
      <c r="CV114" s="363"/>
      <c r="CW114" s="363"/>
      <c r="CX114" s="363"/>
      <c r="CZ114" s="414"/>
      <c r="DA114" s="414"/>
      <c r="DB114" s="414"/>
      <c r="DC114" s="414"/>
      <c r="DD114" s="414"/>
      <c r="DE114" s="414"/>
      <c r="DF114" s="414"/>
      <c r="DG114" s="414"/>
      <c r="DI114" s="414">
        <f t="shared" si="45"/>
        <v>0</v>
      </c>
      <c r="DJ114" s="414"/>
      <c r="DK114" s="414"/>
      <c r="DL114" s="414"/>
      <c r="DM114" s="414"/>
      <c r="DN114" s="414"/>
      <c r="DO114" s="414"/>
      <c r="DP114" s="414"/>
      <c r="DQ114" s="414"/>
      <c r="DS114" s="414"/>
      <c r="DT114" s="414"/>
      <c r="DU114" s="414"/>
      <c r="DV114" s="414"/>
      <c r="DW114" s="414"/>
      <c r="DX114" s="414"/>
      <c r="DY114" s="414"/>
      <c r="DZ114" s="414"/>
      <c r="EB114" s="415">
        <f t="shared" si="29"/>
        <v>939748.63566851744</v>
      </c>
      <c r="EC114" s="415">
        <f t="shared" si="30"/>
        <v>1957.3137673130195</v>
      </c>
      <c r="ED114" s="416">
        <f t="shared" si="46"/>
        <v>941705.94943583047</v>
      </c>
    </row>
    <row r="115" spans="1:134" hidden="1" x14ac:dyDescent="0.35">
      <c r="A115" s="17">
        <v>2174</v>
      </c>
      <c r="B115" s="4">
        <v>103255</v>
      </c>
      <c r="C115" s="4" t="s">
        <v>996</v>
      </c>
      <c r="D115" s="4" t="s">
        <v>997</v>
      </c>
      <c r="E115" s="15" t="s">
        <v>32</v>
      </c>
      <c r="F115" s="16" t="s">
        <v>27</v>
      </c>
      <c r="G115" s="215"/>
      <c r="H115" s="363">
        <v>0</v>
      </c>
      <c r="I115" s="410"/>
      <c r="J115" s="363">
        <v>0</v>
      </c>
      <c r="K115" s="363">
        <v>0</v>
      </c>
      <c r="L115" s="363">
        <v>0</v>
      </c>
      <c r="M115" s="363">
        <v>0</v>
      </c>
      <c r="N115" s="363">
        <v>0</v>
      </c>
      <c r="O115" s="363">
        <v>0</v>
      </c>
      <c r="P115" s="215">
        <f t="shared" si="31"/>
        <v>0</v>
      </c>
      <c r="Q115" s="363">
        <f t="shared" si="32"/>
        <v>0</v>
      </c>
      <c r="R115" s="410"/>
      <c r="S115" s="363">
        <v>0</v>
      </c>
      <c r="T115" s="363">
        <v>0</v>
      </c>
      <c r="U115" s="363">
        <v>0</v>
      </c>
      <c r="V115" s="363">
        <v>0</v>
      </c>
      <c r="W115" s="363">
        <v>0</v>
      </c>
      <c r="X115" s="363">
        <v>0</v>
      </c>
      <c r="Y115" s="363">
        <f t="shared" si="33"/>
        <v>0</v>
      </c>
      <c r="Z115" s="363">
        <f t="shared" si="34"/>
        <v>0</v>
      </c>
      <c r="AA115" s="410"/>
      <c r="AB115" s="411">
        <v>0</v>
      </c>
      <c r="AC115" s="411">
        <v>0</v>
      </c>
      <c r="AD115" s="411">
        <v>0</v>
      </c>
      <c r="AE115" s="411">
        <v>0</v>
      </c>
      <c r="AF115" s="411">
        <v>0</v>
      </c>
      <c r="AG115" s="411">
        <v>0</v>
      </c>
      <c r="AH115" s="363">
        <f t="shared" si="35"/>
        <v>0</v>
      </c>
      <c r="AI115" s="411">
        <f t="shared" si="36"/>
        <v>0</v>
      </c>
      <c r="AJ115" s="410"/>
      <c r="AK115" s="411">
        <v>0</v>
      </c>
      <c r="AL115" s="411">
        <v>0</v>
      </c>
      <c r="AM115" s="411">
        <v>0</v>
      </c>
      <c r="AN115" s="410"/>
      <c r="AO115" s="411">
        <f t="shared" si="37"/>
        <v>0</v>
      </c>
      <c r="AP115" s="411">
        <f t="shared" si="37"/>
        <v>0</v>
      </c>
      <c r="AQ115" s="411">
        <f t="shared" si="37"/>
        <v>0</v>
      </c>
      <c r="AR115" s="412"/>
      <c r="AS115" s="412">
        <v>0</v>
      </c>
      <c r="AT115" s="413">
        <f t="shared" si="38"/>
        <v>0</v>
      </c>
      <c r="AU115" s="412"/>
      <c r="AV115" s="412">
        <v>0</v>
      </c>
      <c r="AW115" s="412">
        <v>0</v>
      </c>
      <c r="AX115" s="412">
        <v>0</v>
      </c>
      <c r="AY115" s="412">
        <v>0</v>
      </c>
      <c r="AZ115" s="412">
        <v>0</v>
      </c>
      <c r="BA115" s="412">
        <v>0</v>
      </c>
      <c r="BB115" s="412">
        <v>0</v>
      </c>
      <c r="BC115" s="412">
        <f t="shared" si="39"/>
        <v>0</v>
      </c>
      <c r="BE115" s="205">
        <f t="shared" si="50"/>
        <v>0</v>
      </c>
      <c r="BF115" s="205">
        <f t="shared" si="50"/>
        <v>0</v>
      </c>
      <c r="BG115" s="205">
        <f t="shared" si="50"/>
        <v>0</v>
      </c>
      <c r="BH115" s="205">
        <f t="shared" si="49"/>
        <v>0</v>
      </c>
      <c r="BI115" s="205">
        <f t="shared" si="49"/>
        <v>0</v>
      </c>
      <c r="BJ115" s="205">
        <f t="shared" si="49"/>
        <v>0</v>
      </c>
      <c r="BK115" s="205">
        <f t="shared" si="40"/>
        <v>0</v>
      </c>
      <c r="BL115" s="205">
        <f t="shared" si="41"/>
        <v>0</v>
      </c>
      <c r="BM115" s="215">
        <f t="shared" si="42"/>
        <v>0</v>
      </c>
      <c r="BN115" s="215"/>
      <c r="BO115" s="412">
        <f t="shared" si="47"/>
        <v>0</v>
      </c>
      <c r="BP115" s="412">
        <f t="shared" si="47"/>
        <v>0</v>
      </c>
      <c r="BQ115" s="412">
        <f t="shared" si="47"/>
        <v>0</v>
      </c>
      <c r="BR115" s="412">
        <f t="shared" si="47"/>
        <v>0</v>
      </c>
      <c r="BS115" s="412">
        <f t="shared" si="47"/>
        <v>0</v>
      </c>
      <c r="BT115" s="412">
        <f t="shared" si="47"/>
        <v>0</v>
      </c>
      <c r="BU115" s="412">
        <f t="shared" si="48"/>
        <v>0</v>
      </c>
      <c r="BV115" s="412">
        <f t="shared" si="43"/>
        <v>0</v>
      </c>
      <c r="BW115" s="412">
        <f t="shared" si="28"/>
        <v>0</v>
      </c>
      <c r="BX115" s="412"/>
      <c r="BY115" s="412">
        <f t="shared" si="44"/>
        <v>0</v>
      </c>
      <c r="BZ115" s="412"/>
      <c r="CA115" s="412">
        <f>IFERROR(VLOOKUP(A115,'Actuals Summer'!A:S,19,FALSE),0)</f>
        <v>0</v>
      </c>
      <c r="CC115" s="412"/>
      <c r="CD115" s="412"/>
      <c r="CE115" s="412"/>
      <c r="CF115" s="412"/>
      <c r="CG115" s="412"/>
      <c r="CH115" s="412"/>
      <c r="CI115" s="412"/>
      <c r="CJ115" s="412"/>
      <c r="CK115" s="412"/>
      <c r="CL115" s="412"/>
      <c r="CM115" s="412"/>
      <c r="CN115" s="412"/>
      <c r="CO115" s="412"/>
      <c r="CQ115" s="363"/>
      <c r="CR115" s="363"/>
      <c r="CS115" s="363"/>
      <c r="CT115" s="363"/>
      <c r="CU115" s="363"/>
      <c r="CV115" s="363"/>
      <c r="CW115" s="363"/>
      <c r="CX115" s="363"/>
      <c r="CZ115" s="414"/>
      <c r="DA115" s="414"/>
      <c r="DB115" s="414"/>
      <c r="DC115" s="414"/>
      <c r="DD115" s="414"/>
      <c r="DE115" s="414"/>
      <c r="DF115" s="414"/>
      <c r="DG115" s="414"/>
      <c r="DI115" s="414">
        <f t="shared" si="45"/>
        <v>0</v>
      </c>
      <c r="DJ115" s="414"/>
      <c r="DK115" s="414"/>
      <c r="DL115" s="414"/>
      <c r="DM115" s="414"/>
      <c r="DN115" s="414"/>
      <c r="DO115" s="414"/>
      <c r="DP115" s="414"/>
      <c r="DQ115" s="414"/>
      <c r="DS115" s="414"/>
      <c r="DT115" s="414"/>
      <c r="DU115" s="414"/>
      <c r="DV115" s="414"/>
      <c r="DW115" s="414"/>
      <c r="DX115" s="414"/>
      <c r="DY115" s="414"/>
      <c r="DZ115" s="414"/>
      <c r="EB115" s="415">
        <f t="shared" si="29"/>
        <v>0</v>
      </c>
      <c r="EC115" s="415">
        <f t="shared" si="30"/>
        <v>0</v>
      </c>
      <c r="ED115" s="416">
        <f t="shared" si="46"/>
        <v>0</v>
      </c>
    </row>
    <row r="116" spans="1:134" hidden="1" x14ac:dyDescent="0.35">
      <c r="A116" s="17">
        <v>2176</v>
      </c>
      <c r="B116" s="4">
        <v>103256</v>
      </c>
      <c r="C116" s="4" t="s">
        <v>136</v>
      </c>
      <c r="D116" s="4" t="s">
        <v>137</v>
      </c>
      <c r="E116" s="15" t="s">
        <v>32</v>
      </c>
      <c r="F116" s="16" t="s">
        <v>27</v>
      </c>
      <c r="G116" s="215"/>
      <c r="H116" s="363">
        <v>0</v>
      </c>
      <c r="I116" s="410"/>
      <c r="J116" s="363">
        <v>0</v>
      </c>
      <c r="K116" s="363">
        <v>0</v>
      </c>
      <c r="L116" s="363">
        <v>83881.2</v>
      </c>
      <c r="M116" s="363">
        <v>5655</v>
      </c>
      <c r="N116" s="363">
        <v>74.578947368421055</v>
      </c>
      <c r="O116" s="363">
        <v>0</v>
      </c>
      <c r="P116" s="215">
        <f t="shared" si="31"/>
        <v>89610.778947368424</v>
      </c>
      <c r="Q116" s="363">
        <f t="shared" si="32"/>
        <v>71688.623157894748</v>
      </c>
      <c r="R116" s="410"/>
      <c r="S116" s="363">
        <v>0</v>
      </c>
      <c r="T116" s="363">
        <v>0</v>
      </c>
      <c r="U116" s="363">
        <v>64014.600000000006</v>
      </c>
      <c r="V116" s="363">
        <v>1950</v>
      </c>
      <c r="W116" s="363">
        <v>74.578947368421055</v>
      </c>
      <c r="X116" s="363">
        <v>0</v>
      </c>
      <c r="Y116" s="363">
        <f t="shared" si="33"/>
        <v>66039.178947368433</v>
      </c>
      <c r="Z116" s="363">
        <f t="shared" si="34"/>
        <v>52831.343157894749</v>
      </c>
      <c r="AA116" s="410"/>
      <c r="AB116" s="411">
        <v>0</v>
      </c>
      <c r="AC116" s="411">
        <v>0</v>
      </c>
      <c r="AD116" s="411">
        <v>67562.526315789481</v>
      </c>
      <c r="AE116" s="411">
        <v>3581.0526315789475</v>
      </c>
      <c r="AF116" s="411">
        <v>65.21883656509695</v>
      </c>
      <c r="AG116" s="411">
        <v>0</v>
      </c>
      <c r="AH116" s="363">
        <f t="shared" si="35"/>
        <v>71208.797783933522</v>
      </c>
      <c r="AI116" s="411">
        <f t="shared" si="36"/>
        <v>56967.038227146819</v>
      </c>
      <c r="AJ116" s="410"/>
      <c r="AK116" s="411">
        <v>1322.1</v>
      </c>
      <c r="AL116" s="411">
        <v>1056.9000000000001</v>
      </c>
      <c r="AM116" s="411">
        <v>1048.7368421052629</v>
      </c>
      <c r="AN116" s="410"/>
      <c r="AO116" s="411">
        <f t="shared" si="37"/>
        <v>1057.68</v>
      </c>
      <c r="AP116" s="411">
        <f t="shared" si="37"/>
        <v>845.5200000000001</v>
      </c>
      <c r="AQ116" s="411">
        <f t="shared" si="37"/>
        <v>838.98947368421034</v>
      </c>
      <c r="AR116" s="412"/>
      <c r="AS116" s="412">
        <v>0</v>
      </c>
      <c r="AT116" s="413">
        <f t="shared" si="38"/>
        <v>0</v>
      </c>
      <c r="AU116" s="412"/>
      <c r="AV116" s="412">
        <v>0</v>
      </c>
      <c r="AW116" s="412">
        <v>0</v>
      </c>
      <c r="AX116" s="412">
        <v>79466.400000000009</v>
      </c>
      <c r="AY116" s="412">
        <v>6240</v>
      </c>
      <c r="AZ116" s="412">
        <v>149.15789473684211</v>
      </c>
      <c r="BA116" s="412">
        <v>0</v>
      </c>
      <c r="BB116" s="412">
        <v>1542.45</v>
      </c>
      <c r="BC116" s="412">
        <f t="shared" si="39"/>
        <v>87398.007894736846</v>
      </c>
      <c r="BE116" s="205">
        <f t="shared" si="50"/>
        <v>0</v>
      </c>
      <c r="BF116" s="205">
        <f t="shared" si="50"/>
        <v>0</v>
      </c>
      <c r="BG116" s="205">
        <f t="shared" si="50"/>
        <v>-4414.7999999999884</v>
      </c>
      <c r="BH116" s="205">
        <f t="shared" si="49"/>
        <v>585</v>
      </c>
      <c r="BI116" s="205">
        <f t="shared" si="49"/>
        <v>74.578947368421055</v>
      </c>
      <c r="BJ116" s="205">
        <f t="shared" si="49"/>
        <v>0</v>
      </c>
      <c r="BK116" s="205">
        <f t="shared" si="40"/>
        <v>220.35000000000014</v>
      </c>
      <c r="BL116" s="205">
        <f t="shared" si="41"/>
        <v>-3534.8710526315672</v>
      </c>
      <c r="BM116" s="215">
        <f t="shared" si="42"/>
        <v>0</v>
      </c>
      <c r="BN116" s="215"/>
      <c r="BO116" s="412">
        <f t="shared" si="47"/>
        <v>0</v>
      </c>
      <c r="BP116" s="412">
        <f t="shared" si="47"/>
        <v>0</v>
      </c>
      <c r="BQ116" s="412">
        <f t="shared" si="47"/>
        <v>12361.440000000002</v>
      </c>
      <c r="BR116" s="412">
        <f t="shared" si="47"/>
        <v>1716</v>
      </c>
      <c r="BS116" s="412">
        <f t="shared" si="47"/>
        <v>89.494736842105254</v>
      </c>
      <c r="BT116" s="412">
        <f t="shared" si="47"/>
        <v>0</v>
      </c>
      <c r="BU116" s="412">
        <f t="shared" si="48"/>
        <v>484.77</v>
      </c>
      <c r="BV116" s="412">
        <f t="shared" si="43"/>
        <v>14651.704736842108</v>
      </c>
      <c r="BW116" s="412">
        <f t="shared" si="28"/>
        <v>0</v>
      </c>
      <c r="BX116" s="412"/>
      <c r="BY116" s="412">
        <f t="shared" si="44"/>
        <v>87398.007894736846</v>
      </c>
      <c r="BZ116" s="412"/>
      <c r="CA116" s="412">
        <f>IFERROR(VLOOKUP(A116,'Actuals Summer'!A:S,19,FALSE),0)</f>
        <v>87398.007894736846</v>
      </c>
      <c r="CC116" s="412"/>
      <c r="CD116" s="412"/>
      <c r="CE116" s="412"/>
      <c r="CF116" s="412"/>
      <c r="CG116" s="412"/>
      <c r="CH116" s="412"/>
      <c r="CI116" s="412"/>
      <c r="CJ116" s="412"/>
      <c r="CK116" s="412"/>
      <c r="CL116" s="412"/>
      <c r="CM116" s="412"/>
      <c r="CN116" s="412"/>
      <c r="CO116" s="412"/>
      <c r="CQ116" s="363"/>
      <c r="CR116" s="363"/>
      <c r="CS116" s="363"/>
      <c r="CT116" s="363"/>
      <c r="CU116" s="363"/>
      <c r="CV116" s="363"/>
      <c r="CW116" s="363"/>
      <c r="CX116" s="363"/>
      <c r="CZ116" s="414"/>
      <c r="DA116" s="414"/>
      <c r="DB116" s="414"/>
      <c r="DC116" s="414"/>
      <c r="DD116" s="414"/>
      <c r="DE116" s="414"/>
      <c r="DF116" s="414"/>
      <c r="DG116" s="414"/>
      <c r="DI116" s="414">
        <f t="shared" si="45"/>
        <v>0</v>
      </c>
      <c r="DJ116" s="414"/>
      <c r="DK116" s="414"/>
      <c r="DL116" s="414"/>
      <c r="DM116" s="414"/>
      <c r="DN116" s="414"/>
      <c r="DO116" s="414"/>
      <c r="DP116" s="414"/>
      <c r="DQ116" s="414"/>
      <c r="DS116" s="414"/>
      <c r="DT116" s="414"/>
      <c r="DU116" s="414"/>
      <c r="DV116" s="414"/>
      <c r="DW116" s="414"/>
      <c r="DX116" s="414"/>
      <c r="DY116" s="414"/>
      <c r="DZ116" s="414"/>
      <c r="EB116" s="415">
        <f t="shared" si="29"/>
        <v>198880.89875346259</v>
      </c>
      <c r="EC116" s="415">
        <f t="shared" si="30"/>
        <v>0</v>
      </c>
      <c r="ED116" s="416">
        <f t="shared" si="46"/>
        <v>198880.89875346259</v>
      </c>
    </row>
    <row r="117" spans="1:134" hidden="1" x14ac:dyDescent="0.35">
      <c r="A117" s="17">
        <v>7047</v>
      </c>
      <c r="B117" s="4">
        <v>103623</v>
      </c>
      <c r="C117" s="4" t="s">
        <v>998</v>
      </c>
      <c r="D117" s="4" t="s">
        <v>999</v>
      </c>
      <c r="E117" s="15" t="s">
        <v>895</v>
      </c>
      <c r="F117" s="16" t="s">
        <v>27</v>
      </c>
      <c r="G117" s="215"/>
      <c r="H117" s="363">
        <v>0</v>
      </c>
      <c r="I117" s="410"/>
      <c r="J117" s="363">
        <v>0</v>
      </c>
      <c r="K117" s="363">
        <v>0</v>
      </c>
      <c r="L117" s="363">
        <v>0</v>
      </c>
      <c r="M117" s="363">
        <v>0</v>
      </c>
      <c r="N117" s="363">
        <v>0</v>
      </c>
      <c r="O117" s="363">
        <v>0</v>
      </c>
      <c r="P117" s="215">
        <f t="shared" si="31"/>
        <v>0</v>
      </c>
      <c r="Q117" s="363">
        <f t="shared" si="32"/>
        <v>0</v>
      </c>
      <c r="R117" s="410"/>
      <c r="S117" s="363">
        <v>0</v>
      </c>
      <c r="T117" s="363">
        <v>0</v>
      </c>
      <c r="U117" s="363">
        <v>0</v>
      </c>
      <c r="V117" s="363">
        <v>0</v>
      </c>
      <c r="W117" s="363">
        <v>0</v>
      </c>
      <c r="X117" s="363">
        <v>0</v>
      </c>
      <c r="Y117" s="363">
        <f t="shared" si="33"/>
        <v>0</v>
      </c>
      <c r="Z117" s="363">
        <f t="shared" si="34"/>
        <v>0</v>
      </c>
      <c r="AA117" s="410"/>
      <c r="AB117" s="411">
        <v>0</v>
      </c>
      <c r="AC117" s="411">
        <v>0</v>
      </c>
      <c r="AD117" s="411">
        <v>0</v>
      </c>
      <c r="AE117" s="411">
        <v>0</v>
      </c>
      <c r="AF117" s="411">
        <v>0</v>
      </c>
      <c r="AG117" s="411">
        <v>0</v>
      </c>
      <c r="AH117" s="363">
        <f t="shared" si="35"/>
        <v>0</v>
      </c>
      <c r="AI117" s="411">
        <f t="shared" si="36"/>
        <v>0</v>
      </c>
      <c r="AJ117" s="410"/>
      <c r="AK117" s="411">
        <v>0</v>
      </c>
      <c r="AL117" s="411">
        <v>0</v>
      </c>
      <c r="AM117" s="411">
        <v>0</v>
      </c>
      <c r="AN117" s="410"/>
      <c r="AO117" s="411">
        <f t="shared" si="37"/>
        <v>0</v>
      </c>
      <c r="AP117" s="411">
        <f t="shared" si="37"/>
        <v>0</v>
      </c>
      <c r="AQ117" s="411">
        <f t="shared" si="37"/>
        <v>0</v>
      </c>
      <c r="AR117" s="412"/>
      <c r="AS117" s="412">
        <v>0</v>
      </c>
      <c r="AT117" s="413">
        <f t="shared" si="38"/>
        <v>0</v>
      </c>
      <c r="AU117" s="412"/>
      <c r="AV117" s="412">
        <v>0</v>
      </c>
      <c r="AW117" s="412">
        <v>0</v>
      </c>
      <c r="AX117" s="412">
        <v>0</v>
      </c>
      <c r="AY117" s="412">
        <v>0</v>
      </c>
      <c r="AZ117" s="412">
        <v>0</v>
      </c>
      <c r="BA117" s="412">
        <v>0</v>
      </c>
      <c r="BB117" s="412">
        <v>0</v>
      </c>
      <c r="BC117" s="412">
        <f t="shared" si="39"/>
        <v>0</v>
      </c>
      <c r="BE117" s="205">
        <f t="shared" si="50"/>
        <v>0</v>
      </c>
      <c r="BF117" s="205">
        <f t="shared" si="50"/>
        <v>0</v>
      </c>
      <c r="BG117" s="205">
        <f t="shared" si="50"/>
        <v>0</v>
      </c>
      <c r="BH117" s="205">
        <f t="shared" si="49"/>
        <v>0</v>
      </c>
      <c r="BI117" s="205">
        <f t="shared" si="49"/>
        <v>0</v>
      </c>
      <c r="BJ117" s="205">
        <f t="shared" si="49"/>
        <v>0</v>
      </c>
      <c r="BK117" s="205">
        <f t="shared" si="40"/>
        <v>0</v>
      </c>
      <c r="BL117" s="205">
        <f t="shared" si="41"/>
        <v>0</v>
      </c>
      <c r="BM117" s="215">
        <f t="shared" si="42"/>
        <v>0</v>
      </c>
      <c r="BN117" s="215"/>
      <c r="BO117" s="412">
        <f t="shared" si="47"/>
        <v>0</v>
      </c>
      <c r="BP117" s="412">
        <f t="shared" si="47"/>
        <v>0</v>
      </c>
      <c r="BQ117" s="412">
        <f t="shared" si="47"/>
        <v>0</v>
      </c>
      <c r="BR117" s="412">
        <f t="shared" si="47"/>
        <v>0</v>
      </c>
      <c r="BS117" s="412">
        <f t="shared" si="47"/>
        <v>0</v>
      </c>
      <c r="BT117" s="412">
        <f t="shared" si="47"/>
        <v>0</v>
      </c>
      <c r="BU117" s="412">
        <f t="shared" si="48"/>
        <v>0</v>
      </c>
      <c r="BV117" s="412">
        <f t="shared" si="43"/>
        <v>0</v>
      </c>
      <c r="BW117" s="412">
        <f t="shared" si="28"/>
        <v>0</v>
      </c>
      <c r="BX117" s="412"/>
      <c r="BY117" s="412">
        <f t="shared" si="44"/>
        <v>0</v>
      </c>
      <c r="BZ117" s="412"/>
      <c r="CA117" s="412">
        <f>IFERROR(VLOOKUP(A117,'Actuals Summer'!A:S,19,FALSE),0)</f>
        <v>0</v>
      </c>
      <c r="CC117" s="412"/>
      <c r="CD117" s="412"/>
      <c r="CE117" s="412"/>
      <c r="CF117" s="412"/>
      <c r="CG117" s="412"/>
      <c r="CH117" s="412"/>
      <c r="CI117" s="412"/>
      <c r="CJ117" s="412"/>
      <c r="CK117" s="412"/>
      <c r="CL117" s="412"/>
      <c r="CM117" s="412"/>
      <c r="CN117" s="412"/>
      <c r="CO117" s="412"/>
      <c r="CQ117" s="363"/>
      <c r="CR117" s="363"/>
      <c r="CS117" s="363"/>
      <c r="CT117" s="363"/>
      <c r="CU117" s="363"/>
      <c r="CV117" s="363"/>
      <c r="CW117" s="363"/>
      <c r="CX117" s="363"/>
      <c r="CZ117" s="414"/>
      <c r="DA117" s="414"/>
      <c r="DB117" s="414"/>
      <c r="DC117" s="414"/>
      <c r="DD117" s="414"/>
      <c r="DE117" s="414"/>
      <c r="DF117" s="414"/>
      <c r="DG117" s="414"/>
      <c r="DI117" s="414">
        <f t="shared" si="45"/>
        <v>0</v>
      </c>
      <c r="DJ117" s="414"/>
      <c r="DK117" s="414"/>
      <c r="DL117" s="414"/>
      <c r="DM117" s="414"/>
      <c r="DN117" s="414"/>
      <c r="DO117" s="414"/>
      <c r="DP117" s="414"/>
      <c r="DQ117" s="414"/>
      <c r="DS117" s="414"/>
      <c r="DT117" s="414"/>
      <c r="DU117" s="414"/>
      <c r="DV117" s="414"/>
      <c r="DW117" s="414"/>
      <c r="DX117" s="414"/>
      <c r="DY117" s="414"/>
      <c r="DZ117" s="414"/>
      <c r="EB117" s="415">
        <f t="shared" si="29"/>
        <v>0</v>
      </c>
      <c r="EC117" s="415">
        <f t="shared" si="30"/>
        <v>0</v>
      </c>
      <c r="ED117" s="416">
        <f t="shared" si="46"/>
        <v>0</v>
      </c>
    </row>
    <row r="118" spans="1:134" hidden="1" x14ac:dyDescent="0.35">
      <c r="A118" s="17">
        <v>3410</v>
      </c>
      <c r="B118" s="4">
        <v>103478</v>
      </c>
      <c r="C118" s="4" t="s">
        <v>1000</v>
      </c>
      <c r="D118" s="4" t="s">
        <v>1001</v>
      </c>
      <c r="E118" s="15" t="s">
        <v>32</v>
      </c>
      <c r="F118" s="16" t="s">
        <v>27</v>
      </c>
      <c r="G118" s="215"/>
      <c r="H118" s="363">
        <v>0</v>
      </c>
      <c r="I118" s="410"/>
      <c r="J118" s="363">
        <v>0</v>
      </c>
      <c r="K118" s="363">
        <v>0</v>
      </c>
      <c r="L118" s="363">
        <v>0</v>
      </c>
      <c r="M118" s="363">
        <v>0</v>
      </c>
      <c r="N118" s="363">
        <v>0</v>
      </c>
      <c r="O118" s="363">
        <v>0</v>
      </c>
      <c r="P118" s="215">
        <f t="shared" si="31"/>
        <v>0</v>
      </c>
      <c r="Q118" s="363">
        <f t="shared" si="32"/>
        <v>0</v>
      </c>
      <c r="R118" s="410"/>
      <c r="S118" s="363">
        <v>0</v>
      </c>
      <c r="T118" s="363">
        <v>0</v>
      </c>
      <c r="U118" s="363">
        <v>0</v>
      </c>
      <c r="V118" s="363">
        <v>0</v>
      </c>
      <c r="W118" s="363">
        <v>0</v>
      </c>
      <c r="X118" s="363">
        <v>0</v>
      </c>
      <c r="Y118" s="363">
        <f t="shared" si="33"/>
        <v>0</v>
      </c>
      <c r="Z118" s="363">
        <f t="shared" si="34"/>
        <v>0</v>
      </c>
      <c r="AA118" s="410"/>
      <c r="AB118" s="411">
        <v>0</v>
      </c>
      <c r="AC118" s="411">
        <v>0</v>
      </c>
      <c r="AD118" s="411">
        <v>0</v>
      </c>
      <c r="AE118" s="411">
        <v>0</v>
      </c>
      <c r="AF118" s="411">
        <v>0</v>
      </c>
      <c r="AG118" s="411">
        <v>0</v>
      </c>
      <c r="AH118" s="363">
        <f t="shared" si="35"/>
        <v>0</v>
      </c>
      <c r="AI118" s="411">
        <f t="shared" si="36"/>
        <v>0</v>
      </c>
      <c r="AJ118" s="410"/>
      <c r="AK118" s="411">
        <v>0</v>
      </c>
      <c r="AL118" s="411">
        <v>0</v>
      </c>
      <c r="AM118" s="411">
        <v>0</v>
      </c>
      <c r="AN118" s="410"/>
      <c r="AO118" s="411">
        <f t="shared" si="37"/>
        <v>0</v>
      </c>
      <c r="AP118" s="411">
        <f t="shared" si="37"/>
        <v>0</v>
      </c>
      <c r="AQ118" s="411">
        <f t="shared" si="37"/>
        <v>0</v>
      </c>
      <c r="AR118" s="412"/>
      <c r="AS118" s="412">
        <v>0</v>
      </c>
      <c r="AT118" s="413">
        <f t="shared" si="38"/>
        <v>0</v>
      </c>
      <c r="AU118" s="412"/>
      <c r="AV118" s="412">
        <v>0</v>
      </c>
      <c r="AW118" s="412">
        <v>0</v>
      </c>
      <c r="AX118" s="412">
        <v>0</v>
      </c>
      <c r="AY118" s="412">
        <v>0</v>
      </c>
      <c r="AZ118" s="412">
        <v>0</v>
      </c>
      <c r="BA118" s="412">
        <v>0</v>
      </c>
      <c r="BB118" s="412">
        <v>0</v>
      </c>
      <c r="BC118" s="412">
        <f t="shared" si="39"/>
        <v>0</v>
      </c>
      <c r="BE118" s="205">
        <f t="shared" si="50"/>
        <v>0</v>
      </c>
      <c r="BF118" s="205">
        <f t="shared" si="50"/>
        <v>0</v>
      </c>
      <c r="BG118" s="205">
        <f t="shared" si="50"/>
        <v>0</v>
      </c>
      <c r="BH118" s="205">
        <f t="shared" si="49"/>
        <v>0</v>
      </c>
      <c r="BI118" s="205">
        <f t="shared" si="49"/>
        <v>0</v>
      </c>
      <c r="BJ118" s="205">
        <f t="shared" si="49"/>
        <v>0</v>
      </c>
      <c r="BK118" s="205">
        <f t="shared" si="40"/>
        <v>0</v>
      </c>
      <c r="BL118" s="205">
        <f t="shared" si="41"/>
        <v>0</v>
      </c>
      <c r="BM118" s="215">
        <f t="shared" si="42"/>
        <v>0</v>
      </c>
      <c r="BN118" s="215"/>
      <c r="BO118" s="412">
        <f t="shared" si="47"/>
        <v>0</v>
      </c>
      <c r="BP118" s="412">
        <f t="shared" si="47"/>
        <v>0</v>
      </c>
      <c r="BQ118" s="412">
        <f t="shared" si="47"/>
        <v>0</v>
      </c>
      <c r="BR118" s="412">
        <f t="shared" si="47"/>
        <v>0</v>
      </c>
      <c r="BS118" s="412">
        <f t="shared" si="47"/>
        <v>0</v>
      </c>
      <c r="BT118" s="412">
        <f t="shared" si="47"/>
        <v>0</v>
      </c>
      <c r="BU118" s="412">
        <f t="shared" si="48"/>
        <v>0</v>
      </c>
      <c r="BV118" s="412">
        <f t="shared" si="43"/>
        <v>0</v>
      </c>
      <c r="BW118" s="412">
        <f t="shared" si="28"/>
        <v>0</v>
      </c>
      <c r="BX118" s="412"/>
      <c r="BY118" s="412">
        <f t="shared" si="44"/>
        <v>0</v>
      </c>
      <c r="BZ118" s="412"/>
      <c r="CA118" s="412">
        <f>IFERROR(VLOOKUP(A118,'Actuals Summer'!A:S,19,FALSE),0)</f>
        <v>0</v>
      </c>
      <c r="CC118" s="412"/>
      <c r="CD118" s="412"/>
      <c r="CE118" s="412"/>
      <c r="CF118" s="412"/>
      <c r="CG118" s="412"/>
      <c r="CH118" s="412"/>
      <c r="CI118" s="412"/>
      <c r="CJ118" s="412"/>
      <c r="CK118" s="412"/>
      <c r="CL118" s="412"/>
      <c r="CM118" s="412"/>
      <c r="CN118" s="412"/>
      <c r="CO118" s="412"/>
      <c r="CQ118" s="363"/>
      <c r="CR118" s="363"/>
      <c r="CS118" s="363"/>
      <c r="CT118" s="363"/>
      <c r="CU118" s="363"/>
      <c r="CV118" s="363"/>
      <c r="CW118" s="363"/>
      <c r="CX118" s="363"/>
      <c r="CZ118" s="414"/>
      <c r="DA118" s="414"/>
      <c r="DB118" s="414"/>
      <c r="DC118" s="414"/>
      <c r="DD118" s="414"/>
      <c r="DE118" s="414"/>
      <c r="DF118" s="414"/>
      <c r="DG118" s="414"/>
      <c r="DI118" s="414">
        <f t="shared" si="45"/>
        <v>0</v>
      </c>
      <c r="DJ118" s="414"/>
      <c r="DK118" s="414"/>
      <c r="DL118" s="414"/>
      <c r="DM118" s="414"/>
      <c r="DN118" s="414"/>
      <c r="DO118" s="414"/>
      <c r="DP118" s="414"/>
      <c r="DQ118" s="414"/>
      <c r="DS118" s="414"/>
      <c r="DT118" s="414"/>
      <c r="DU118" s="414"/>
      <c r="DV118" s="414"/>
      <c r="DW118" s="414"/>
      <c r="DX118" s="414"/>
      <c r="DY118" s="414"/>
      <c r="DZ118" s="414"/>
      <c r="EB118" s="415">
        <f t="shared" si="29"/>
        <v>0</v>
      </c>
      <c r="EC118" s="415">
        <f t="shared" si="30"/>
        <v>0</v>
      </c>
      <c r="ED118" s="416">
        <f t="shared" si="46"/>
        <v>0</v>
      </c>
    </row>
    <row r="119" spans="1:134" hidden="1" x14ac:dyDescent="0.35">
      <c r="A119" s="17">
        <v>3381</v>
      </c>
      <c r="B119" s="4">
        <v>103466</v>
      </c>
      <c r="C119" s="4" t="s">
        <v>1002</v>
      </c>
      <c r="D119" s="4" t="s">
        <v>1003</v>
      </c>
      <c r="E119" s="15" t="s">
        <v>32</v>
      </c>
      <c r="F119" s="16" t="s">
        <v>27</v>
      </c>
      <c r="G119" s="215"/>
      <c r="H119" s="363">
        <v>0</v>
      </c>
      <c r="I119" s="410"/>
      <c r="J119" s="363">
        <v>0</v>
      </c>
      <c r="K119" s="363">
        <v>0</v>
      </c>
      <c r="L119" s="363">
        <v>0</v>
      </c>
      <c r="M119" s="363">
        <v>0</v>
      </c>
      <c r="N119" s="363">
        <v>0</v>
      </c>
      <c r="O119" s="363">
        <v>0</v>
      </c>
      <c r="P119" s="215">
        <f t="shared" si="31"/>
        <v>0</v>
      </c>
      <c r="Q119" s="363">
        <f t="shared" si="32"/>
        <v>0</v>
      </c>
      <c r="R119" s="410"/>
      <c r="S119" s="363">
        <v>0</v>
      </c>
      <c r="T119" s="363">
        <v>0</v>
      </c>
      <c r="U119" s="363">
        <v>0</v>
      </c>
      <c r="V119" s="363">
        <v>0</v>
      </c>
      <c r="W119" s="363">
        <v>0</v>
      </c>
      <c r="X119" s="363">
        <v>0</v>
      </c>
      <c r="Y119" s="363">
        <f t="shared" si="33"/>
        <v>0</v>
      </c>
      <c r="Z119" s="363">
        <f t="shared" si="34"/>
        <v>0</v>
      </c>
      <c r="AA119" s="410"/>
      <c r="AB119" s="411">
        <v>0</v>
      </c>
      <c r="AC119" s="411">
        <v>0</v>
      </c>
      <c r="AD119" s="411">
        <v>0</v>
      </c>
      <c r="AE119" s="411">
        <v>0</v>
      </c>
      <c r="AF119" s="411">
        <v>0</v>
      </c>
      <c r="AG119" s="411">
        <v>0</v>
      </c>
      <c r="AH119" s="363">
        <f t="shared" si="35"/>
        <v>0</v>
      </c>
      <c r="AI119" s="411">
        <f t="shared" si="36"/>
        <v>0</v>
      </c>
      <c r="AJ119" s="410"/>
      <c r="AK119" s="411">
        <v>0</v>
      </c>
      <c r="AL119" s="411">
        <v>0</v>
      </c>
      <c r="AM119" s="411">
        <v>0</v>
      </c>
      <c r="AN119" s="410"/>
      <c r="AO119" s="411">
        <f t="shared" si="37"/>
        <v>0</v>
      </c>
      <c r="AP119" s="411">
        <f t="shared" si="37"/>
        <v>0</v>
      </c>
      <c r="AQ119" s="411">
        <f t="shared" si="37"/>
        <v>0</v>
      </c>
      <c r="AR119" s="412"/>
      <c r="AS119" s="412">
        <v>0</v>
      </c>
      <c r="AT119" s="413">
        <f t="shared" si="38"/>
        <v>0</v>
      </c>
      <c r="AU119" s="412"/>
      <c r="AV119" s="412">
        <v>0</v>
      </c>
      <c r="AW119" s="412">
        <v>0</v>
      </c>
      <c r="AX119" s="412">
        <v>0</v>
      </c>
      <c r="AY119" s="412">
        <v>0</v>
      </c>
      <c r="AZ119" s="412">
        <v>0</v>
      </c>
      <c r="BA119" s="412">
        <v>0</v>
      </c>
      <c r="BB119" s="412">
        <v>0</v>
      </c>
      <c r="BC119" s="412">
        <f t="shared" si="39"/>
        <v>0</v>
      </c>
      <c r="BE119" s="205">
        <f t="shared" si="50"/>
        <v>0</v>
      </c>
      <c r="BF119" s="205">
        <f t="shared" si="50"/>
        <v>0</v>
      </c>
      <c r="BG119" s="205">
        <f t="shared" si="50"/>
        <v>0</v>
      </c>
      <c r="BH119" s="205">
        <f t="shared" si="49"/>
        <v>0</v>
      </c>
      <c r="BI119" s="205">
        <f t="shared" si="49"/>
        <v>0</v>
      </c>
      <c r="BJ119" s="205">
        <f t="shared" si="49"/>
        <v>0</v>
      </c>
      <c r="BK119" s="205">
        <f t="shared" si="40"/>
        <v>0</v>
      </c>
      <c r="BL119" s="205">
        <f t="shared" si="41"/>
        <v>0</v>
      </c>
      <c r="BM119" s="215">
        <f t="shared" si="42"/>
        <v>0</v>
      </c>
      <c r="BN119" s="215"/>
      <c r="BO119" s="412">
        <f t="shared" si="47"/>
        <v>0</v>
      </c>
      <c r="BP119" s="412">
        <f t="shared" si="47"/>
        <v>0</v>
      </c>
      <c r="BQ119" s="412">
        <f t="shared" si="47"/>
        <v>0</v>
      </c>
      <c r="BR119" s="412">
        <f t="shared" si="47"/>
        <v>0</v>
      </c>
      <c r="BS119" s="412">
        <f t="shared" si="47"/>
        <v>0</v>
      </c>
      <c r="BT119" s="412">
        <f t="shared" si="47"/>
        <v>0</v>
      </c>
      <c r="BU119" s="412">
        <f t="shared" si="48"/>
        <v>0</v>
      </c>
      <c r="BV119" s="412">
        <f t="shared" si="43"/>
        <v>0</v>
      </c>
      <c r="BW119" s="412">
        <f t="shared" si="28"/>
        <v>0</v>
      </c>
      <c r="BX119" s="412"/>
      <c r="BY119" s="412">
        <f t="shared" si="44"/>
        <v>0</v>
      </c>
      <c r="BZ119" s="412"/>
      <c r="CA119" s="412">
        <f>IFERROR(VLOOKUP(A119,'Actuals Summer'!A:S,19,FALSE),0)</f>
        <v>0</v>
      </c>
      <c r="CC119" s="412"/>
      <c r="CD119" s="412"/>
      <c r="CE119" s="412"/>
      <c r="CF119" s="412"/>
      <c r="CG119" s="412"/>
      <c r="CH119" s="412"/>
      <c r="CI119" s="412"/>
      <c r="CJ119" s="412"/>
      <c r="CK119" s="412"/>
      <c r="CL119" s="412"/>
      <c r="CM119" s="412"/>
      <c r="CN119" s="412"/>
      <c r="CO119" s="412"/>
      <c r="CQ119" s="363"/>
      <c r="CR119" s="363"/>
      <c r="CS119" s="363"/>
      <c r="CT119" s="363"/>
      <c r="CU119" s="363"/>
      <c r="CV119" s="363"/>
      <c r="CW119" s="363"/>
      <c r="CX119" s="363"/>
      <c r="CZ119" s="414"/>
      <c r="DA119" s="414"/>
      <c r="DB119" s="414"/>
      <c r="DC119" s="414"/>
      <c r="DD119" s="414"/>
      <c r="DE119" s="414"/>
      <c r="DF119" s="414"/>
      <c r="DG119" s="414"/>
      <c r="DI119" s="414">
        <f t="shared" si="45"/>
        <v>0</v>
      </c>
      <c r="DJ119" s="414"/>
      <c r="DK119" s="414"/>
      <c r="DL119" s="414"/>
      <c r="DM119" s="414"/>
      <c r="DN119" s="414"/>
      <c r="DO119" s="414"/>
      <c r="DP119" s="414"/>
      <c r="DQ119" s="414"/>
      <c r="DS119" s="414"/>
      <c r="DT119" s="414"/>
      <c r="DU119" s="414"/>
      <c r="DV119" s="414"/>
      <c r="DW119" s="414"/>
      <c r="DX119" s="414"/>
      <c r="DY119" s="414"/>
      <c r="DZ119" s="414"/>
      <c r="EB119" s="415">
        <f t="shared" si="29"/>
        <v>0</v>
      </c>
      <c r="EC119" s="415">
        <f t="shared" si="30"/>
        <v>0</v>
      </c>
      <c r="ED119" s="416">
        <f t="shared" si="46"/>
        <v>0</v>
      </c>
    </row>
    <row r="120" spans="1:134" hidden="1" x14ac:dyDescent="0.35">
      <c r="A120" s="17">
        <v>3335</v>
      </c>
      <c r="B120" s="4">
        <v>103434</v>
      </c>
      <c r="C120" s="4" t="s">
        <v>1004</v>
      </c>
      <c r="D120" s="4" t="s">
        <v>1005</v>
      </c>
      <c r="E120" s="15" t="s">
        <v>32</v>
      </c>
      <c r="F120" s="16" t="s">
        <v>27</v>
      </c>
      <c r="G120" s="215"/>
      <c r="H120" s="363">
        <v>0</v>
      </c>
      <c r="I120" s="410"/>
      <c r="J120" s="363">
        <v>0</v>
      </c>
      <c r="K120" s="363">
        <v>0</v>
      </c>
      <c r="L120" s="363">
        <v>0</v>
      </c>
      <c r="M120" s="363">
        <v>0</v>
      </c>
      <c r="N120" s="363">
        <v>0</v>
      </c>
      <c r="O120" s="363">
        <v>0</v>
      </c>
      <c r="P120" s="215">
        <f t="shared" si="31"/>
        <v>0</v>
      </c>
      <c r="Q120" s="363">
        <f t="shared" si="32"/>
        <v>0</v>
      </c>
      <c r="R120" s="410"/>
      <c r="S120" s="363">
        <v>0</v>
      </c>
      <c r="T120" s="363">
        <v>0</v>
      </c>
      <c r="U120" s="363">
        <v>0</v>
      </c>
      <c r="V120" s="363">
        <v>0</v>
      </c>
      <c r="W120" s="363">
        <v>0</v>
      </c>
      <c r="X120" s="363">
        <v>0</v>
      </c>
      <c r="Y120" s="363">
        <f t="shared" si="33"/>
        <v>0</v>
      </c>
      <c r="Z120" s="363">
        <f t="shared" si="34"/>
        <v>0</v>
      </c>
      <c r="AA120" s="410"/>
      <c r="AB120" s="411">
        <v>0</v>
      </c>
      <c r="AC120" s="411">
        <v>0</v>
      </c>
      <c r="AD120" s="411">
        <v>0</v>
      </c>
      <c r="AE120" s="411">
        <v>0</v>
      </c>
      <c r="AF120" s="411">
        <v>0</v>
      </c>
      <c r="AG120" s="411">
        <v>0</v>
      </c>
      <c r="AH120" s="363">
        <f t="shared" si="35"/>
        <v>0</v>
      </c>
      <c r="AI120" s="411">
        <f t="shared" si="36"/>
        <v>0</v>
      </c>
      <c r="AJ120" s="410"/>
      <c r="AK120" s="411">
        <v>0</v>
      </c>
      <c r="AL120" s="411">
        <v>0</v>
      </c>
      <c r="AM120" s="411">
        <v>0</v>
      </c>
      <c r="AN120" s="410"/>
      <c r="AO120" s="411">
        <f t="shared" si="37"/>
        <v>0</v>
      </c>
      <c r="AP120" s="411">
        <f t="shared" si="37"/>
        <v>0</v>
      </c>
      <c r="AQ120" s="411">
        <f t="shared" si="37"/>
        <v>0</v>
      </c>
      <c r="AR120" s="412"/>
      <c r="AS120" s="412">
        <v>0</v>
      </c>
      <c r="AT120" s="413">
        <f t="shared" si="38"/>
        <v>0</v>
      </c>
      <c r="AU120" s="412"/>
      <c r="AV120" s="412">
        <v>0</v>
      </c>
      <c r="AW120" s="412">
        <v>0</v>
      </c>
      <c r="AX120" s="412">
        <v>0</v>
      </c>
      <c r="AY120" s="412">
        <v>0</v>
      </c>
      <c r="AZ120" s="412">
        <v>0</v>
      </c>
      <c r="BA120" s="412">
        <v>0</v>
      </c>
      <c r="BB120" s="412">
        <v>0</v>
      </c>
      <c r="BC120" s="412">
        <f t="shared" si="39"/>
        <v>0</v>
      </c>
      <c r="BE120" s="205">
        <f t="shared" si="50"/>
        <v>0</v>
      </c>
      <c r="BF120" s="205">
        <f t="shared" si="50"/>
        <v>0</v>
      </c>
      <c r="BG120" s="205">
        <f t="shared" si="50"/>
        <v>0</v>
      </c>
      <c r="BH120" s="205">
        <f t="shared" si="49"/>
        <v>0</v>
      </c>
      <c r="BI120" s="205">
        <f t="shared" si="49"/>
        <v>0</v>
      </c>
      <c r="BJ120" s="205">
        <f t="shared" si="49"/>
        <v>0</v>
      </c>
      <c r="BK120" s="205">
        <f t="shared" si="40"/>
        <v>0</v>
      </c>
      <c r="BL120" s="205">
        <f t="shared" si="41"/>
        <v>0</v>
      </c>
      <c r="BM120" s="215">
        <f t="shared" si="42"/>
        <v>0</v>
      </c>
      <c r="BN120" s="215"/>
      <c r="BO120" s="412">
        <f t="shared" si="47"/>
        <v>0</v>
      </c>
      <c r="BP120" s="412">
        <f t="shared" si="47"/>
        <v>0</v>
      </c>
      <c r="BQ120" s="412">
        <f t="shared" si="47"/>
        <v>0</v>
      </c>
      <c r="BR120" s="412">
        <f t="shared" si="47"/>
        <v>0</v>
      </c>
      <c r="BS120" s="412">
        <f t="shared" si="47"/>
        <v>0</v>
      </c>
      <c r="BT120" s="412">
        <f t="shared" si="47"/>
        <v>0</v>
      </c>
      <c r="BU120" s="412">
        <f t="shared" si="48"/>
        <v>0</v>
      </c>
      <c r="BV120" s="412">
        <f t="shared" si="43"/>
        <v>0</v>
      </c>
      <c r="BW120" s="412">
        <f t="shared" si="28"/>
        <v>0</v>
      </c>
      <c r="BX120" s="412"/>
      <c r="BY120" s="412">
        <f t="shared" si="44"/>
        <v>0</v>
      </c>
      <c r="BZ120" s="412"/>
      <c r="CA120" s="412">
        <f>IFERROR(VLOOKUP(A120,'Actuals Summer'!A:S,19,FALSE),0)</f>
        <v>0</v>
      </c>
      <c r="CC120" s="412"/>
      <c r="CD120" s="412"/>
      <c r="CE120" s="412"/>
      <c r="CF120" s="412"/>
      <c r="CG120" s="412"/>
      <c r="CH120" s="412"/>
      <c r="CI120" s="412"/>
      <c r="CJ120" s="412"/>
      <c r="CK120" s="412"/>
      <c r="CL120" s="412"/>
      <c r="CM120" s="412"/>
      <c r="CN120" s="412"/>
      <c r="CO120" s="412"/>
      <c r="CQ120" s="363"/>
      <c r="CR120" s="363"/>
      <c r="CS120" s="363"/>
      <c r="CT120" s="363"/>
      <c r="CU120" s="363"/>
      <c r="CV120" s="363"/>
      <c r="CW120" s="363"/>
      <c r="CX120" s="363"/>
      <c r="CZ120" s="414"/>
      <c r="DA120" s="414"/>
      <c r="DB120" s="414"/>
      <c r="DC120" s="414"/>
      <c r="DD120" s="414"/>
      <c r="DE120" s="414"/>
      <c r="DF120" s="414"/>
      <c r="DG120" s="414"/>
      <c r="DI120" s="414">
        <f t="shared" si="45"/>
        <v>0</v>
      </c>
      <c r="DJ120" s="414"/>
      <c r="DK120" s="414"/>
      <c r="DL120" s="414"/>
      <c r="DM120" s="414"/>
      <c r="DN120" s="414"/>
      <c r="DO120" s="414"/>
      <c r="DP120" s="414"/>
      <c r="DQ120" s="414"/>
      <c r="DS120" s="414"/>
      <c r="DT120" s="414"/>
      <c r="DU120" s="414"/>
      <c r="DV120" s="414"/>
      <c r="DW120" s="414"/>
      <c r="DX120" s="414"/>
      <c r="DY120" s="414"/>
      <c r="DZ120" s="414"/>
      <c r="EB120" s="415">
        <f t="shared" si="29"/>
        <v>0</v>
      </c>
      <c r="EC120" s="415">
        <f t="shared" si="30"/>
        <v>0</v>
      </c>
      <c r="ED120" s="416">
        <f t="shared" si="46"/>
        <v>0</v>
      </c>
    </row>
    <row r="121" spans="1:134" hidden="1" x14ac:dyDescent="0.35">
      <c r="A121" s="17">
        <v>2183</v>
      </c>
      <c r="B121" s="4">
        <v>103261</v>
      </c>
      <c r="C121" s="4" t="s">
        <v>1006</v>
      </c>
      <c r="D121" s="4" t="s">
        <v>1007</v>
      </c>
      <c r="E121" s="15" t="s">
        <v>32</v>
      </c>
      <c r="F121" s="16" t="s">
        <v>27</v>
      </c>
      <c r="G121" s="215"/>
      <c r="H121" s="363">
        <v>0</v>
      </c>
      <c r="I121" s="410"/>
      <c r="J121" s="363">
        <v>0</v>
      </c>
      <c r="K121" s="363">
        <v>0</v>
      </c>
      <c r="L121" s="363">
        <v>0</v>
      </c>
      <c r="M121" s="363">
        <v>0</v>
      </c>
      <c r="N121" s="363">
        <v>0</v>
      </c>
      <c r="O121" s="363">
        <v>0</v>
      </c>
      <c r="P121" s="215">
        <f t="shared" si="31"/>
        <v>0</v>
      </c>
      <c r="Q121" s="363">
        <f t="shared" si="32"/>
        <v>0</v>
      </c>
      <c r="R121" s="410"/>
      <c r="S121" s="363">
        <v>0</v>
      </c>
      <c r="T121" s="363">
        <v>0</v>
      </c>
      <c r="U121" s="363">
        <v>0</v>
      </c>
      <c r="V121" s="363">
        <v>0</v>
      </c>
      <c r="W121" s="363">
        <v>0</v>
      </c>
      <c r="X121" s="363">
        <v>0</v>
      </c>
      <c r="Y121" s="363">
        <f t="shared" si="33"/>
        <v>0</v>
      </c>
      <c r="Z121" s="363">
        <f t="shared" si="34"/>
        <v>0</v>
      </c>
      <c r="AA121" s="410"/>
      <c r="AB121" s="411">
        <v>0</v>
      </c>
      <c r="AC121" s="411">
        <v>0</v>
      </c>
      <c r="AD121" s="411">
        <v>0</v>
      </c>
      <c r="AE121" s="411">
        <v>0</v>
      </c>
      <c r="AF121" s="411">
        <v>0</v>
      </c>
      <c r="AG121" s="411">
        <v>0</v>
      </c>
      <c r="AH121" s="363">
        <f t="shared" si="35"/>
        <v>0</v>
      </c>
      <c r="AI121" s="411">
        <f t="shared" si="36"/>
        <v>0</v>
      </c>
      <c r="AJ121" s="410"/>
      <c r="AK121" s="411">
        <v>0</v>
      </c>
      <c r="AL121" s="411">
        <v>0</v>
      </c>
      <c r="AM121" s="411">
        <v>0</v>
      </c>
      <c r="AN121" s="410"/>
      <c r="AO121" s="411">
        <f t="shared" si="37"/>
        <v>0</v>
      </c>
      <c r="AP121" s="411">
        <f t="shared" si="37"/>
        <v>0</v>
      </c>
      <c r="AQ121" s="411">
        <f t="shared" si="37"/>
        <v>0</v>
      </c>
      <c r="AR121" s="412"/>
      <c r="AS121" s="412">
        <v>0</v>
      </c>
      <c r="AT121" s="413">
        <f t="shared" si="38"/>
        <v>0</v>
      </c>
      <c r="AU121" s="412"/>
      <c r="AV121" s="412">
        <v>0</v>
      </c>
      <c r="AW121" s="412">
        <v>0</v>
      </c>
      <c r="AX121" s="412">
        <v>0</v>
      </c>
      <c r="AY121" s="412">
        <v>0</v>
      </c>
      <c r="AZ121" s="412">
        <v>0</v>
      </c>
      <c r="BA121" s="412">
        <v>0</v>
      </c>
      <c r="BB121" s="412">
        <v>0</v>
      </c>
      <c r="BC121" s="412">
        <f t="shared" si="39"/>
        <v>0</v>
      </c>
      <c r="BE121" s="205">
        <f t="shared" si="50"/>
        <v>0</v>
      </c>
      <c r="BF121" s="205">
        <f t="shared" si="50"/>
        <v>0</v>
      </c>
      <c r="BG121" s="205">
        <f t="shared" si="50"/>
        <v>0</v>
      </c>
      <c r="BH121" s="205">
        <f t="shared" si="49"/>
        <v>0</v>
      </c>
      <c r="BI121" s="205">
        <f t="shared" si="49"/>
        <v>0</v>
      </c>
      <c r="BJ121" s="205">
        <f t="shared" si="49"/>
        <v>0</v>
      </c>
      <c r="BK121" s="205">
        <f t="shared" si="40"/>
        <v>0</v>
      </c>
      <c r="BL121" s="205">
        <f t="shared" si="41"/>
        <v>0</v>
      </c>
      <c r="BM121" s="215">
        <f t="shared" si="42"/>
        <v>0</v>
      </c>
      <c r="BN121" s="215"/>
      <c r="BO121" s="412">
        <f t="shared" si="47"/>
        <v>0</v>
      </c>
      <c r="BP121" s="412">
        <f t="shared" si="47"/>
        <v>0</v>
      </c>
      <c r="BQ121" s="412">
        <f t="shared" si="47"/>
        <v>0</v>
      </c>
      <c r="BR121" s="412">
        <f t="shared" si="47"/>
        <v>0</v>
      </c>
      <c r="BS121" s="412">
        <f t="shared" si="47"/>
        <v>0</v>
      </c>
      <c r="BT121" s="412">
        <f t="shared" si="47"/>
        <v>0</v>
      </c>
      <c r="BU121" s="412">
        <f t="shared" si="48"/>
        <v>0</v>
      </c>
      <c r="BV121" s="412">
        <f t="shared" si="43"/>
        <v>0</v>
      </c>
      <c r="BW121" s="412">
        <f t="shared" si="28"/>
        <v>0</v>
      </c>
      <c r="BX121" s="412"/>
      <c r="BY121" s="412">
        <f t="shared" si="44"/>
        <v>0</v>
      </c>
      <c r="BZ121" s="412"/>
      <c r="CA121" s="412">
        <f>IFERROR(VLOOKUP(A121,'Actuals Summer'!A:S,19,FALSE),0)</f>
        <v>0</v>
      </c>
      <c r="CC121" s="412"/>
      <c r="CD121" s="412"/>
      <c r="CE121" s="412"/>
      <c r="CF121" s="412"/>
      <c r="CG121" s="412"/>
      <c r="CH121" s="412"/>
      <c r="CI121" s="412"/>
      <c r="CJ121" s="412"/>
      <c r="CK121" s="412"/>
      <c r="CL121" s="412"/>
      <c r="CM121" s="412"/>
      <c r="CN121" s="412"/>
      <c r="CO121" s="412"/>
      <c r="CQ121" s="363"/>
      <c r="CR121" s="363"/>
      <c r="CS121" s="363"/>
      <c r="CT121" s="363"/>
      <c r="CU121" s="363"/>
      <c r="CV121" s="363"/>
      <c r="CW121" s="363"/>
      <c r="CX121" s="363"/>
      <c r="CZ121" s="414"/>
      <c r="DA121" s="414"/>
      <c r="DB121" s="414"/>
      <c r="DC121" s="414"/>
      <c r="DD121" s="414"/>
      <c r="DE121" s="414"/>
      <c r="DF121" s="414"/>
      <c r="DG121" s="414"/>
      <c r="DI121" s="414">
        <f t="shared" si="45"/>
        <v>0</v>
      </c>
      <c r="DJ121" s="414"/>
      <c r="DK121" s="414"/>
      <c r="DL121" s="414"/>
      <c r="DM121" s="414"/>
      <c r="DN121" s="414"/>
      <c r="DO121" s="414"/>
      <c r="DP121" s="414"/>
      <c r="DQ121" s="414"/>
      <c r="DS121" s="414"/>
      <c r="DT121" s="414"/>
      <c r="DU121" s="414"/>
      <c r="DV121" s="414"/>
      <c r="DW121" s="414"/>
      <c r="DX121" s="414"/>
      <c r="DY121" s="414"/>
      <c r="DZ121" s="414"/>
      <c r="EB121" s="415">
        <f t="shared" si="29"/>
        <v>0</v>
      </c>
      <c r="EC121" s="415">
        <f t="shared" si="30"/>
        <v>0</v>
      </c>
      <c r="ED121" s="416">
        <f t="shared" si="46"/>
        <v>0</v>
      </c>
    </row>
    <row r="122" spans="1:134" hidden="1" x14ac:dyDescent="0.35">
      <c r="A122" s="17">
        <v>3372</v>
      </c>
      <c r="B122" s="4">
        <v>103460</v>
      </c>
      <c r="C122" s="4" t="s">
        <v>138</v>
      </c>
      <c r="D122" s="4" t="s">
        <v>139</v>
      </c>
      <c r="E122" s="15" t="s">
        <v>32</v>
      </c>
      <c r="F122" s="16" t="s">
        <v>27</v>
      </c>
      <c r="G122" s="215"/>
      <c r="H122" s="363">
        <v>0</v>
      </c>
      <c r="I122" s="410"/>
      <c r="J122" s="363">
        <v>0</v>
      </c>
      <c r="K122" s="363">
        <v>0</v>
      </c>
      <c r="L122" s="363">
        <v>64014.6</v>
      </c>
      <c r="M122" s="363">
        <v>5850</v>
      </c>
      <c r="N122" s="363">
        <v>1789.8947368421054</v>
      </c>
      <c r="O122" s="363">
        <v>0</v>
      </c>
      <c r="P122" s="215">
        <f t="shared" si="31"/>
        <v>71654.494736842113</v>
      </c>
      <c r="Q122" s="363">
        <f t="shared" si="32"/>
        <v>57323.595789473693</v>
      </c>
      <c r="R122" s="410"/>
      <c r="S122" s="363">
        <v>0</v>
      </c>
      <c r="T122" s="363">
        <v>0</v>
      </c>
      <c r="U122" s="363">
        <v>61807.200000000004</v>
      </c>
      <c r="V122" s="363">
        <v>2730</v>
      </c>
      <c r="W122" s="363">
        <v>1044.1052631578948</v>
      </c>
      <c r="X122" s="363">
        <v>0</v>
      </c>
      <c r="Y122" s="363">
        <f t="shared" si="33"/>
        <v>65581.305263157905</v>
      </c>
      <c r="Z122" s="363">
        <f t="shared" si="34"/>
        <v>52465.044210526328</v>
      </c>
      <c r="AA122" s="410"/>
      <c r="AB122" s="411">
        <v>0</v>
      </c>
      <c r="AC122" s="411">
        <v>0</v>
      </c>
      <c r="AD122" s="411">
        <v>54693.473684210527</v>
      </c>
      <c r="AE122" s="411">
        <v>3978.9473684210525</v>
      </c>
      <c r="AF122" s="411">
        <v>1347.8559556786702</v>
      </c>
      <c r="AG122" s="411">
        <v>0</v>
      </c>
      <c r="AH122" s="363">
        <f t="shared" si="35"/>
        <v>60020.277008310251</v>
      </c>
      <c r="AI122" s="411">
        <f t="shared" si="36"/>
        <v>48016.221606648207</v>
      </c>
      <c r="AJ122" s="410"/>
      <c r="AK122" s="411">
        <v>1624.35</v>
      </c>
      <c r="AL122" s="411">
        <v>1684.8</v>
      </c>
      <c r="AM122" s="411">
        <v>1463.6842105263158</v>
      </c>
      <c r="AN122" s="410"/>
      <c r="AO122" s="411">
        <f t="shared" si="37"/>
        <v>1299.48</v>
      </c>
      <c r="AP122" s="411">
        <f t="shared" si="37"/>
        <v>1347.8400000000001</v>
      </c>
      <c r="AQ122" s="411">
        <f t="shared" si="37"/>
        <v>1170.9473684210527</v>
      </c>
      <c r="AR122" s="412"/>
      <c r="AS122" s="412">
        <v>0</v>
      </c>
      <c r="AT122" s="413">
        <f t="shared" si="38"/>
        <v>0</v>
      </c>
      <c r="AU122" s="412"/>
      <c r="AV122" s="412">
        <v>0</v>
      </c>
      <c r="AW122" s="412">
        <v>0</v>
      </c>
      <c r="AX122" s="412">
        <v>62910.9</v>
      </c>
      <c r="AY122" s="412">
        <v>3705</v>
      </c>
      <c r="AZ122" s="412">
        <v>1417</v>
      </c>
      <c r="BA122" s="412">
        <v>0</v>
      </c>
      <c r="BB122" s="412">
        <v>1643.8500000000001</v>
      </c>
      <c r="BC122" s="412">
        <f t="shared" si="39"/>
        <v>69676.75</v>
      </c>
      <c r="BE122" s="205">
        <f t="shared" si="50"/>
        <v>0</v>
      </c>
      <c r="BF122" s="205">
        <f t="shared" si="50"/>
        <v>0</v>
      </c>
      <c r="BG122" s="205">
        <f t="shared" si="50"/>
        <v>-1103.6999999999971</v>
      </c>
      <c r="BH122" s="205">
        <f t="shared" si="49"/>
        <v>-2145</v>
      </c>
      <c r="BI122" s="205">
        <f t="shared" si="49"/>
        <v>-372.89473684210543</v>
      </c>
      <c r="BJ122" s="205">
        <f t="shared" si="49"/>
        <v>0</v>
      </c>
      <c r="BK122" s="205">
        <f t="shared" si="40"/>
        <v>19.500000000000227</v>
      </c>
      <c r="BL122" s="205">
        <f t="shared" si="41"/>
        <v>-3602.0947368421021</v>
      </c>
      <c r="BM122" s="215">
        <f t="shared" si="42"/>
        <v>0</v>
      </c>
      <c r="BN122" s="215"/>
      <c r="BO122" s="412">
        <f t="shared" si="47"/>
        <v>0</v>
      </c>
      <c r="BP122" s="412">
        <f t="shared" si="47"/>
        <v>0</v>
      </c>
      <c r="BQ122" s="412">
        <f t="shared" si="47"/>
        <v>11699.220000000001</v>
      </c>
      <c r="BR122" s="412">
        <f t="shared" si="47"/>
        <v>-975</v>
      </c>
      <c r="BS122" s="412">
        <f t="shared" si="47"/>
        <v>-14.915789473684526</v>
      </c>
      <c r="BT122" s="412">
        <f t="shared" si="47"/>
        <v>0</v>
      </c>
      <c r="BU122" s="412">
        <f t="shared" si="48"/>
        <v>344.37000000000012</v>
      </c>
      <c r="BV122" s="412">
        <f t="shared" si="43"/>
        <v>11053.674210526317</v>
      </c>
      <c r="BW122" s="412">
        <f t="shared" si="28"/>
        <v>1.4551915228366852E-11</v>
      </c>
      <c r="BX122" s="412"/>
      <c r="BY122" s="412">
        <f t="shared" si="44"/>
        <v>69676.75</v>
      </c>
      <c r="BZ122" s="412"/>
      <c r="CA122" s="412">
        <f>IFERROR(VLOOKUP(A122,'Actuals Summer'!A:S,19,FALSE),0)</f>
        <v>69676.75</v>
      </c>
      <c r="CC122" s="412"/>
      <c r="CD122" s="412"/>
      <c r="CE122" s="412"/>
      <c r="CF122" s="412"/>
      <c r="CG122" s="412"/>
      <c r="CH122" s="412"/>
      <c r="CI122" s="412"/>
      <c r="CJ122" s="412"/>
      <c r="CK122" s="412"/>
      <c r="CL122" s="412"/>
      <c r="CM122" s="412"/>
      <c r="CN122" s="412"/>
      <c r="CO122" s="412"/>
      <c r="CQ122" s="363"/>
      <c r="CR122" s="363"/>
      <c r="CS122" s="363"/>
      <c r="CT122" s="363"/>
      <c r="CU122" s="363"/>
      <c r="CV122" s="363"/>
      <c r="CW122" s="363"/>
      <c r="CX122" s="363"/>
      <c r="CZ122" s="414"/>
      <c r="DA122" s="414"/>
      <c r="DB122" s="414"/>
      <c r="DC122" s="414"/>
      <c r="DD122" s="414"/>
      <c r="DE122" s="414"/>
      <c r="DF122" s="414"/>
      <c r="DG122" s="414"/>
      <c r="DI122" s="414">
        <f t="shared" si="45"/>
        <v>0</v>
      </c>
      <c r="DJ122" s="414"/>
      <c r="DK122" s="414"/>
      <c r="DL122" s="414"/>
      <c r="DM122" s="414"/>
      <c r="DN122" s="414"/>
      <c r="DO122" s="414"/>
      <c r="DP122" s="414"/>
      <c r="DQ122" s="414"/>
      <c r="DS122" s="414"/>
      <c r="DT122" s="414"/>
      <c r="DU122" s="414"/>
      <c r="DV122" s="414"/>
      <c r="DW122" s="414"/>
      <c r="DX122" s="414"/>
      <c r="DY122" s="414"/>
      <c r="DZ122" s="414"/>
      <c r="EB122" s="415">
        <f t="shared" si="29"/>
        <v>172676.80318559561</v>
      </c>
      <c r="EC122" s="415">
        <f t="shared" si="30"/>
        <v>0</v>
      </c>
      <c r="ED122" s="416">
        <f t="shared" si="46"/>
        <v>172676.80318559561</v>
      </c>
    </row>
    <row r="123" spans="1:134" hidden="1" x14ac:dyDescent="0.35">
      <c r="A123" s="17">
        <v>3375</v>
      </c>
      <c r="B123" s="4">
        <v>103462</v>
      </c>
      <c r="C123" s="4" t="s">
        <v>1008</v>
      </c>
      <c r="D123" s="4" t="s">
        <v>1009</v>
      </c>
      <c r="E123" s="15" t="s">
        <v>32</v>
      </c>
      <c r="F123" s="16" t="s">
        <v>27</v>
      </c>
      <c r="G123" s="215"/>
      <c r="H123" s="363">
        <v>0</v>
      </c>
      <c r="I123" s="410"/>
      <c r="J123" s="363">
        <v>0</v>
      </c>
      <c r="K123" s="363">
        <v>0</v>
      </c>
      <c r="L123" s="363">
        <v>0</v>
      </c>
      <c r="M123" s="363">
        <v>0</v>
      </c>
      <c r="N123" s="363">
        <v>0</v>
      </c>
      <c r="O123" s="363">
        <v>0</v>
      </c>
      <c r="P123" s="215">
        <f t="shared" si="31"/>
        <v>0</v>
      </c>
      <c r="Q123" s="363">
        <f t="shared" si="32"/>
        <v>0</v>
      </c>
      <c r="R123" s="410"/>
      <c r="S123" s="363">
        <v>0</v>
      </c>
      <c r="T123" s="363">
        <v>0</v>
      </c>
      <c r="U123" s="363">
        <v>0</v>
      </c>
      <c r="V123" s="363">
        <v>0</v>
      </c>
      <c r="W123" s="363">
        <v>0</v>
      </c>
      <c r="X123" s="363">
        <v>0</v>
      </c>
      <c r="Y123" s="363">
        <f t="shared" si="33"/>
        <v>0</v>
      </c>
      <c r="Z123" s="363">
        <f t="shared" si="34"/>
        <v>0</v>
      </c>
      <c r="AA123" s="410"/>
      <c r="AB123" s="411">
        <v>0</v>
      </c>
      <c r="AC123" s="411">
        <v>0</v>
      </c>
      <c r="AD123" s="411">
        <v>0</v>
      </c>
      <c r="AE123" s="411">
        <v>0</v>
      </c>
      <c r="AF123" s="411">
        <v>0</v>
      </c>
      <c r="AG123" s="411">
        <v>0</v>
      </c>
      <c r="AH123" s="363">
        <f t="shared" si="35"/>
        <v>0</v>
      </c>
      <c r="AI123" s="411">
        <f t="shared" si="36"/>
        <v>0</v>
      </c>
      <c r="AJ123" s="410"/>
      <c r="AK123" s="411">
        <v>0</v>
      </c>
      <c r="AL123" s="411">
        <v>0</v>
      </c>
      <c r="AM123" s="411">
        <v>0</v>
      </c>
      <c r="AN123" s="410"/>
      <c r="AO123" s="411">
        <f t="shared" si="37"/>
        <v>0</v>
      </c>
      <c r="AP123" s="411">
        <f t="shared" si="37"/>
        <v>0</v>
      </c>
      <c r="AQ123" s="411">
        <f t="shared" si="37"/>
        <v>0</v>
      </c>
      <c r="AR123" s="412"/>
      <c r="AS123" s="412">
        <v>0</v>
      </c>
      <c r="AT123" s="413">
        <f t="shared" si="38"/>
        <v>0</v>
      </c>
      <c r="AU123" s="412"/>
      <c r="AV123" s="412">
        <v>0</v>
      </c>
      <c r="AW123" s="412">
        <v>0</v>
      </c>
      <c r="AX123" s="412">
        <v>0</v>
      </c>
      <c r="AY123" s="412">
        <v>0</v>
      </c>
      <c r="AZ123" s="412">
        <v>0</v>
      </c>
      <c r="BA123" s="412">
        <v>0</v>
      </c>
      <c r="BB123" s="412">
        <v>0</v>
      </c>
      <c r="BC123" s="412">
        <f t="shared" si="39"/>
        <v>0</v>
      </c>
      <c r="BE123" s="205">
        <f t="shared" si="50"/>
        <v>0</v>
      </c>
      <c r="BF123" s="205">
        <f t="shared" si="50"/>
        <v>0</v>
      </c>
      <c r="BG123" s="205">
        <f t="shared" si="50"/>
        <v>0</v>
      </c>
      <c r="BH123" s="205">
        <f t="shared" si="49"/>
        <v>0</v>
      </c>
      <c r="BI123" s="205">
        <f t="shared" si="49"/>
        <v>0</v>
      </c>
      <c r="BJ123" s="205">
        <f t="shared" si="49"/>
        <v>0</v>
      </c>
      <c r="BK123" s="205">
        <f t="shared" si="40"/>
        <v>0</v>
      </c>
      <c r="BL123" s="205">
        <f t="shared" si="41"/>
        <v>0</v>
      </c>
      <c r="BM123" s="215">
        <f t="shared" si="42"/>
        <v>0</v>
      </c>
      <c r="BN123" s="215"/>
      <c r="BO123" s="412">
        <f t="shared" ref="BO123:BT154" si="51">AV123-(J123*80%)</f>
        <v>0</v>
      </c>
      <c r="BP123" s="412">
        <f t="shared" si="51"/>
        <v>0</v>
      </c>
      <c r="BQ123" s="412">
        <f t="shared" si="51"/>
        <v>0</v>
      </c>
      <c r="BR123" s="412">
        <f t="shared" si="51"/>
        <v>0</v>
      </c>
      <c r="BS123" s="412">
        <f t="shared" si="51"/>
        <v>0</v>
      </c>
      <c r="BT123" s="412">
        <f t="shared" si="51"/>
        <v>0</v>
      </c>
      <c r="BU123" s="412">
        <f t="shared" si="48"/>
        <v>0</v>
      </c>
      <c r="BV123" s="412">
        <f t="shared" si="43"/>
        <v>0</v>
      </c>
      <c r="BW123" s="412">
        <f t="shared" si="28"/>
        <v>0</v>
      </c>
      <c r="BX123" s="412"/>
      <c r="BY123" s="412">
        <f t="shared" si="44"/>
        <v>0</v>
      </c>
      <c r="BZ123" s="412"/>
      <c r="CA123" s="412">
        <f>IFERROR(VLOOKUP(A123,'Actuals Summer'!A:S,19,FALSE),0)</f>
        <v>0</v>
      </c>
      <c r="CC123" s="412"/>
      <c r="CD123" s="412"/>
      <c r="CE123" s="412"/>
      <c r="CF123" s="412"/>
      <c r="CG123" s="412"/>
      <c r="CH123" s="412"/>
      <c r="CI123" s="412"/>
      <c r="CJ123" s="412"/>
      <c r="CK123" s="412"/>
      <c r="CL123" s="412"/>
      <c r="CM123" s="412"/>
      <c r="CN123" s="412"/>
      <c r="CO123" s="412"/>
      <c r="CQ123" s="363"/>
      <c r="CR123" s="363"/>
      <c r="CS123" s="363"/>
      <c r="CT123" s="363"/>
      <c r="CU123" s="363"/>
      <c r="CV123" s="363"/>
      <c r="CW123" s="363"/>
      <c r="CX123" s="363"/>
      <c r="CZ123" s="414"/>
      <c r="DA123" s="414"/>
      <c r="DB123" s="414"/>
      <c r="DC123" s="414"/>
      <c r="DD123" s="414"/>
      <c r="DE123" s="414"/>
      <c r="DF123" s="414"/>
      <c r="DG123" s="414"/>
      <c r="DI123" s="414">
        <f t="shared" si="45"/>
        <v>0</v>
      </c>
      <c r="DJ123" s="414"/>
      <c r="DK123" s="414"/>
      <c r="DL123" s="414"/>
      <c r="DM123" s="414"/>
      <c r="DN123" s="414"/>
      <c r="DO123" s="414"/>
      <c r="DP123" s="414"/>
      <c r="DQ123" s="414"/>
      <c r="DS123" s="414"/>
      <c r="DT123" s="414"/>
      <c r="DU123" s="414"/>
      <c r="DV123" s="414"/>
      <c r="DW123" s="414"/>
      <c r="DX123" s="414"/>
      <c r="DY123" s="414"/>
      <c r="DZ123" s="414"/>
      <c r="EB123" s="415">
        <f t="shared" si="29"/>
        <v>0</v>
      </c>
      <c r="EC123" s="415">
        <f t="shared" si="30"/>
        <v>0</v>
      </c>
      <c r="ED123" s="416">
        <f t="shared" si="46"/>
        <v>0</v>
      </c>
    </row>
    <row r="124" spans="1:134" hidden="1" x14ac:dyDescent="0.35">
      <c r="A124" s="17">
        <v>3331</v>
      </c>
      <c r="B124" s="4">
        <v>103433</v>
      </c>
      <c r="C124" s="4" t="s">
        <v>140</v>
      </c>
      <c r="D124" s="4" t="s">
        <v>141</v>
      </c>
      <c r="E124" s="15" t="s">
        <v>32</v>
      </c>
      <c r="F124" s="16" t="s">
        <v>27</v>
      </c>
      <c r="G124" s="215"/>
      <c r="H124" s="363">
        <v>0</v>
      </c>
      <c r="I124" s="410"/>
      <c r="J124" s="363">
        <v>0</v>
      </c>
      <c r="K124" s="363">
        <v>0</v>
      </c>
      <c r="L124" s="363">
        <v>46355.4</v>
      </c>
      <c r="M124" s="363">
        <v>1365</v>
      </c>
      <c r="N124" s="363">
        <v>522.0526315789474</v>
      </c>
      <c r="O124" s="363">
        <v>0</v>
      </c>
      <c r="P124" s="215">
        <f t="shared" si="31"/>
        <v>48242.452631578948</v>
      </c>
      <c r="Q124" s="363">
        <f t="shared" si="32"/>
        <v>38593.962105263163</v>
      </c>
      <c r="R124" s="410"/>
      <c r="S124" s="363">
        <v>0</v>
      </c>
      <c r="T124" s="363">
        <v>0</v>
      </c>
      <c r="U124" s="363">
        <v>28696.2</v>
      </c>
      <c r="V124" s="363">
        <v>975</v>
      </c>
      <c r="W124" s="363">
        <v>372.89473684210526</v>
      </c>
      <c r="X124" s="363">
        <v>0</v>
      </c>
      <c r="Y124" s="363">
        <f t="shared" si="33"/>
        <v>30044.094736842108</v>
      </c>
      <c r="Z124" s="363">
        <f t="shared" si="34"/>
        <v>24035.275789473686</v>
      </c>
      <c r="AA124" s="410"/>
      <c r="AB124" s="411">
        <v>0</v>
      </c>
      <c r="AC124" s="411">
        <v>0</v>
      </c>
      <c r="AD124" s="411">
        <v>36033.347368421055</v>
      </c>
      <c r="AE124" s="411">
        <v>1023.1578947368421</v>
      </c>
      <c r="AF124" s="411">
        <v>391.3130193905817</v>
      </c>
      <c r="AG124" s="411">
        <v>0</v>
      </c>
      <c r="AH124" s="363">
        <f t="shared" si="35"/>
        <v>37447.818282548476</v>
      </c>
      <c r="AI124" s="411">
        <f t="shared" si="36"/>
        <v>29958.254626038783</v>
      </c>
      <c r="AJ124" s="410"/>
      <c r="AK124" s="411">
        <v>1753.05</v>
      </c>
      <c r="AL124" s="411">
        <v>982.80000000000007</v>
      </c>
      <c r="AM124" s="411">
        <v>1447.1999999999998</v>
      </c>
      <c r="AN124" s="410"/>
      <c r="AO124" s="411">
        <f t="shared" si="37"/>
        <v>1402.44</v>
      </c>
      <c r="AP124" s="411">
        <f t="shared" si="37"/>
        <v>786.24000000000012</v>
      </c>
      <c r="AQ124" s="411">
        <f t="shared" si="37"/>
        <v>1157.76</v>
      </c>
      <c r="AR124" s="412"/>
      <c r="AS124" s="412">
        <v>0</v>
      </c>
      <c r="AT124" s="413">
        <f t="shared" si="38"/>
        <v>0</v>
      </c>
      <c r="AU124" s="412"/>
      <c r="AV124" s="412">
        <v>0</v>
      </c>
      <c r="AW124" s="412">
        <v>0</v>
      </c>
      <c r="AX124" s="412">
        <v>54081.3</v>
      </c>
      <c r="AY124" s="412">
        <v>2340</v>
      </c>
      <c r="AZ124" s="412">
        <v>894.94736842105272</v>
      </c>
      <c r="BA124" s="412">
        <v>0</v>
      </c>
      <c r="BB124" s="412">
        <v>1856.3999999999999</v>
      </c>
      <c r="BC124" s="412">
        <f t="shared" si="39"/>
        <v>59172.647368421058</v>
      </c>
      <c r="BE124" s="205">
        <f t="shared" si="50"/>
        <v>0</v>
      </c>
      <c r="BF124" s="205">
        <f t="shared" si="50"/>
        <v>0</v>
      </c>
      <c r="BG124" s="205">
        <f t="shared" si="50"/>
        <v>7725.9000000000015</v>
      </c>
      <c r="BH124" s="205">
        <f t="shared" si="49"/>
        <v>975</v>
      </c>
      <c r="BI124" s="205">
        <f t="shared" si="49"/>
        <v>372.89473684210532</v>
      </c>
      <c r="BJ124" s="205">
        <f t="shared" si="49"/>
        <v>0</v>
      </c>
      <c r="BK124" s="205">
        <f t="shared" si="40"/>
        <v>103.34999999999991</v>
      </c>
      <c r="BL124" s="205">
        <f t="shared" si="41"/>
        <v>9177.1447368421068</v>
      </c>
      <c r="BM124" s="215">
        <f t="shared" si="42"/>
        <v>0</v>
      </c>
      <c r="BN124" s="215"/>
      <c r="BO124" s="412">
        <f t="shared" si="51"/>
        <v>0</v>
      </c>
      <c r="BP124" s="412">
        <f t="shared" si="51"/>
        <v>0</v>
      </c>
      <c r="BQ124" s="412">
        <f t="shared" si="51"/>
        <v>16996.980000000003</v>
      </c>
      <c r="BR124" s="412">
        <f t="shared" si="51"/>
        <v>1248</v>
      </c>
      <c r="BS124" s="412">
        <f t="shared" si="51"/>
        <v>477.30526315789479</v>
      </c>
      <c r="BT124" s="412">
        <f t="shared" si="51"/>
        <v>0</v>
      </c>
      <c r="BU124" s="412">
        <f t="shared" si="48"/>
        <v>453.95999999999981</v>
      </c>
      <c r="BV124" s="412">
        <f t="shared" si="43"/>
        <v>19176.245263157896</v>
      </c>
      <c r="BW124" s="412">
        <f t="shared" si="28"/>
        <v>7.2759576141834259E-12</v>
      </c>
      <c r="BX124" s="412"/>
      <c r="BY124" s="412">
        <f t="shared" si="44"/>
        <v>59172.647368421065</v>
      </c>
      <c r="BZ124" s="412"/>
      <c r="CA124" s="412">
        <f>IFERROR(VLOOKUP(A124,'Actuals Summer'!A:S,19,FALSE),0)</f>
        <v>59172.647368421058</v>
      </c>
      <c r="CC124" s="412"/>
      <c r="CD124" s="412"/>
      <c r="CE124" s="412"/>
      <c r="CF124" s="412"/>
      <c r="CG124" s="412"/>
      <c r="CH124" s="412"/>
      <c r="CI124" s="412"/>
      <c r="CJ124" s="412"/>
      <c r="CK124" s="412"/>
      <c r="CL124" s="412"/>
      <c r="CM124" s="412"/>
      <c r="CN124" s="412"/>
      <c r="CO124" s="412"/>
      <c r="CQ124" s="363"/>
      <c r="CR124" s="363"/>
      <c r="CS124" s="363"/>
      <c r="CT124" s="363"/>
      <c r="CU124" s="363"/>
      <c r="CV124" s="363"/>
      <c r="CW124" s="363"/>
      <c r="CX124" s="363"/>
      <c r="CZ124" s="414"/>
      <c r="DA124" s="414"/>
      <c r="DB124" s="414"/>
      <c r="DC124" s="414"/>
      <c r="DD124" s="414"/>
      <c r="DE124" s="414"/>
      <c r="DF124" s="414"/>
      <c r="DG124" s="414"/>
      <c r="DI124" s="414">
        <f t="shared" si="45"/>
        <v>0</v>
      </c>
      <c r="DJ124" s="414"/>
      <c r="DK124" s="414"/>
      <c r="DL124" s="414"/>
      <c r="DM124" s="414"/>
      <c r="DN124" s="414"/>
      <c r="DO124" s="414"/>
      <c r="DP124" s="414"/>
      <c r="DQ124" s="414"/>
      <c r="DS124" s="414"/>
      <c r="DT124" s="414"/>
      <c r="DU124" s="414"/>
      <c r="DV124" s="414"/>
      <c r="DW124" s="414"/>
      <c r="DX124" s="414"/>
      <c r="DY124" s="414"/>
      <c r="DZ124" s="414"/>
      <c r="EB124" s="415">
        <f t="shared" si="29"/>
        <v>115110.17778393353</v>
      </c>
      <c r="EC124" s="415">
        <f t="shared" si="30"/>
        <v>0</v>
      </c>
      <c r="ED124" s="416">
        <f t="shared" si="46"/>
        <v>115110.17778393353</v>
      </c>
    </row>
    <row r="125" spans="1:134" hidden="1" x14ac:dyDescent="0.35">
      <c r="A125" s="17">
        <v>3386</v>
      </c>
      <c r="B125" s="4">
        <v>103470</v>
      </c>
      <c r="C125" s="4" t="s">
        <v>142</v>
      </c>
      <c r="D125" s="4" t="s">
        <v>143</v>
      </c>
      <c r="E125" s="15" t="s">
        <v>32</v>
      </c>
      <c r="F125" s="16" t="s">
        <v>27</v>
      </c>
      <c r="G125" s="215"/>
      <c r="H125" s="363">
        <v>0</v>
      </c>
      <c r="I125" s="410"/>
      <c r="J125" s="363">
        <v>0</v>
      </c>
      <c r="K125" s="363">
        <v>0</v>
      </c>
      <c r="L125" s="363">
        <v>41940.6</v>
      </c>
      <c r="M125" s="363">
        <v>2535</v>
      </c>
      <c r="N125" s="363">
        <v>1044.1052631578948</v>
      </c>
      <c r="O125" s="363">
        <v>0</v>
      </c>
      <c r="P125" s="215">
        <f t="shared" si="31"/>
        <v>45519.705263157892</v>
      </c>
      <c r="Q125" s="363">
        <f t="shared" si="32"/>
        <v>36415.764210526315</v>
      </c>
      <c r="R125" s="410"/>
      <c r="S125" s="363">
        <v>0</v>
      </c>
      <c r="T125" s="363">
        <v>0</v>
      </c>
      <c r="U125" s="363">
        <v>33111</v>
      </c>
      <c r="V125" s="363">
        <v>2145</v>
      </c>
      <c r="W125" s="363">
        <v>596.63157894736844</v>
      </c>
      <c r="X125" s="363">
        <v>0</v>
      </c>
      <c r="Y125" s="363">
        <f t="shared" si="33"/>
        <v>35852.631578947367</v>
      </c>
      <c r="Z125" s="363">
        <f t="shared" si="34"/>
        <v>28682.105263157893</v>
      </c>
      <c r="AA125" s="410"/>
      <c r="AB125" s="411">
        <v>0</v>
      </c>
      <c r="AC125" s="411">
        <v>0</v>
      </c>
      <c r="AD125" s="411">
        <v>33137.810526315792</v>
      </c>
      <c r="AE125" s="411">
        <v>1989.4736842105262</v>
      </c>
      <c r="AF125" s="411">
        <v>717.40720221606648</v>
      </c>
      <c r="AG125" s="411">
        <v>0</v>
      </c>
      <c r="AH125" s="363">
        <f t="shared" si="35"/>
        <v>35844.691412742388</v>
      </c>
      <c r="AI125" s="411">
        <f t="shared" si="36"/>
        <v>28675.753130193913</v>
      </c>
      <c r="AJ125" s="410"/>
      <c r="AK125" s="411">
        <v>1577.55</v>
      </c>
      <c r="AL125" s="411">
        <v>1111.5</v>
      </c>
      <c r="AM125" s="411">
        <v>1176.0631578947368</v>
      </c>
      <c r="AN125" s="410"/>
      <c r="AO125" s="411">
        <f t="shared" si="37"/>
        <v>1262.04</v>
      </c>
      <c r="AP125" s="411">
        <f t="shared" si="37"/>
        <v>889.2</v>
      </c>
      <c r="AQ125" s="411">
        <f t="shared" si="37"/>
        <v>940.85052631578947</v>
      </c>
      <c r="AR125" s="412"/>
      <c r="AS125" s="412">
        <v>0</v>
      </c>
      <c r="AT125" s="413">
        <f t="shared" si="38"/>
        <v>0</v>
      </c>
      <c r="AU125" s="412"/>
      <c r="AV125" s="412">
        <v>0</v>
      </c>
      <c r="AW125" s="412">
        <v>0</v>
      </c>
      <c r="AX125" s="412">
        <v>45251.700000000004</v>
      </c>
      <c r="AY125" s="412">
        <v>3120</v>
      </c>
      <c r="AZ125" s="412">
        <v>969.52631578947376</v>
      </c>
      <c r="BA125" s="412">
        <v>0</v>
      </c>
      <c r="BB125" s="412">
        <v>1318.2</v>
      </c>
      <c r="BC125" s="412">
        <f t="shared" si="39"/>
        <v>50659.426315789475</v>
      </c>
      <c r="BE125" s="205">
        <f t="shared" si="50"/>
        <v>0</v>
      </c>
      <c r="BF125" s="205">
        <f t="shared" si="50"/>
        <v>0</v>
      </c>
      <c r="BG125" s="205">
        <f t="shared" si="50"/>
        <v>3311.1000000000058</v>
      </c>
      <c r="BH125" s="205">
        <f t="shared" si="49"/>
        <v>585</v>
      </c>
      <c r="BI125" s="205">
        <f t="shared" si="49"/>
        <v>-74.578947368421041</v>
      </c>
      <c r="BJ125" s="205">
        <f t="shared" si="49"/>
        <v>0</v>
      </c>
      <c r="BK125" s="205">
        <f t="shared" si="40"/>
        <v>-259.34999999999991</v>
      </c>
      <c r="BL125" s="205">
        <f t="shared" si="41"/>
        <v>3562.1710526315851</v>
      </c>
      <c r="BM125" s="215">
        <f t="shared" si="42"/>
        <v>0</v>
      </c>
      <c r="BN125" s="215"/>
      <c r="BO125" s="412">
        <f t="shared" si="51"/>
        <v>0</v>
      </c>
      <c r="BP125" s="412">
        <f t="shared" si="51"/>
        <v>0</v>
      </c>
      <c r="BQ125" s="412">
        <f t="shared" si="51"/>
        <v>11699.220000000001</v>
      </c>
      <c r="BR125" s="412">
        <f t="shared" si="51"/>
        <v>1092</v>
      </c>
      <c r="BS125" s="412">
        <f t="shared" si="51"/>
        <v>134.2421052631579</v>
      </c>
      <c r="BT125" s="412">
        <f t="shared" si="51"/>
        <v>0</v>
      </c>
      <c r="BU125" s="412">
        <f t="shared" si="48"/>
        <v>56.160000000000082</v>
      </c>
      <c r="BV125" s="412">
        <f t="shared" si="43"/>
        <v>12981.622105263159</v>
      </c>
      <c r="BW125" s="412">
        <f t="shared" si="28"/>
        <v>0</v>
      </c>
      <c r="BX125" s="412"/>
      <c r="BY125" s="412">
        <f t="shared" si="44"/>
        <v>50659.426315789475</v>
      </c>
      <c r="BZ125" s="412"/>
      <c r="CA125" s="412">
        <f>IFERROR(VLOOKUP(A125,'Actuals Summer'!A:S,19,FALSE),0)</f>
        <v>50659.426315789475</v>
      </c>
      <c r="CC125" s="412"/>
      <c r="CD125" s="412"/>
      <c r="CE125" s="412"/>
      <c r="CF125" s="412"/>
      <c r="CG125" s="412"/>
      <c r="CH125" s="412"/>
      <c r="CI125" s="412"/>
      <c r="CJ125" s="412"/>
      <c r="CK125" s="412"/>
      <c r="CL125" s="412"/>
      <c r="CM125" s="412"/>
      <c r="CN125" s="412"/>
      <c r="CO125" s="412"/>
      <c r="CQ125" s="363"/>
      <c r="CR125" s="363"/>
      <c r="CS125" s="363"/>
      <c r="CT125" s="363"/>
      <c r="CU125" s="363"/>
      <c r="CV125" s="363"/>
      <c r="CW125" s="363"/>
      <c r="CX125" s="363"/>
      <c r="CZ125" s="414"/>
      <c r="DA125" s="414"/>
      <c r="DB125" s="414"/>
      <c r="DC125" s="414"/>
      <c r="DD125" s="414"/>
      <c r="DE125" s="414"/>
      <c r="DF125" s="414"/>
      <c r="DG125" s="414"/>
      <c r="DI125" s="414">
        <f t="shared" si="45"/>
        <v>0</v>
      </c>
      <c r="DJ125" s="414"/>
      <c r="DK125" s="414"/>
      <c r="DL125" s="414"/>
      <c r="DM125" s="414"/>
      <c r="DN125" s="414"/>
      <c r="DO125" s="414"/>
      <c r="DP125" s="414"/>
      <c r="DQ125" s="414"/>
      <c r="DS125" s="414"/>
      <c r="DT125" s="414"/>
      <c r="DU125" s="414"/>
      <c r="DV125" s="414"/>
      <c r="DW125" s="414"/>
      <c r="DX125" s="414"/>
      <c r="DY125" s="414"/>
      <c r="DZ125" s="414"/>
      <c r="EB125" s="415">
        <f t="shared" si="29"/>
        <v>109847.33523545705</v>
      </c>
      <c r="EC125" s="415">
        <f t="shared" si="30"/>
        <v>0</v>
      </c>
      <c r="ED125" s="416">
        <f t="shared" si="46"/>
        <v>109847.33523545705</v>
      </c>
    </row>
    <row r="126" spans="1:134" hidden="1" x14ac:dyDescent="0.35">
      <c r="A126" s="17">
        <v>3363</v>
      </c>
      <c r="B126" s="4">
        <v>103455</v>
      </c>
      <c r="C126" s="4" t="s">
        <v>144</v>
      </c>
      <c r="D126" s="4" t="s">
        <v>145</v>
      </c>
      <c r="E126" s="15" t="s">
        <v>32</v>
      </c>
      <c r="F126" s="16" t="s">
        <v>27</v>
      </c>
      <c r="G126" s="215"/>
      <c r="H126" s="363">
        <v>0</v>
      </c>
      <c r="I126" s="410"/>
      <c r="J126" s="363">
        <v>0</v>
      </c>
      <c r="K126" s="363">
        <v>0</v>
      </c>
      <c r="L126" s="363">
        <v>19866.600000000002</v>
      </c>
      <c r="M126" s="363">
        <v>390</v>
      </c>
      <c r="N126" s="363">
        <v>149.15789473684211</v>
      </c>
      <c r="O126" s="363">
        <v>0</v>
      </c>
      <c r="P126" s="215">
        <f t="shared" si="31"/>
        <v>20405.757894736846</v>
      </c>
      <c r="Q126" s="363">
        <f t="shared" si="32"/>
        <v>16324.606315789477</v>
      </c>
      <c r="R126" s="410"/>
      <c r="S126" s="363">
        <v>0</v>
      </c>
      <c r="T126" s="363">
        <v>0</v>
      </c>
      <c r="U126" s="363">
        <v>27592.5</v>
      </c>
      <c r="V126" s="363">
        <v>780</v>
      </c>
      <c r="W126" s="363">
        <v>298.31578947368422</v>
      </c>
      <c r="X126" s="363">
        <v>0</v>
      </c>
      <c r="Y126" s="363">
        <f t="shared" si="33"/>
        <v>28670.815789473683</v>
      </c>
      <c r="Z126" s="363">
        <f t="shared" si="34"/>
        <v>22936.652631578949</v>
      </c>
      <c r="AA126" s="410"/>
      <c r="AB126" s="411">
        <v>0</v>
      </c>
      <c r="AC126" s="411">
        <v>0</v>
      </c>
      <c r="AD126" s="411">
        <v>19947.031578947372</v>
      </c>
      <c r="AE126" s="411">
        <v>454.73684210526312</v>
      </c>
      <c r="AF126" s="411">
        <v>173.91689750692518</v>
      </c>
      <c r="AG126" s="411">
        <v>0</v>
      </c>
      <c r="AH126" s="363">
        <f t="shared" si="35"/>
        <v>20575.685318559561</v>
      </c>
      <c r="AI126" s="411">
        <f t="shared" si="36"/>
        <v>16460.54825484765</v>
      </c>
      <c r="AJ126" s="410"/>
      <c r="AK126" s="411">
        <v>269.10000000000002</v>
      </c>
      <c r="AL126" s="411">
        <v>403.65</v>
      </c>
      <c r="AM126" s="411">
        <v>274.54736842105257</v>
      </c>
      <c r="AN126" s="410"/>
      <c r="AO126" s="411">
        <f t="shared" si="37"/>
        <v>215.28000000000003</v>
      </c>
      <c r="AP126" s="411">
        <f t="shared" si="37"/>
        <v>322.92</v>
      </c>
      <c r="AQ126" s="411">
        <f t="shared" si="37"/>
        <v>219.63789473684207</v>
      </c>
      <c r="AR126" s="412"/>
      <c r="AS126" s="412">
        <v>0</v>
      </c>
      <c r="AT126" s="413">
        <f t="shared" si="38"/>
        <v>0</v>
      </c>
      <c r="AU126" s="412"/>
      <c r="AV126" s="412">
        <v>0</v>
      </c>
      <c r="AW126" s="412">
        <v>0</v>
      </c>
      <c r="AX126" s="412">
        <v>26488.799999999999</v>
      </c>
      <c r="AY126" s="412">
        <v>1170</v>
      </c>
      <c r="AZ126" s="412">
        <v>447.47368421052636</v>
      </c>
      <c r="BA126" s="412">
        <v>0</v>
      </c>
      <c r="BB126" s="412">
        <v>403.65</v>
      </c>
      <c r="BC126" s="412">
        <f t="shared" si="39"/>
        <v>28509.923684210527</v>
      </c>
      <c r="BE126" s="205">
        <f t="shared" si="50"/>
        <v>0</v>
      </c>
      <c r="BF126" s="205">
        <f t="shared" si="50"/>
        <v>0</v>
      </c>
      <c r="BG126" s="205">
        <f t="shared" si="50"/>
        <v>6622.1999999999971</v>
      </c>
      <c r="BH126" s="205">
        <f t="shared" si="49"/>
        <v>780</v>
      </c>
      <c r="BI126" s="205">
        <f t="shared" si="49"/>
        <v>298.31578947368428</v>
      </c>
      <c r="BJ126" s="205">
        <f t="shared" si="49"/>
        <v>0</v>
      </c>
      <c r="BK126" s="205">
        <f t="shared" si="40"/>
        <v>134.54999999999995</v>
      </c>
      <c r="BL126" s="205">
        <f t="shared" si="41"/>
        <v>7835.0657894736814</v>
      </c>
      <c r="BM126" s="215">
        <f t="shared" si="42"/>
        <v>0</v>
      </c>
      <c r="BN126" s="215"/>
      <c r="BO126" s="412">
        <f t="shared" si="51"/>
        <v>0</v>
      </c>
      <c r="BP126" s="412">
        <f t="shared" si="51"/>
        <v>0</v>
      </c>
      <c r="BQ126" s="412">
        <f t="shared" si="51"/>
        <v>10595.519999999997</v>
      </c>
      <c r="BR126" s="412">
        <f t="shared" si="51"/>
        <v>858</v>
      </c>
      <c r="BS126" s="412">
        <f t="shared" si="51"/>
        <v>328.14736842105265</v>
      </c>
      <c r="BT126" s="412">
        <f t="shared" si="51"/>
        <v>0</v>
      </c>
      <c r="BU126" s="412">
        <f t="shared" si="48"/>
        <v>188.36999999999995</v>
      </c>
      <c r="BV126" s="412">
        <f t="shared" si="43"/>
        <v>11970.03736842105</v>
      </c>
      <c r="BW126" s="412">
        <f t="shared" si="28"/>
        <v>0</v>
      </c>
      <c r="BX126" s="412"/>
      <c r="BY126" s="412">
        <f t="shared" si="44"/>
        <v>28509.923684210524</v>
      </c>
      <c r="BZ126" s="412"/>
      <c r="CA126" s="412">
        <f>IFERROR(VLOOKUP(A126,'Actuals Summer'!A:S,19,FALSE),0)</f>
        <v>28509.923684210527</v>
      </c>
      <c r="CC126" s="412"/>
      <c r="CD126" s="412"/>
      <c r="CE126" s="412"/>
      <c r="CF126" s="412"/>
      <c r="CG126" s="412"/>
      <c r="CH126" s="412"/>
      <c r="CI126" s="412"/>
      <c r="CJ126" s="412"/>
      <c r="CK126" s="412"/>
      <c r="CL126" s="412"/>
      <c r="CM126" s="412"/>
      <c r="CN126" s="412"/>
      <c r="CO126" s="412"/>
      <c r="CQ126" s="363"/>
      <c r="CR126" s="363"/>
      <c r="CS126" s="363"/>
      <c r="CT126" s="363"/>
      <c r="CU126" s="363"/>
      <c r="CV126" s="363"/>
      <c r="CW126" s="363"/>
      <c r="CX126" s="363"/>
      <c r="CZ126" s="414"/>
      <c r="DA126" s="414"/>
      <c r="DB126" s="414"/>
      <c r="DC126" s="414"/>
      <c r="DD126" s="414"/>
      <c r="DE126" s="414"/>
      <c r="DF126" s="414"/>
      <c r="DG126" s="414"/>
      <c r="DI126" s="414">
        <f t="shared" si="45"/>
        <v>0</v>
      </c>
      <c r="DJ126" s="414"/>
      <c r="DK126" s="414"/>
      <c r="DL126" s="414"/>
      <c r="DM126" s="414"/>
      <c r="DN126" s="414"/>
      <c r="DO126" s="414"/>
      <c r="DP126" s="414"/>
      <c r="DQ126" s="414"/>
      <c r="DS126" s="414"/>
      <c r="DT126" s="414"/>
      <c r="DU126" s="414"/>
      <c r="DV126" s="414"/>
      <c r="DW126" s="414"/>
      <c r="DX126" s="414"/>
      <c r="DY126" s="414"/>
      <c r="DZ126" s="414"/>
      <c r="EB126" s="415">
        <f t="shared" si="29"/>
        <v>68449.68246537396</v>
      </c>
      <c r="EC126" s="415">
        <f t="shared" si="30"/>
        <v>0</v>
      </c>
      <c r="ED126" s="416">
        <f t="shared" si="46"/>
        <v>68449.68246537396</v>
      </c>
    </row>
    <row r="127" spans="1:134" hidden="1" x14ac:dyDescent="0.35">
      <c r="A127" s="17">
        <v>3355</v>
      </c>
      <c r="B127" s="4">
        <v>103447</v>
      </c>
      <c r="C127" s="4" t="s">
        <v>1010</v>
      </c>
      <c r="D127" s="4" t="s">
        <v>1011</v>
      </c>
      <c r="E127" s="15" t="s">
        <v>32</v>
      </c>
      <c r="F127" s="16" t="s">
        <v>27</v>
      </c>
      <c r="G127" s="215"/>
      <c r="H127" s="363">
        <v>0</v>
      </c>
      <c r="I127" s="410"/>
      <c r="J127" s="363">
        <v>0</v>
      </c>
      <c r="K127" s="363">
        <v>0</v>
      </c>
      <c r="L127" s="363">
        <v>0</v>
      </c>
      <c r="M127" s="363">
        <v>0</v>
      </c>
      <c r="N127" s="363">
        <v>0</v>
      </c>
      <c r="O127" s="363">
        <v>0</v>
      </c>
      <c r="P127" s="215">
        <f t="shared" si="31"/>
        <v>0</v>
      </c>
      <c r="Q127" s="363">
        <f t="shared" si="32"/>
        <v>0</v>
      </c>
      <c r="R127" s="410"/>
      <c r="S127" s="363">
        <v>0</v>
      </c>
      <c r="T127" s="363">
        <v>0</v>
      </c>
      <c r="U127" s="363">
        <v>0</v>
      </c>
      <c r="V127" s="363">
        <v>0</v>
      </c>
      <c r="W127" s="363">
        <v>0</v>
      </c>
      <c r="X127" s="363">
        <v>0</v>
      </c>
      <c r="Y127" s="363">
        <f t="shared" si="33"/>
        <v>0</v>
      </c>
      <c r="Z127" s="363">
        <f t="shared" si="34"/>
        <v>0</v>
      </c>
      <c r="AA127" s="410"/>
      <c r="AB127" s="411">
        <v>0</v>
      </c>
      <c r="AC127" s="411">
        <v>0</v>
      </c>
      <c r="AD127" s="411">
        <v>0</v>
      </c>
      <c r="AE127" s="411">
        <v>0</v>
      </c>
      <c r="AF127" s="411">
        <v>0</v>
      </c>
      <c r="AG127" s="411">
        <v>0</v>
      </c>
      <c r="AH127" s="363">
        <f t="shared" si="35"/>
        <v>0</v>
      </c>
      <c r="AI127" s="411">
        <f t="shared" si="36"/>
        <v>0</v>
      </c>
      <c r="AJ127" s="410"/>
      <c r="AK127" s="411">
        <v>0</v>
      </c>
      <c r="AL127" s="411">
        <v>0</v>
      </c>
      <c r="AM127" s="411">
        <v>0</v>
      </c>
      <c r="AN127" s="410"/>
      <c r="AO127" s="411">
        <f t="shared" si="37"/>
        <v>0</v>
      </c>
      <c r="AP127" s="411">
        <f t="shared" si="37"/>
        <v>0</v>
      </c>
      <c r="AQ127" s="411">
        <f t="shared" si="37"/>
        <v>0</v>
      </c>
      <c r="AR127" s="412"/>
      <c r="AS127" s="412">
        <v>0</v>
      </c>
      <c r="AT127" s="413">
        <f t="shared" si="38"/>
        <v>0</v>
      </c>
      <c r="AU127" s="412"/>
      <c r="AV127" s="412">
        <v>0</v>
      </c>
      <c r="AW127" s="412">
        <v>0</v>
      </c>
      <c r="AX127" s="412">
        <v>0</v>
      </c>
      <c r="AY127" s="412">
        <v>0</v>
      </c>
      <c r="AZ127" s="412">
        <v>0</v>
      </c>
      <c r="BA127" s="412">
        <v>0</v>
      </c>
      <c r="BB127" s="412">
        <v>0</v>
      </c>
      <c r="BC127" s="412">
        <f t="shared" si="39"/>
        <v>0</v>
      </c>
      <c r="BE127" s="205">
        <f t="shared" si="50"/>
        <v>0</v>
      </c>
      <c r="BF127" s="205">
        <f t="shared" si="50"/>
        <v>0</v>
      </c>
      <c r="BG127" s="205">
        <f t="shared" si="50"/>
        <v>0</v>
      </c>
      <c r="BH127" s="205">
        <f t="shared" si="49"/>
        <v>0</v>
      </c>
      <c r="BI127" s="205">
        <f t="shared" si="49"/>
        <v>0</v>
      </c>
      <c r="BJ127" s="205">
        <f t="shared" si="49"/>
        <v>0</v>
      </c>
      <c r="BK127" s="205">
        <f t="shared" si="40"/>
        <v>0</v>
      </c>
      <c r="BL127" s="205">
        <f t="shared" si="41"/>
        <v>0</v>
      </c>
      <c r="BM127" s="215">
        <f t="shared" si="42"/>
        <v>0</v>
      </c>
      <c r="BN127" s="215"/>
      <c r="BO127" s="412">
        <f t="shared" si="51"/>
        <v>0</v>
      </c>
      <c r="BP127" s="412">
        <f t="shared" si="51"/>
        <v>0</v>
      </c>
      <c r="BQ127" s="412">
        <f t="shared" si="51"/>
        <v>0</v>
      </c>
      <c r="BR127" s="412">
        <f t="shared" si="51"/>
        <v>0</v>
      </c>
      <c r="BS127" s="412">
        <f t="shared" si="51"/>
        <v>0</v>
      </c>
      <c r="BT127" s="412">
        <f t="shared" si="51"/>
        <v>0</v>
      </c>
      <c r="BU127" s="412">
        <f t="shared" si="48"/>
        <v>0</v>
      </c>
      <c r="BV127" s="412">
        <f t="shared" si="43"/>
        <v>0</v>
      </c>
      <c r="BW127" s="412">
        <f t="shared" si="28"/>
        <v>0</v>
      </c>
      <c r="BX127" s="412"/>
      <c r="BY127" s="412">
        <f t="shared" si="44"/>
        <v>0</v>
      </c>
      <c r="BZ127" s="412"/>
      <c r="CA127" s="412">
        <f>IFERROR(VLOOKUP(A127,'Actuals Summer'!A:S,19,FALSE),0)</f>
        <v>0</v>
      </c>
      <c r="CC127" s="412"/>
      <c r="CD127" s="412"/>
      <c r="CE127" s="412"/>
      <c r="CF127" s="412"/>
      <c r="CG127" s="412"/>
      <c r="CH127" s="412"/>
      <c r="CI127" s="412"/>
      <c r="CJ127" s="412"/>
      <c r="CK127" s="412"/>
      <c r="CL127" s="412"/>
      <c r="CM127" s="412"/>
      <c r="CN127" s="412"/>
      <c r="CO127" s="412"/>
      <c r="CQ127" s="363"/>
      <c r="CR127" s="363"/>
      <c r="CS127" s="363"/>
      <c r="CT127" s="363"/>
      <c r="CU127" s="363"/>
      <c r="CV127" s="363"/>
      <c r="CW127" s="363"/>
      <c r="CX127" s="363"/>
      <c r="CZ127" s="414"/>
      <c r="DA127" s="414"/>
      <c r="DB127" s="414"/>
      <c r="DC127" s="414"/>
      <c r="DD127" s="414"/>
      <c r="DE127" s="414"/>
      <c r="DF127" s="414"/>
      <c r="DG127" s="414"/>
      <c r="DI127" s="414">
        <f t="shared" si="45"/>
        <v>0</v>
      </c>
      <c r="DJ127" s="414"/>
      <c r="DK127" s="414"/>
      <c r="DL127" s="414"/>
      <c r="DM127" s="414"/>
      <c r="DN127" s="414"/>
      <c r="DO127" s="414"/>
      <c r="DP127" s="414"/>
      <c r="DQ127" s="414"/>
      <c r="DS127" s="414"/>
      <c r="DT127" s="414"/>
      <c r="DU127" s="414"/>
      <c r="DV127" s="414"/>
      <c r="DW127" s="414"/>
      <c r="DX127" s="414"/>
      <c r="DY127" s="414"/>
      <c r="DZ127" s="414"/>
      <c r="EB127" s="415">
        <f t="shared" si="29"/>
        <v>0</v>
      </c>
      <c r="EC127" s="415">
        <f t="shared" si="30"/>
        <v>0</v>
      </c>
      <c r="ED127" s="416">
        <f t="shared" si="46"/>
        <v>0</v>
      </c>
    </row>
    <row r="128" spans="1:134" hidden="1" x14ac:dyDescent="0.35">
      <c r="A128" s="17">
        <v>3367</v>
      </c>
      <c r="B128" s="4">
        <v>103458</v>
      </c>
      <c r="C128" s="4" t="s">
        <v>146</v>
      </c>
      <c r="D128" s="4" t="s">
        <v>147</v>
      </c>
      <c r="E128" s="15" t="s">
        <v>32</v>
      </c>
      <c r="F128" s="16" t="s">
        <v>27</v>
      </c>
      <c r="G128" s="215"/>
      <c r="H128" s="363">
        <v>0</v>
      </c>
      <c r="I128" s="410"/>
      <c r="J128" s="363">
        <v>0</v>
      </c>
      <c r="K128" s="363">
        <v>0</v>
      </c>
      <c r="L128" s="363">
        <v>43044.3</v>
      </c>
      <c r="M128" s="363">
        <v>1170</v>
      </c>
      <c r="N128" s="363">
        <v>447.47368421052636</v>
      </c>
      <c r="O128" s="363">
        <v>0</v>
      </c>
      <c r="P128" s="215">
        <f t="shared" si="31"/>
        <v>44661.77368421053</v>
      </c>
      <c r="Q128" s="363">
        <f t="shared" si="32"/>
        <v>35729.418947368424</v>
      </c>
      <c r="R128" s="410"/>
      <c r="S128" s="363">
        <v>0</v>
      </c>
      <c r="T128" s="363">
        <v>0</v>
      </c>
      <c r="U128" s="363">
        <v>37525.800000000003</v>
      </c>
      <c r="V128" s="363">
        <v>1365</v>
      </c>
      <c r="W128" s="363">
        <v>522.0526315789474</v>
      </c>
      <c r="X128" s="363">
        <v>0</v>
      </c>
      <c r="Y128" s="363">
        <f t="shared" si="33"/>
        <v>39412.85263157895</v>
      </c>
      <c r="Z128" s="363">
        <f t="shared" si="34"/>
        <v>31530.282105263163</v>
      </c>
      <c r="AA128" s="410"/>
      <c r="AB128" s="411">
        <v>0</v>
      </c>
      <c r="AC128" s="411">
        <v>0</v>
      </c>
      <c r="AD128" s="411">
        <v>36033.347368421055</v>
      </c>
      <c r="AE128" s="411">
        <v>1080</v>
      </c>
      <c r="AF128" s="411">
        <v>413.05263157894734</v>
      </c>
      <c r="AG128" s="411">
        <v>0</v>
      </c>
      <c r="AH128" s="363">
        <f t="shared" si="35"/>
        <v>37526.400000000001</v>
      </c>
      <c r="AI128" s="411">
        <f t="shared" si="36"/>
        <v>30021.120000000003</v>
      </c>
      <c r="AJ128" s="410"/>
      <c r="AK128" s="411">
        <v>1862.25</v>
      </c>
      <c r="AL128" s="411">
        <v>1571.6999999999998</v>
      </c>
      <c r="AM128" s="411">
        <v>1543.8315789473681</v>
      </c>
      <c r="AN128" s="410"/>
      <c r="AO128" s="411">
        <f t="shared" si="37"/>
        <v>1489.8000000000002</v>
      </c>
      <c r="AP128" s="411">
        <f t="shared" si="37"/>
        <v>1257.3599999999999</v>
      </c>
      <c r="AQ128" s="411">
        <f t="shared" si="37"/>
        <v>1235.0652631578946</v>
      </c>
      <c r="AR128" s="412"/>
      <c r="AS128" s="412">
        <v>0</v>
      </c>
      <c r="AT128" s="413">
        <f t="shared" si="38"/>
        <v>0</v>
      </c>
      <c r="AU128" s="412"/>
      <c r="AV128" s="412">
        <v>0</v>
      </c>
      <c r="AW128" s="412">
        <v>0</v>
      </c>
      <c r="AX128" s="412">
        <v>38629.5</v>
      </c>
      <c r="AY128" s="412">
        <v>1365</v>
      </c>
      <c r="AZ128" s="412">
        <v>522.0526315789474</v>
      </c>
      <c r="BA128" s="412">
        <v>0</v>
      </c>
      <c r="BB128" s="412">
        <v>1556.0999999999997</v>
      </c>
      <c r="BC128" s="412">
        <f t="shared" si="39"/>
        <v>42072.652631578945</v>
      </c>
      <c r="BE128" s="205">
        <f t="shared" si="50"/>
        <v>0</v>
      </c>
      <c r="BF128" s="205">
        <f t="shared" si="50"/>
        <v>0</v>
      </c>
      <c r="BG128" s="205">
        <f t="shared" si="50"/>
        <v>-4414.8000000000029</v>
      </c>
      <c r="BH128" s="205">
        <f t="shared" si="49"/>
        <v>195</v>
      </c>
      <c r="BI128" s="205">
        <f t="shared" si="49"/>
        <v>74.578947368421041</v>
      </c>
      <c r="BJ128" s="205">
        <f t="shared" si="49"/>
        <v>0</v>
      </c>
      <c r="BK128" s="205">
        <f t="shared" si="40"/>
        <v>-306.15000000000032</v>
      </c>
      <c r="BL128" s="205">
        <f t="shared" si="41"/>
        <v>-4451.3710526315826</v>
      </c>
      <c r="BM128" s="215">
        <f t="shared" si="42"/>
        <v>0</v>
      </c>
      <c r="BN128" s="215"/>
      <c r="BO128" s="412">
        <f t="shared" si="51"/>
        <v>0</v>
      </c>
      <c r="BP128" s="412">
        <f t="shared" si="51"/>
        <v>0</v>
      </c>
      <c r="BQ128" s="412">
        <f t="shared" si="51"/>
        <v>4194.0599999999977</v>
      </c>
      <c r="BR128" s="412">
        <f t="shared" si="51"/>
        <v>429</v>
      </c>
      <c r="BS128" s="412">
        <f t="shared" si="51"/>
        <v>164.07368421052627</v>
      </c>
      <c r="BT128" s="412">
        <f t="shared" si="51"/>
        <v>0</v>
      </c>
      <c r="BU128" s="412">
        <f t="shared" si="48"/>
        <v>66.2999999999995</v>
      </c>
      <c r="BV128" s="412">
        <f t="shared" si="43"/>
        <v>4853.4336842105231</v>
      </c>
      <c r="BW128" s="412">
        <f t="shared" si="28"/>
        <v>7.2759576141834259E-12</v>
      </c>
      <c r="BX128" s="412"/>
      <c r="BY128" s="412">
        <f t="shared" si="44"/>
        <v>42072.652631578952</v>
      </c>
      <c r="BZ128" s="412"/>
      <c r="CA128" s="412">
        <f>IFERROR(VLOOKUP(A128,'Actuals Summer'!A:S,19,FALSE),0)</f>
        <v>42072.652631578945</v>
      </c>
      <c r="CC128" s="412"/>
      <c r="CD128" s="412"/>
      <c r="CE128" s="412"/>
      <c r="CF128" s="412"/>
      <c r="CG128" s="412"/>
      <c r="CH128" s="412"/>
      <c r="CI128" s="412"/>
      <c r="CJ128" s="412"/>
      <c r="CK128" s="412"/>
      <c r="CL128" s="412"/>
      <c r="CM128" s="412"/>
      <c r="CN128" s="412"/>
      <c r="CO128" s="412"/>
      <c r="CQ128" s="363"/>
      <c r="CR128" s="363"/>
      <c r="CS128" s="363"/>
      <c r="CT128" s="363"/>
      <c r="CU128" s="363"/>
      <c r="CV128" s="363"/>
      <c r="CW128" s="363"/>
      <c r="CX128" s="363"/>
      <c r="CZ128" s="414"/>
      <c r="DA128" s="414"/>
      <c r="DB128" s="414"/>
      <c r="DC128" s="414"/>
      <c r="DD128" s="414"/>
      <c r="DE128" s="414"/>
      <c r="DF128" s="414"/>
      <c r="DG128" s="414"/>
      <c r="DI128" s="414">
        <f t="shared" si="45"/>
        <v>0</v>
      </c>
      <c r="DJ128" s="414"/>
      <c r="DK128" s="414"/>
      <c r="DL128" s="414"/>
      <c r="DM128" s="414"/>
      <c r="DN128" s="414"/>
      <c r="DO128" s="414"/>
      <c r="DP128" s="414"/>
      <c r="DQ128" s="414"/>
      <c r="DS128" s="414"/>
      <c r="DT128" s="414"/>
      <c r="DU128" s="414"/>
      <c r="DV128" s="414"/>
      <c r="DW128" s="414"/>
      <c r="DX128" s="414"/>
      <c r="DY128" s="414"/>
      <c r="DZ128" s="414"/>
      <c r="EB128" s="415">
        <f t="shared" si="29"/>
        <v>106116.48000000001</v>
      </c>
      <c r="EC128" s="415">
        <f t="shared" si="30"/>
        <v>0</v>
      </c>
      <c r="ED128" s="416">
        <f t="shared" si="46"/>
        <v>106116.48000000001</v>
      </c>
    </row>
    <row r="129" spans="1:134" hidden="1" x14ac:dyDescent="0.35">
      <c r="A129" s="17">
        <v>3010</v>
      </c>
      <c r="B129" s="4">
        <v>103401</v>
      </c>
      <c r="C129" s="4" t="s">
        <v>1012</v>
      </c>
      <c r="D129" s="4" t="s">
        <v>1013</v>
      </c>
      <c r="E129" s="15" t="s">
        <v>32</v>
      </c>
      <c r="F129" s="16" t="s">
        <v>27</v>
      </c>
      <c r="G129" s="215"/>
      <c r="H129" s="363">
        <v>0</v>
      </c>
      <c r="I129" s="410"/>
      <c r="J129" s="363">
        <v>0</v>
      </c>
      <c r="K129" s="363">
        <v>0</v>
      </c>
      <c r="L129" s="363">
        <v>0</v>
      </c>
      <c r="M129" s="363">
        <v>0</v>
      </c>
      <c r="N129" s="363">
        <v>0</v>
      </c>
      <c r="O129" s="363">
        <v>0</v>
      </c>
      <c r="P129" s="215">
        <f t="shared" si="31"/>
        <v>0</v>
      </c>
      <c r="Q129" s="363">
        <f t="shared" si="32"/>
        <v>0</v>
      </c>
      <c r="R129" s="410"/>
      <c r="S129" s="363">
        <v>0</v>
      </c>
      <c r="T129" s="363">
        <v>0</v>
      </c>
      <c r="U129" s="363">
        <v>0</v>
      </c>
      <c r="V129" s="363">
        <v>0</v>
      </c>
      <c r="W129" s="363">
        <v>0</v>
      </c>
      <c r="X129" s="363">
        <v>0</v>
      </c>
      <c r="Y129" s="363">
        <f t="shared" si="33"/>
        <v>0</v>
      </c>
      <c r="Z129" s="363">
        <f t="shared" si="34"/>
        <v>0</v>
      </c>
      <c r="AA129" s="410"/>
      <c r="AB129" s="411">
        <v>0</v>
      </c>
      <c r="AC129" s="411">
        <v>0</v>
      </c>
      <c r="AD129" s="411">
        <v>0</v>
      </c>
      <c r="AE129" s="411">
        <v>0</v>
      </c>
      <c r="AF129" s="411">
        <v>0</v>
      </c>
      <c r="AG129" s="411">
        <v>0</v>
      </c>
      <c r="AH129" s="363">
        <f t="shared" si="35"/>
        <v>0</v>
      </c>
      <c r="AI129" s="411">
        <f t="shared" si="36"/>
        <v>0</v>
      </c>
      <c r="AJ129" s="410"/>
      <c r="AK129" s="411">
        <v>0</v>
      </c>
      <c r="AL129" s="411">
        <v>0</v>
      </c>
      <c r="AM129" s="411">
        <v>0</v>
      </c>
      <c r="AN129" s="410"/>
      <c r="AO129" s="411">
        <f t="shared" si="37"/>
        <v>0</v>
      </c>
      <c r="AP129" s="411">
        <f t="shared" si="37"/>
        <v>0</v>
      </c>
      <c r="AQ129" s="411">
        <f t="shared" si="37"/>
        <v>0</v>
      </c>
      <c r="AR129" s="412"/>
      <c r="AS129" s="412">
        <v>0</v>
      </c>
      <c r="AT129" s="413">
        <f t="shared" si="38"/>
        <v>0</v>
      </c>
      <c r="AU129" s="412"/>
      <c r="AV129" s="412">
        <v>0</v>
      </c>
      <c r="AW129" s="412">
        <v>0</v>
      </c>
      <c r="AX129" s="412">
        <v>0</v>
      </c>
      <c r="AY129" s="412">
        <v>0</v>
      </c>
      <c r="AZ129" s="412">
        <v>0</v>
      </c>
      <c r="BA129" s="412">
        <v>0</v>
      </c>
      <c r="BB129" s="412">
        <v>0</v>
      </c>
      <c r="BC129" s="412">
        <f t="shared" si="39"/>
        <v>0</v>
      </c>
      <c r="BE129" s="205">
        <f t="shared" si="50"/>
        <v>0</v>
      </c>
      <c r="BF129" s="205">
        <f t="shared" si="50"/>
        <v>0</v>
      </c>
      <c r="BG129" s="205">
        <f t="shared" si="50"/>
        <v>0</v>
      </c>
      <c r="BH129" s="205">
        <f t="shared" si="49"/>
        <v>0</v>
      </c>
      <c r="BI129" s="205">
        <f t="shared" si="49"/>
        <v>0</v>
      </c>
      <c r="BJ129" s="205">
        <f t="shared" si="49"/>
        <v>0</v>
      </c>
      <c r="BK129" s="205">
        <f t="shared" si="40"/>
        <v>0</v>
      </c>
      <c r="BL129" s="205">
        <f t="shared" si="41"/>
        <v>0</v>
      </c>
      <c r="BM129" s="215">
        <f t="shared" si="42"/>
        <v>0</v>
      </c>
      <c r="BN129" s="215"/>
      <c r="BO129" s="412">
        <f t="shared" si="51"/>
        <v>0</v>
      </c>
      <c r="BP129" s="412">
        <f t="shared" si="51"/>
        <v>0</v>
      </c>
      <c r="BQ129" s="412">
        <f t="shared" si="51"/>
        <v>0</v>
      </c>
      <c r="BR129" s="412">
        <f t="shared" si="51"/>
        <v>0</v>
      </c>
      <c r="BS129" s="412">
        <f t="shared" si="51"/>
        <v>0</v>
      </c>
      <c r="BT129" s="412">
        <f t="shared" si="51"/>
        <v>0</v>
      </c>
      <c r="BU129" s="412">
        <f t="shared" si="48"/>
        <v>0</v>
      </c>
      <c r="BV129" s="412">
        <f t="shared" si="43"/>
        <v>0</v>
      </c>
      <c r="BW129" s="412">
        <f t="shared" si="28"/>
        <v>0</v>
      </c>
      <c r="BX129" s="412"/>
      <c r="BY129" s="412">
        <f t="shared" si="44"/>
        <v>0</v>
      </c>
      <c r="BZ129" s="412"/>
      <c r="CA129" s="412">
        <f>IFERROR(VLOOKUP(A129,'Actuals Summer'!A:S,19,FALSE),0)</f>
        <v>0</v>
      </c>
      <c r="CC129" s="412"/>
      <c r="CD129" s="412"/>
      <c r="CE129" s="412"/>
      <c r="CF129" s="412"/>
      <c r="CG129" s="412"/>
      <c r="CH129" s="412"/>
      <c r="CI129" s="412"/>
      <c r="CJ129" s="412"/>
      <c r="CK129" s="412"/>
      <c r="CL129" s="412"/>
      <c r="CM129" s="412"/>
      <c r="CN129" s="412"/>
      <c r="CO129" s="412"/>
      <c r="CQ129" s="363"/>
      <c r="CR129" s="363"/>
      <c r="CS129" s="363"/>
      <c r="CT129" s="363"/>
      <c r="CU129" s="363"/>
      <c r="CV129" s="363"/>
      <c r="CW129" s="363"/>
      <c r="CX129" s="363"/>
      <c r="CZ129" s="414"/>
      <c r="DA129" s="414"/>
      <c r="DB129" s="414"/>
      <c r="DC129" s="414"/>
      <c r="DD129" s="414"/>
      <c r="DE129" s="414"/>
      <c r="DF129" s="414"/>
      <c r="DG129" s="414"/>
      <c r="DI129" s="414">
        <f t="shared" si="45"/>
        <v>0</v>
      </c>
      <c r="DJ129" s="414"/>
      <c r="DK129" s="414"/>
      <c r="DL129" s="414"/>
      <c r="DM129" s="414"/>
      <c r="DN129" s="414"/>
      <c r="DO129" s="414"/>
      <c r="DP129" s="414"/>
      <c r="DQ129" s="414"/>
      <c r="DS129" s="414"/>
      <c r="DT129" s="414"/>
      <c r="DU129" s="414"/>
      <c r="DV129" s="414"/>
      <c r="DW129" s="414"/>
      <c r="DX129" s="414"/>
      <c r="DY129" s="414"/>
      <c r="DZ129" s="414"/>
      <c r="EB129" s="415">
        <f t="shared" si="29"/>
        <v>0</v>
      </c>
      <c r="EC129" s="415">
        <f t="shared" si="30"/>
        <v>0</v>
      </c>
      <c r="ED129" s="416">
        <f t="shared" si="46"/>
        <v>0</v>
      </c>
    </row>
    <row r="130" spans="1:134" hidden="1" x14ac:dyDescent="0.35">
      <c r="A130" s="17">
        <v>4625</v>
      </c>
      <c r="B130" s="4">
        <v>103534</v>
      </c>
      <c r="C130" s="4" t="s">
        <v>1014</v>
      </c>
      <c r="D130" s="4" t="s">
        <v>1015</v>
      </c>
      <c r="E130" s="15" t="s">
        <v>904</v>
      </c>
      <c r="F130" s="16" t="s">
        <v>27</v>
      </c>
      <c r="G130" s="215"/>
      <c r="H130" s="363">
        <v>0</v>
      </c>
      <c r="I130" s="410"/>
      <c r="J130" s="363">
        <v>0</v>
      </c>
      <c r="K130" s="363">
        <v>0</v>
      </c>
      <c r="L130" s="363">
        <v>0</v>
      </c>
      <c r="M130" s="363">
        <v>0</v>
      </c>
      <c r="N130" s="363">
        <v>0</v>
      </c>
      <c r="O130" s="363">
        <v>0</v>
      </c>
      <c r="P130" s="215">
        <f t="shared" si="31"/>
        <v>0</v>
      </c>
      <c r="Q130" s="363">
        <f t="shared" si="32"/>
        <v>0</v>
      </c>
      <c r="R130" s="410"/>
      <c r="S130" s="363">
        <v>0</v>
      </c>
      <c r="T130" s="363">
        <v>0</v>
      </c>
      <c r="U130" s="363">
        <v>0</v>
      </c>
      <c r="V130" s="363">
        <v>0</v>
      </c>
      <c r="W130" s="363">
        <v>0</v>
      </c>
      <c r="X130" s="363">
        <v>0</v>
      </c>
      <c r="Y130" s="363">
        <f t="shared" si="33"/>
        <v>0</v>
      </c>
      <c r="Z130" s="363">
        <f t="shared" si="34"/>
        <v>0</v>
      </c>
      <c r="AA130" s="410"/>
      <c r="AB130" s="411">
        <v>0</v>
      </c>
      <c r="AC130" s="411">
        <v>0</v>
      </c>
      <c r="AD130" s="411">
        <v>0</v>
      </c>
      <c r="AE130" s="411">
        <v>0</v>
      </c>
      <c r="AF130" s="411">
        <v>0</v>
      </c>
      <c r="AG130" s="411">
        <v>0</v>
      </c>
      <c r="AH130" s="363">
        <f t="shared" si="35"/>
        <v>0</v>
      </c>
      <c r="AI130" s="411">
        <f t="shared" si="36"/>
        <v>0</v>
      </c>
      <c r="AJ130" s="410"/>
      <c r="AK130" s="411">
        <v>0</v>
      </c>
      <c r="AL130" s="411">
        <v>0</v>
      </c>
      <c r="AM130" s="411">
        <v>0</v>
      </c>
      <c r="AN130" s="410"/>
      <c r="AO130" s="411">
        <f t="shared" si="37"/>
        <v>0</v>
      </c>
      <c r="AP130" s="411">
        <f t="shared" si="37"/>
        <v>0</v>
      </c>
      <c r="AQ130" s="411">
        <f t="shared" si="37"/>
        <v>0</v>
      </c>
      <c r="AR130" s="412"/>
      <c r="AS130" s="412">
        <v>0</v>
      </c>
      <c r="AT130" s="413">
        <f t="shared" si="38"/>
        <v>0</v>
      </c>
      <c r="AU130" s="412"/>
      <c r="AV130" s="412">
        <v>0</v>
      </c>
      <c r="AW130" s="412">
        <v>0</v>
      </c>
      <c r="AX130" s="412">
        <v>0</v>
      </c>
      <c r="AY130" s="412">
        <v>0</v>
      </c>
      <c r="AZ130" s="412">
        <v>0</v>
      </c>
      <c r="BA130" s="412">
        <v>0</v>
      </c>
      <c r="BB130" s="412">
        <v>0</v>
      </c>
      <c r="BC130" s="412">
        <f t="shared" si="39"/>
        <v>0</v>
      </c>
      <c r="BE130" s="205">
        <f t="shared" si="50"/>
        <v>0</v>
      </c>
      <c r="BF130" s="205">
        <f t="shared" si="50"/>
        <v>0</v>
      </c>
      <c r="BG130" s="205">
        <f t="shared" si="50"/>
        <v>0</v>
      </c>
      <c r="BH130" s="205">
        <f t="shared" si="49"/>
        <v>0</v>
      </c>
      <c r="BI130" s="205">
        <f t="shared" si="49"/>
        <v>0</v>
      </c>
      <c r="BJ130" s="205">
        <f t="shared" si="49"/>
        <v>0</v>
      </c>
      <c r="BK130" s="205">
        <f t="shared" si="40"/>
        <v>0</v>
      </c>
      <c r="BL130" s="205">
        <f t="shared" si="41"/>
        <v>0</v>
      </c>
      <c r="BM130" s="215">
        <f t="shared" si="42"/>
        <v>0</v>
      </c>
      <c r="BN130" s="215"/>
      <c r="BO130" s="412">
        <f t="shared" si="51"/>
        <v>0</v>
      </c>
      <c r="BP130" s="412">
        <f t="shared" si="51"/>
        <v>0</v>
      </c>
      <c r="BQ130" s="412">
        <f t="shared" si="51"/>
        <v>0</v>
      </c>
      <c r="BR130" s="412">
        <f t="shared" si="51"/>
        <v>0</v>
      </c>
      <c r="BS130" s="412">
        <f t="shared" si="51"/>
        <v>0</v>
      </c>
      <c r="BT130" s="412">
        <f t="shared" si="51"/>
        <v>0</v>
      </c>
      <c r="BU130" s="412">
        <f t="shared" si="48"/>
        <v>0</v>
      </c>
      <c r="BV130" s="412">
        <f t="shared" si="43"/>
        <v>0</v>
      </c>
      <c r="BW130" s="412">
        <f t="shared" si="28"/>
        <v>0</v>
      </c>
      <c r="BX130" s="412"/>
      <c r="BY130" s="412">
        <f t="shared" si="44"/>
        <v>0</v>
      </c>
      <c r="BZ130" s="412"/>
      <c r="CA130" s="412">
        <f>IFERROR(VLOOKUP(A130,'Actuals Summer'!A:S,19,FALSE),0)</f>
        <v>0</v>
      </c>
      <c r="CC130" s="412"/>
      <c r="CD130" s="412"/>
      <c r="CE130" s="412"/>
      <c r="CF130" s="412"/>
      <c r="CG130" s="412"/>
      <c r="CH130" s="412"/>
      <c r="CI130" s="412"/>
      <c r="CJ130" s="412"/>
      <c r="CK130" s="412"/>
      <c r="CL130" s="412"/>
      <c r="CM130" s="412"/>
      <c r="CN130" s="412"/>
      <c r="CO130" s="412"/>
      <c r="CQ130" s="363"/>
      <c r="CR130" s="363"/>
      <c r="CS130" s="363"/>
      <c r="CT130" s="363"/>
      <c r="CU130" s="363"/>
      <c r="CV130" s="363"/>
      <c r="CW130" s="363"/>
      <c r="CX130" s="363"/>
      <c r="CZ130" s="414"/>
      <c r="DA130" s="414"/>
      <c r="DB130" s="414"/>
      <c r="DC130" s="414"/>
      <c r="DD130" s="414"/>
      <c r="DE130" s="414"/>
      <c r="DF130" s="414"/>
      <c r="DG130" s="414"/>
      <c r="DI130" s="414">
        <f t="shared" si="45"/>
        <v>0</v>
      </c>
      <c r="DJ130" s="414"/>
      <c r="DK130" s="414"/>
      <c r="DL130" s="414"/>
      <c r="DM130" s="414"/>
      <c r="DN130" s="414"/>
      <c r="DO130" s="414"/>
      <c r="DP130" s="414"/>
      <c r="DQ130" s="414"/>
      <c r="DS130" s="414"/>
      <c r="DT130" s="414"/>
      <c r="DU130" s="414"/>
      <c r="DV130" s="414"/>
      <c r="DW130" s="414"/>
      <c r="DX130" s="414"/>
      <c r="DY130" s="414"/>
      <c r="DZ130" s="414"/>
      <c r="EB130" s="415">
        <f t="shared" si="29"/>
        <v>0</v>
      </c>
      <c r="EC130" s="415">
        <f t="shared" si="30"/>
        <v>0</v>
      </c>
      <c r="ED130" s="416">
        <f t="shared" si="46"/>
        <v>0</v>
      </c>
    </row>
    <row r="131" spans="1:134" hidden="1" x14ac:dyDescent="0.35">
      <c r="A131" s="17">
        <v>3377</v>
      </c>
      <c r="B131" s="4">
        <v>103463</v>
      </c>
      <c r="C131" s="4" t="s">
        <v>148</v>
      </c>
      <c r="D131" s="4" t="s">
        <v>149</v>
      </c>
      <c r="E131" s="15" t="s">
        <v>32</v>
      </c>
      <c r="F131" s="16" t="s">
        <v>27</v>
      </c>
      <c r="G131" s="215"/>
      <c r="H131" s="363">
        <v>0</v>
      </c>
      <c r="I131" s="410"/>
      <c r="J131" s="363">
        <v>0</v>
      </c>
      <c r="K131" s="363">
        <v>0</v>
      </c>
      <c r="L131" s="363">
        <v>27592.5</v>
      </c>
      <c r="M131" s="363">
        <v>2925</v>
      </c>
      <c r="N131" s="363">
        <v>0</v>
      </c>
      <c r="O131" s="363">
        <v>0</v>
      </c>
      <c r="P131" s="215">
        <f t="shared" si="31"/>
        <v>30517.5</v>
      </c>
      <c r="Q131" s="363">
        <f t="shared" si="32"/>
        <v>24414</v>
      </c>
      <c r="R131" s="410"/>
      <c r="S131" s="363">
        <v>0</v>
      </c>
      <c r="T131" s="363">
        <v>0</v>
      </c>
      <c r="U131" s="363">
        <v>17659.2</v>
      </c>
      <c r="V131" s="363">
        <v>2145</v>
      </c>
      <c r="W131" s="363">
        <v>0</v>
      </c>
      <c r="X131" s="363">
        <v>0</v>
      </c>
      <c r="Y131" s="363">
        <f t="shared" si="33"/>
        <v>19804.2</v>
      </c>
      <c r="Z131" s="363">
        <f t="shared" si="34"/>
        <v>15843.36</v>
      </c>
      <c r="AA131" s="410"/>
      <c r="AB131" s="411">
        <v>0</v>
      </c>
      <c r="AC131" s="411">
        <v>0</v>
      </c>
      <c r="AD131" s="411">
        <v>19303.578947368424</v>
      </c>
      <c r="AE131" s="411">
        <v>2160</v>
      </c>
      <c r="AF131" s="411">
        <v>0</v>
      </c>
      <c r="AG131" s="411">
        <v>0</v>
      </c>
      <c r="AH131" s="363">
        <f t="shared" si="35"/>
        <v>21463.578947368424</v>
      </c>
      <c r="AI131" s="411">
        <f t="shared" si="36"/>
        <v>17170.863157894739</v>
      </c>
      <c r="AJ131" s="410"/>
      <c r="AK131" s="411">
        <v>1885.65</v>
      </c>
      <c r="AL131" s="411">
        <v>1421.5499999999997</v>
      </c>
      <c r="AM131" s="411">
        <v>1358.5263157894738</v>
      </c>
      <c r="AN131" s="410"/>
      <c r="AO131" s="411">
        <f t="shared" si="37"/>
        <v>1508.5200000000002</v>
      </c>
      <c r="AP131" s="411">
        <f t="shared" si="37"/>
        <v>1137.2399999999998</v>
      </c>
      <c r="AQ131" s="411">
        <f t="shared" si="37"/>
        <v>1086.8210526315791</v>
      </c>
      <c r="AR131" s="412"/>
      <c r="AS131" s="412">
        <v>0</v>
      </c>
      <c r="AT131" s="413">
        <f t="shared" si="38"/>
        <v>0</v>
      </c>
      <c r="AU131" s="412"/>
      <c r="AV131" s="412">
        <v>0</v>
      </c>
      <c r="AW131" s="412">
        <v>0</v>
      </c>
      <c r="AX131" s="412">
        <v>20970.3</v>
      </c>
      <c r="AY131" s="412">
        <v>2535</v>
      </c>
      <c r="AZ131" s="412">
        <v>0</v>
      </c>
      <c r="BA131" s="412">
        <v>0</v>
      </c>
      <c r="BB131" s="412">
        <v>1834.9499999999998</v>
      </c>
      <c r="BC131" s="412">
        <f t="shared" si="39"/>
        <v>25340.25</v>
      </c>
      <c r="BE131" s="205">
        <f t="shared" si="50"/>
        <v>0</v>
      </c>
      <c r="BF131" s="205">
        <f t="shared" si="50"/>
        <v>0</v>
      </c>
      <c r="BG131" s="205">
        <f t="shared" si="50"/>
        <v>-6622.2000000000007</v>
      </c>
      <c r="BH131" s="205">
        <f t="shared" si="49"/>
        <v>-390</v>
      </c>
      <c r="BI131" s="205">
        <f t="shared" si="49"/>
        <v>0</v>
      </c>
      <c r="BJ131" s="205">
        <f t="shared" si="49"/>
        <v>0</v>
      </c>
      <c r="BK131" s="205">
        <f t="shared" si="40"/>
        <v>-50.700000000000273</v>
      </c>
      <c r="BL131" s="205">
        <f t="shared" si="41"/>
        <v>-7062.9000000000015</v>
      </c>
      <c r="BM131" s="215">
        <f t="shared" si="42"/>
        <v>0</v>
      </c>
      <c r="BN131" s="215"/>
      <c r="BO131" s="412">
        <f t="shared" si="51"/>
        <v>0</v>
      </c>
      <c r="BP131" s="412">
        <f t="shared" si="51"/>
        <v>0</v>
      </c>
      <c r="BQ131" s="412">
        <f t="shared" si="51"/>
        <v>-1103.7000000000007</v>
      </c>
      <c r="BR131" s="412">
        <f t="shared" si="51"/>
        <v>195</v>
      </c>
      <c r="BS131" s="412">
        <f t="shared" si="51"/>
        <v>0</v>
      </c>
      <c r="BT131" s="412">
        <f t="shared" si="51"/>
        <v>0</v>
      </c>
      <c r="BU131" s="412">
        <f t="shared" si="48"/>
        <v>326.42999999999961</v>
      </c>
      <c r="BV131" s="412">
        <f t="shared" si="43"/>
        <v>-582.27000000000112</v>
      </c>
      <c r="BW131" s="412">
        <f t="shared" si="28"/>
        <v>0</v>
      </c>
      <c r="BX131" s="412"/>
      <c r="BY131" s="412">
        <f t="shared" si="44"/>
        <v>25340.25</v>
      </c>
      <c r="BZ131" s="412"/>
      <c r="CA131" s="412">
        <f>IFERROR(VLOOKUP(A131,'Actuals Summer'!A:S,19,FALSE),0)</f>
        <v>25340.25</v>
      </c>
      <c r="CC131" s="412"/>
      <c r="CD131" s="412"/>
      <c r="CE131" s="412"/>
      <c r="CF131" s="412"/>
      <c r="CG131" s="412"/>
      <c r="CH131" s="412"/>
      <c r="CI131" s="412"/>
      <c r="CJ131" s="412"/>
      <c r="CK131" s="412"/>
      <c r="CL131" s="412"/>
      <c r="CM131" s="412"/>
      <c r="CN131" s="412"/>
      <c r="CO131" s="412"/>
      <c r="CQ131" s="363"/>
      <c r="CR131" s="363"/>
      <c r="CS131" s="363"/>
      <c r="CT131" s="363"/>
      <c r="CU131" s="363"/>
      <c r="CV131" s="363"/>
      <c r="CW131" s="363"/>
      <c r="CX131" s="363"/>
      <c r="CZ131" s="414"/>
      <c r="DA131" s="414"/>
      <c r="DB131" s="414"/>
      <c r="DC131" s="414"/>
      <c r="DD131" s="414"/>
      <c r="DE131" s="414"/>
      <c r="DF131" s="414"/>
      <c r="DG131" s="414"/>
      <c r="DI131" s="414">
        <f t="shared" si="45"/>
        <v>0</v>
      </c>
      <c r="DJ131" s="414"/>
      <c r="DK131" s="414"/>
      <c r="DL131" s="414"/>
      <c r="DM131" s="414"/>
      <c r="DN131" s="414"/>
      <c r="DO131" s="414"/>
      <c r="DP131" s="414"/>
      <c r="DQ131" s="414"/>
      <c r="DS131" s="414"/>
      <c r="DT131" s="414"/>
      <c r="DU131" s="414"/>
      <c r="DV131" s="414"/>
      <c r="DW131" s="414"/>
      <c r="DX131" s="414"/>
      <c r="DY131" s="414"/>
      <c r="DZ131" s="414"/>
      <c r="EB131" s="415">
        <f t="shared" si="29"/>
        <v>60578.534210526319</v>
      </c>
      <c r="EC131" s="415">
        <f t="shared" si="30"/>
        <v>0</v>
      </c>
      <c r="ED131" s="416">
        <f t="shared" si="46"/>
        <v>60578.534210526319</v>
      </c>
    </row>
    <row r="132" spans="1:134" hidden="1" x14ac:dyDescent="0.35">
      <c r="A132" s="17">
        <v>3371</v>
      </c>
      <c r="B132" s="4">
        <v>103459</v>
      </c>
      <c r="C132" s="4" t="s">
        <v>1016</v>
      </c>
      <c r="D132" s="4" t="s">
        <v>1017</v>
      </c>
      <c r="E132" s="15" t="s">
        <v>32</v>
      </c>
      <c r="F132" s="16" t="s">
        <v>27</v>
      </c>
      <c r="G132" s="215"/>
      <c r="H132" s="363">
        <v>0</v>
      </c>
      <c r="I132" s="410"/>
      <c r="J132" s="363">
        <v>0</v>
      </c>
      <c r="K132" s="363">
        <v>0</v>
      </c>
      <c r="L132" s="363">
        <v>0</v>
      </c>
      <c r="M132" s="363">
        <v>0</v>
      </c>
      <c r="N132" s="363">
        <v>0</v>
      </c>
      <c r="O132" s="363">
        <v>0</v>
      </c>
      <c r="P132" s="215">
        <f t="shared" si="31"/>
        <v>0</v>
      </c>
      <c r="Q132" s="363">
        <f t="shared" si="32"/>
        <v>0</v>
      </c>
      <c r="R132" s="410"/>
      <c r="S132" s="363">
        <v>0</v>
      </c>
      <c r="T132" s="363">
        <v>0</v>
      </c>
      <c r="U132" s="363">
        <v>0</v>
      </c>
      <c r="V132" s="363">
        <v>0</v>
      </c>
      <c r="W132" s="363">
        <v>0</v>
      </c>
      <c r="X132" s="363">
        <v>0</v>
      </c>
      <c r="Y132" s="363">
        <f t="shared" si="33"/>
        <v>0</v>
      </c>
      <c r="Z132" s="363">
        <f t="shared" si="34"/>
        <v>0</v>
      </c>
      <c r="AA132" s="410"/>
      <c r="AB132" s="411">
        <v>0</v>
      </c>
      <c r="AC132" s="411">
        <v>0</v>
      </c>
      <c r="AD132" s="411">
        <v>0</v>
      </c>
      <c r="AE132" s="411">
        <v>0</v>
      </c>
      <c r="AF132" s="411">
        <v>0</v>
      </c>
      <c r="AG132" s="411">
        <v>0</v>
      </c>
      <c r="AH132" s="363">
        <f t="shared" si="35"/>
        <v>0</v>
      </c>
      <c r="AI132" s="411">
        <f t="shared" si="36"/>
        <v>0</v>
      </c>
      <c r="AJ132" s="410"/>
      <c r="AK132" s="411">
        <v>0</v>
      </c>
      <c r="AL132" s="411">
        <v>0</v>
      </c>
      <c r="AM132" s="411">
        <v>0</v>
      </c>
      <c r="AN132" s="410"/>
      <c r="AO132" s="411">
        <f t="shared" si="37"/>
        <v>0</v>
      </c>
      <c r="AP132" s="411">
        <f t="shared" si="37"/>
        <v>0</v>
      </c>
      <c r="AQ132" s="411">
        <f t="shared" si="37"/>
        <v>0</v>
      </c>
      <c r="AR132" s="412"/>
      <c r="AS132" s="412">
        <v>0</v>
      </c>
      <c r="AT132" s="413">
        <f t="shared" si="38"/>
        <v>0</v>
      </c>
      <c r="AU132" s="412"/>
      <c r="AV132" s="412">
        <v>0</v>
      </c>
      <c r="AW132" s="412">
        <v>0</v>
      </c>
      <c r="AX132" s="412">
        <v>0</v>
      </c>
      <c r="AY132" s="412">
        <v>0</v>
      </c>
      <c r="AZ132" s="412">
        <v>0</v>
      </c>
      <c r="BA132" s="412">
        <v>0</v>
      </c>
      <c r="BB132" s="412">
        <v>0</v>
      </c>
      <c r="BC132" s="412">
        <f t="shared" si="39"/>
        <v>0</v>
      </c>
      <c r="BE132" s="205">
        <f t="shared" si="50"/>
        <v>0</v>
      </c>
      <c r="BF132" s="205">
        <f t="shared" si="50"/>
        <v>0</v>
      </c>
      <c r="BG132" s="205">
        <f t="shared" si="50"/>
        <v>0</v>
      </c>
      <c r="BH132" s="205">
        <f t="shared" si="49"/>
        <v>0</v>
      </c>
      <c r="BI132" s="205">
        <f t="shared" si="49"/>
        <v>0</v>
      </c>
      <c r="BJ132" s="205">
        <f t="shared" si="49"/>
        <v>0</v>
      </c>
      <c r="BK132" s="205">
        <f t="shared" si="40"/>
        <v>0</v>
      </c>
      <c r="BL132" s="205">
        <f t="shared" si="41"/>
        <v>0</v>
      </c>
      <c r="BM132" s="215">
        <f t="shared" si="42"/>
        <v>0</v>
      </c>
      <c r="BN132" s="215"/>
      <c r="BO132" s="412">
        <f t="shared" si="51"/>
        <v>0</v>
      </c>
      <c r="BP132" s="412">
        <f t="shared" si="51"/>
        <v>0</v>
      </c>
      <c r="BQ132" s="412">
        <f t="shared" si="51"/>
        <v>0</v>
      </c>
      <c r="BR132" s="412">
        <f t="shared" si="51"/>
        <v>0</v>
      </c>
      <c r="BS132" s="412">
        <f t="shared" si="51"/>
        <v>0</v>
      </c>
      <c r="BT132" s="412">
        <f t="shared" si="51"/>
        <v>0</v>
      </c>
      <c r="BU132" s="412">
        <f t="shared" si="48"/>
        <v>0</v>
      </c>
      <c r="BV132" s="412">
        <f t="shared" si="43"/>
        <v>0</v>
      </c>
      <c r="BW132" s="412">
        <f t="shared" si="28"/>
        <v>0</v>
      </c>
      <c r="BX132" s="412"/>
      <c r="BY132" s="412">
        <f t="shared" si="44"/>
        <v>0</v>
      </c>
      <c r="BZ132" s="412"/>
      <c r="CA132" s="412">
        <f>IFERROR(VLOOKUP(A132,'Actuals Summer'!A:S,19,FALSE),0)</f>
        <v>0</v>
      </c>
      <c r="CC132" s="412"/>
      <c r="CD132" s="412"/>
      <c r="CE132" s="412"/>
      <c r="CF132" s="412"/>
      <c r="CG132" s="412"/>
      <c r="CH132" s="412"/>
      <c r="CI132" s="412"/>
      <c r="CJ132" s="412"/>
      <c r="CK132" s="412"/>
      <c r="CL132" s="412"/>
      <c r="CM132" s="412"/>
      <c r="CN132" s="412"/>
      <c r="CO132" s="412"/>
      <c r="CQ132" s="363"/>
      <c r="CR132" s="363"/>
      <c r="CS132" s="363"/>
      <c r="CT132" s="363"/>
      <c r="CU132" s="363"/>
      <c r="CV132" s="363"/>
      <c r="CW132" s="363"/>
      <c r="CX132" s="363"/>
      <c r="CZ132" s="414"/>
      <c r="DA132" s="414"/>
      <c r="DB132" s="414"/>
      <c r="DC132" s="414"/>
      <c r="DD132" s="414"/>
      <c r="DE132" s="414"/>
      <c r="DF132" s="414"/>
      <c r="DG132" s="414"/>
      <c r="DI132" s="414">
        <f t="shared" si="45"/>
        <v>0</v>
      </c>
      <c r="DJ132" s="414"/>
      <c r="DK132" s="414"/>
      <c r="DL132" s="414"/>
      <c r="DM132" s="414"/>
      <c r="DN132" s="414"/>
      <c r="DO132" s="414"/>
      <c r="DP132" s="414"/>
      <c r="DQ132" s="414"/>
      <c r="DS132" s="414"/>
      <c r="DT132" s="414"/>
      <c r="DU132" s="414"/>
      <c r="DV132" s="414"/>
      <c r="DW132" s="414"/>
      <c r="DX132" s="414"/>
      <c r="DY132" s="414"/>
      <c r="DZ132" s="414"/>
      <c r="EB132" s="415">
        <f t="shared" si="29"/>
        <v>0</v>
      </c>
      <c r="EC132" s="415">
        <f t="shared" si="30"/>
        <v>0</v>
      </c>
      <c r="ED132" s="416">
        <f t="shared" si="46"/>
        <v>0</v>
      </c>
    </row>
    <row r="133" spans="1:134" hidden="1" x14ac:dyDescent="0.35">
      <c r="A133" s="17">
        <v>3307</v>
      </c>
      <c r="B133" s="4">
        <v>103416</v>
      </c>
      <c r="C133" s="4" t="s">
        <v>1018</v>
      </c>
      <c r="D133" s="4" t="s">
        <v>1019</v>
      </c>
      <c r="E133" s="15" t="s">
        <v>32</v>
      </c>
      <c r="F133" s="16" t="s">
        <v>27</v>
      </c>
      <c r="G133" s="215"/>
      <c r="H133" s="363">
        <v>0</v>
      </c>
      <c r="I133" s="410"/>
      <c r="J133" s="363">
        <v>0</v>
      </c>
      <c r="K133" s="363">
        <v>0</v>
      </c>
      <c r="L133" s="363">
        <v>0</v>
      </c>
      <c r="M133" s="363">
        <v>0</v>
      </c>
      <c r="N133" s="363">
        <v>0</v>
      </c>
      <c r="O133" s="363">
        <v>0</v>
      </c>
      <c r="P133" s="215">
        <f t="shared" si="31"/>
        <v>0</v>
      </c>
      <c r="Q133" s="363">
        <f t="shared" si="32"/>
        <v>0</v>
      </c>
      <c r="R133" s="410"/>
      <c r="S133" s="363">
        <v>0</v>
      </c>
      <c r="T133" s="363">
        <v>0</v>
      </c>
      <c r="U133" s="363">
        <v>0</v>
      </c>
      <c r="V133" s="363">
        <v>0</v>
      </c>
      <c r="W133" s="363">
        <v>0</v>
      </c>
      <c r="X133" s="363">
        <v>0</v>
      </c>
      <c r="Y133" s="363">
        <f t="shared" si="33"/>
        <v>0</v>
      </c>
      <c r="Z133" s="363">
        <f t="shared" si="34"/>
        <v>0</v>
      </c>
      <c r="AA133" s="410"/>
      <c r="AB133" s="411">
        <v>0</v>
      </c>
      <c r="AC133" s="411">
        <v>0</v>
      </c>
      <c r="AD133" s="411">
        <v>0</v>
      </c>
      <c r="AE133" s="411">
        <v>0</v>
      </c>
      <c r="AF133" s="411">
        <v>0</v>
      </c>
      <c r="AG133" s="411">
        <v>0</v>
      </c>
      <c r="AH133" s="363">
        <f t="shared" si="35"/>
        <v>0</v>
      </c>
      <c r="AI133" s="411">
        <f t="shared" si="36"/>
        <v>0</v>
      </c>
      <c r="AJ133" s="410"/>
      <c r="AK133" s="411">
        <v>0</v>
      </c>
      <c r="AL133" s="411">
        <v>0</v>
      </c>
      <c r="AM133" s="411">
        <v>0</v>
      </c>
      <c r="AN133" s="410"/>
      <c r="AO133" s="411">
        <f t="shared" si="37"/>
        <v>0</v>
      </c>
      <c r="AP133" s="411">
        <f t="shared" si="37"/>
        <v>0</v>
      </c>
      <c r="AQ133" s="411">
        <f t="shared" si="37"/>
        <v>0</v>
      </c>
      <c r="AR133" s="412"/>
      <c r="AS133" s="412">
        <v>0</v>
      </c>
      <c r="AT133" s="413">
        <f t="shared" si="38"/>
        <v>0</v>
      </c>
      <c r="AU133" s="412"/>
      <c r="AV133" s="412">
        <v>0</v>
      </c>
      <c r="AW133" s="412">
        <v>0</v>
      </c>
      <c r="AX133" s="412">
        <v>0</v>
      </c>
      <c r="AY133" s="412">
        <v>0</v>
      </c>
      <c r="AZ133" s="412">
        <v>0</v>
      </c>
      <c r="BA133" s="412">
        <v>0</v>
      </c>
      <c r="BB133" s="412">
        <v>0</v>
      </c>
      <c r="BC133" s="412">
        <f t="shared" si="39"/>
        <v>0</v>
      </c>
      <c r="BE133" s="205">
        <f t="shared" si="50"/>
        <v>0</v>
      </c>
      <c r="BF133" s="205">
        <f t="shared" si="50"/>
        <v>0</v>
      </c>
      <c r="BG133" s="205">
        <f t="shared" si="50"/>
        <v>0</v>
      </c>
      <c r="BH133" s="205">
        <f t="shared" si="49"/>
        <v>0</v>
      </c>
      <c r="BI133" s="205">
        <f t="shared" si="49"/>
        <v>0</v>
      </c>
      <c r="BJ133" s="205">
        <f t="shared" si="49"/>
        <v>0</v>
      </c>
      <c r="BK133" s="205">
        <f t="shared" si="40"/>
        <v>0</v>
      </c>
      <c r="BL133" s="205">
        <f t="shared" si="41"/>
        <v>0</v>
      </c>
      <c r="BM133" s="215">
        <f t="shared" si="42"/>
        <v>0</v>
      </c>
      <c r="BN133" s="215"/>
      <c r="BO133" s="412">
        <f t="shared" si="51"/>
        <v>0</v>
      </c>
      <c r="BP133" s="412">
        <f t="shared" si="51"/>
        <v>0</v>
      </c>
      <c r="BQ133" s="412">
        <f t="shared" si="51"/>
        <v>0</v>
      </c>
      <c r="BR133" s="412">
        <f t="shared" si="51"/>
        <v>0</v>
      </c>
      <c r="BS133" s="412">
        <f t="shared" si="51"/>
        <v>0</v>
      </c>
      <c r="BT133" s="412">
        <f t="shared" si="51"/>
        <v>0</v>
      </c>
      <c r="BU133" s="412">
        <f t="shared" si="48"/>
        <v>0</v>
      </c>
      <c r="BV133" s="412">
        <f t="shared" si="43"/>
        <v>0</v>
      </c>
      <c r="BW133" s="412">
        <f t="shared" si="28"/>
        <v>0</v>
      </c>
      <c r="BX133" s="412"/>
      <c r="BY133" s="412">
        <f t="shared" si="44"/>
        <v>0</v>
      </c>
      <c r="BZ133" s="412"/>
      <c r="CA133" s="412">
        <f>IFERROR(VLOOKUP(A133,'Actuals Summer'!A:S,19,FALSE),0)</f>
        <v>0</v>
      </c>
      <c r="CC133" s="412"/>
      <c r="CD133" s="412"/>
      <c r="CE133" s="412"/>
      <c r="CF133" s="412"/>
      <c r="CG133" s="412"/>
      <c r="CH133" s="412"/>
      <c r="CI133" s="412"/>
      <c r="CJ133" s="412"/>
      <c r="CK133" s="412"/>
      <c r="CL133" s="412"/>
      <c r="CM133" s="412"/>
      <c r="CN133" s="412"/>
      <c r="CO133" s="412"/>
      <c r="CQ133" s="363"/>
      <c r="CR133" s="363"/>
      <c r="CS133" s="363"/>
      <c r="CT133" s="363"/>
      <c r="CU133" s="363"/>
      <c r="CV133" s="363"/>
      <c r="CW133" s="363"/>
      <c r="CX133" s="363"/>
      <c r="CZ133" s="414"/>
      <c r="DA133" s="414"/>
      <c r="DB133" s="414"/>
      <c r="DC133" s="414"/>
      <c r="DD133" s="414"/>
      <c r="DE133" s="414"/>
      <c r="DF133" s="414"/>
      <c r="DG133" s="414"/>
      <c r="DI133" s="414">
        <f t="shared" si="45"/>
        <v>0</v>
      </c>
      <c r="DJ133" s="414"/>
      <c r="DK133" s="414"/>
      <c r="DL133" s="414"/>
      <c r="DM133" s="414"/>
      <c r="DN133" s="414"/>
      <c r="DO133" s="414"/>
      <c r="DP133" s="414"/>
      <c r="DQ133" s="414"/>
      <c r="DS133" s="414"/>
      <c r="DT133" s="414"/>
      <c r="DU133" s="414"/>
      <c r="DV133" s="414"/>
      <c r="DW133" s="414"/>
      <c r="DX133" s="414"/>
      <c r="DY133" s="414"/>
      <c r="DZ133" s="414"/>
      <c r="EB133" s="415">
        <f t="shared" si="29"/>
        <v>0</v>
      </c>
      <c r="EC133" s="415">
        <f t="shared" si="30"/>
        <v>0</v>
      </c>
      <c r="ED133" s="416">
        <f t="shared" si="46"/>
        <v>0</v>
      </c>
    </row>
    <row r="134" spans="1:134" hidden="1" x14ac:dyDescent="0.35">
      <c r="A134" s="17">
        <v>3361</v>
      </c>
      <c r="B134" s="4">
        <v>103453</v>
      </c>
      <c r="C134" s="4" t="s">
        <v>150</v>
      </c>
      <c r="D134" s="4" t="s">
        <v>151</v>
      </c>
      <c r="E134" s="15" t="s">
        <v>32</v>
      </c>
      <c r="F134" s="16" t="s">
        <v>27</v>
      </c>
      <c r="G134" s="215"/>
      <c r="H134" s="363">
        <v>0</v>
      </c>
      <c r="I134" s="410"/>
      <c r="J134" s="363">
        <v>0</v>
      </c>
      <c r="K134" s="363">
        <v>0</v>
      </c>
      <c r="L134" s="363">
        <v>32007.300000000003</v>
      </c>
      <c r="M134" s="363">
        <v>1950</v>
      </c>
      <c r="N134" s="363">
        <v>745.78947368421052</v>
      </c>
      <c r="O134" s="363">
        <v>0</v>
      </c>
      <c r="P134" s="215">
        <f t="shared" si="31"/>
        <v>34703.089473684217</v>
      </c>
      <c r="Q134" s="363">
        <f t="shared" si="32"/>
        <v>27762.471578947374</v>
      </c>
      <c r="R134" s="410"/>
      <c r="S134" s="363">
        <v>0</v>
      </c>
      <c r="T134" s="363">
        <v>0</v>
      </c>
      <c r="U134" s="363">
        <v>28696.2</v>
      </c>
      <c r="V134" s="363">
        <v>1560</v>
      </c>
      <c r="W134" s="363">
        <v>596.63157894736844</v>
      </c>
      <c r="X134" s="363">
        <v>0</v>
      </c>
      <c r="Y134" s="363">
        <f t="shared" si="33"/>
        <v>30852.831578947371</v>
      </c>
      <c r="Z134" s="363">
        <f t="shared" si="34"/>
        <v>24682.265263157897</v>
      </c>
      <c r="AA134" s="410"/>
      <c r="AB134" s="411">
        <v>0</v>
      </c>
      <c r="AC134" s="411">
        <v>0</v>
      </c>
      <c r="AD134" s="411">
        <v>26703.284210526319</v>
      </c>
      <c r="AE134" s="411">
        <v>1477.8947368421054</v>
      </c>
      <c r="AF134" s="411">
        <v>565.22991689750688</v>
      </c>
      <c r="AG134" s="411">
        <v>0</v>
      </c>
      <c r="AH134" s="363">
        <f t="shared" si="35"/>
        <v>28746.408864265934</v>
      </c>
      <c r="AI134" s="411">
        <f t="shared" si="36"/>
        <v>22997.127091412749</v>
      </c>
      <c r="AJ134" s="410"/>
      <c r="AK134" s="411">
        <v>840.45</v>
      </c>
      <c r="AL134" s="411">
        <v>908.7</v>
      </c>
      <c r="AM134" s="411">
        <v>759.41052631578941</v>
      </c>
      <c r="AN134" s="410"/>
      <c r="AO134" s="411">
        <f t="shared" si="37"/>
        <v>672.36000000000013</v>
      </c>
      <c r="AP134" s="411">
        <f t="shared" si="37"/>
        <v>726.96</v>
      </c>
      <c r="AQ134" s="411">
        <f t="shared" si="37"/>
        <v>607.52842105263153</v>
      </c>
      <c r="AR134" s="412"/>
      <c r="AS134" s="412">
        <v>0</v>
      </c>
      <c r="AT134" s="413">
        <f t="shared" si="38"/>
        <v>0</v>
      </c>
      <c r="AU134" s="412"/>
      <c r="AV134" s="412">
        <v>0</v>
      </c>
      <c r="AW134" s="412">
        <v>0</v>
      </c>
      <c r="AX134" s="412">
        <v>27592.5</v>
      </c>
      <c r="AY134" s="412">
        <v>1950</v>
      </c>
      <c r="AZ134" s="412">
        <v>745.78947368421052</v>
      </c>
      <c r="BA134" s="412">
        <v>0</v>
      </c>
      <c r="BB134" s="412">
        <v>908.7</v>
      </c>
      <c r="BC134" s="412">
        <f t="shared" si="39"/>
        <v>31196.989473684211</v>
      </c>
      <c r="BE134" s="205">
        <f t="shared" si="50"/>
        <v>0</v>
      </c>
      <c r="BF134" s="205">
        <f t="shared" si="50"/>
        <v>0</v>
      </c>
      <c r="BG134" s="205">
        <f t="shared" si="50"/>
        <v>-4414.8000000000029</v>
      </c>
      <c r="BH134" s="205">
        <f t="shared" si="49"/>
        <v>0</v>
      </c>
      <c r="BI134" s="205">
        <f t="shared" si="49"/>
        <v>0</v>
      </c>
      <c r="BJ134" s="205">
        <f t="shared" si="49"/>
        <v>0</v>
      </c>
      <c r="BK134" s="205">
        <f t="shared" si="40"/>
        <v>68.25</v>
      </c>
      <c r="BL134" s="205">
        <f t="shared" si="41"/>
        <v>-4346.5500000000029</v>
      </c>
      <c r="BM134" s="215">
        <f t="shared" si="42"/>
        <v>0</v>
      </c>
      <c r="BN134" s="215"/>
      <c r="BO134" s="412">
        <f t="shared" si="51"/>
        <v>0</v>
      </c>
      <c r="BP134" s="412">
        <f t="shared" si="51"/>
        <v>0</v>
      </c>
      <c r="BQ134" s="412">
        <f t="shared" si="51"/>
        <v>1986.6599999999962</v>
      </c>
      <c r="BR134" s="412">
        <f t="shared" si="51"/>
        <v>390</v>
      </c>
      <c r="BS134" s="412">
        <f t="shared" si="51"/>
        <v>149.15789473684208</v>
      </c>
      <c r="BT134" s="412">
        <f t="shared" si="51"/>
        <v>0</v>
      </c>
      <c r="BU134" s="412">
        <f t="shared" si="48"/>
        <v>236.33999999999992</v>
      </c>
      <c r="BV134" s="412">
        <f t="shared" si="43"/>
        <v>2762.157894736838</v>
      </c>
      <c r="BW134" s="412">
        <f t="shared" si="28"/>
        <v>0</v>
      </c>
      <c r="BX134" s="412"/>
      <c r="BY134" s="412">
        <f t="shared" si="44"/>
        <v>31196.989473684211</v>
      </c>
      <c r="BZ134" s="412"/>
      <c r="CA134" s="412">
        <f>IFERROR(VLOOKUP(A134,'Actuals Summer'!A:S,19,FALSE),0)</f>
        <v>31196.989473684211</v>
      </c>
      <c r="CC134" s="412"/>
      <c r="CD134" s="412"/>
      <c r="CE134" s="412"/>
      <c r="CF134" s="412"/>
      <c r="CG134" s="412"/>
      <c r="CH134" s="412"/>
      <c r="CI134" s="412"/>
      <c r="CJ134" s="412"/>
      <c r="CK134" s="412"/>
      <c r="CL134" s="412"/>
      <c r="CM134" s="412"/>
      <c r="CN134" s="412"/>
      <c r="CO134" s="412"/>
      <c r="CQ134" s="363"/>
      <c r="CR134" s="363"/>
      <c r="CS134" s="363"/>
      <c r="CT134" s="363"/>
      <c r="CU134" s="363"/>
      <c r="CV134" s="363"/>
      <c r="CW134" s="363"/>
      <c r="CX134" s="363"/>
      <c r="CZ134" s="414"/>
      <c r="DA134" s="414"/>
      <c r="DB134" s="414"/>
      <c r="DC134" s="414"/>
      <c r="DD134" s="414"/>
      <c r="DE134" s="414"/>
      <c r="DF134" s="414"/>
      <c r="DG134" s="414"/>
      <c r="DI134" s="414">
        <f t="shared" si="45"/>
        <v>0</v>
      </c>
      <c r="DJ134" s="414"/>
      <c r="DK134" s="414"/>
      <c r="DL134" s="414"/>
      <c r="DM134" s="414"/>
      <c r="DN134" s="414"/>
      <c r="DO134" s="414"/>
      <c r="DP134" s="414"/>
      <c r="DQ134" s="414"/>
      <c r="DS134" s="414"/>
      <c r="DT134" s="414"/>
      <c r="DU134" s="414"/>
      <c r="DV134" s="414"/>
      <c r="DW134" s="414"/>
      <c r="DX134" s="414"/>
      <c r="DY134" s="414"/>
      <c r="DZ134" s="414"/>
      <c r="EB134" s="415">
        <f t="shared" si="29"/>
        <v>80210.870249307482</v>
      </c>
      <c r="EC134" s="415">
        <f t="shared" si="30"/>
        <v>0</v>
      </c>
      <c r="ED134" s="416">
        <f t="shared" si="46"/>
        <v>80210.870249307482</v>
      </c>
    </row>
    <row r="135" spans="1:134" hidden="1" x14ac:dyDescent="0.35">
      <c r="A135" s="17">
        <v>3344</v>
      </c>
      <c r="B135" s="4">
        <v>103438</v>
      </c>
      <c r="C135" s="4" t="s">
        <v>1020</v>
      </c>
      <c r="D135" s="4" t="s">
        <v>1021</v>
      </c>
      <c r="E135" s="15" t="s">
        <v>32</v>
      </c>
      <c r="F135" s="16" t="s">
        <v>27</v>
      </c>
      <c r="G135" s="215"/>
      <c r="H135" s="363">
        <v>0</v>
      </c>
      <c r="I135" s="410"/>
      <c r="J135" s="363">
        <v>0</v>
      </c>
      <c r="K135" s="363">
        <v>0</v>
      </c>
      <c r="L135" s="363">
        <v>0</v>
      </c>
      <c r="M135" s="363">
        <v>0</v>
      </c>
      <c r="N135" s="363">
        <v>0</v>
      </c>
      <c r="O135" s="363">
        <v>0</v>
      </c>
      <c r="P135" s="215">
        <f t="shared" si="31"/>
        <v>0</v>
      </c>
      <c r="Q135" s="363">
        <f t="shared" si="32"/>
        <v>0</v>
      </c>
      <c r="R135" s="410"/>
      <c r="S135" s="363">
        <v>0</v>
      </c>
      <c r="T135" s="363">
        <v>0</v>
      </c>
      <c r="U135" s="363">
        <v>0</v>
      </c>
      <c r="V135" s="363">
        <v>0</v>
      </c>
      <c r="W135" s="363">
        <v>0</v>
      </c>
      <c r="X135" s="363">
        <v>0</v>
      </c>
      <c r="Y135" s="363">
        <f t="shared" si="33"/>
        <v>0</v>
      </c>
      <c r="Z135" s="363">
        <f t="shared" si="34"/>
        <v>0</v>
      </c>
      <c r="AA135" s="410"/>
      <c r="AB135" s="411">
        <v>0</v>
      </c>
      <c r="AC135" s="411">
        <v>0</v>
      </c>
      <c r="AD135" s="411">
        <v>0</v>
      </c>
      <c r="AE135" s="411">
        <v>0</v>
      </c>
      <c r="AF135" s="411">
        <v>0</v>
      </c>
      <c r="AG135" s="411">
        <v>0</v>
      </c>
      <c r="AH135" s="363">
        <f t="shared" si="35"/>
        <v>0</v>
      </c>
      <c r="AI135" s="411">
        <f t="shared" si="36"/>
        <v>0</v>
      </c>
      <c r="AJ135" s="410"/>
      <c r="AK135" s="411">
        <v>0</v>
      </c>
      <c r="AL135" s="411">
        <v>0</v>
      </c>
      <c r="AM135" s="411">
        <v>0</v>
      </c>
      <c r="AN135" s="410"/>
      <c r="AO135" s="411">
        <f t="shared" si="37"/>
        <v>0</v>
      </c>
      <c r="AP135" s="411">
        <f t="shared" si="37"/>
        <v>0</v>
      </c>
      <c r="AQ135" s="411">
        <f t="shared" si="37"/>
        <v>0</v>
      </c>
      <c r="AR135" s="412"/>
      <c r="AS135" s="412">
        <v>0</v>
      </c>
      <c r="AT135" s="413">
        <f t="shared" si="38"/>
        <v>0</v>
      </c>
      <c r="AU135" s="412"/>
      <c r="AV135" s="412">
        <v>0</v>
      </c>
      <c r="AW135" s="412">
        <v>0</v>
      </c>
      <c r="AX135" s="412">
        <v>0</v>
      </c>
      <c r="AY135" s="412">
        <v>0</v>
      </c>
      <c r="AZ135" s="412">
        <v>0</v>
      </c>
      <c r="BA135" s="412">
        <v>0</v>
      </c>
      <c r="BB135" s="412">
        <v>0</v>
      </c>
      <c r="BC135" s="412">
        <f t="shared" si="39"/>
        <v>0</v>
      </c>
      <c r="BE135" s="205">
        <f t="shared" si="50"/>
        <v>0</v>
      </c>
      <c r="BF135" s="205">
        <f t="shared" si="50"/>
        <v>0</v>
      </c>
      <c r="BG135" s="205">
        <f t="shared" si="50"/>
        <v>0</v>
      </c>
      <c r="BH135" s="205">
        <f t="shared" si="49"/>
        <v>0</v>
      </c>
      <c r="BI135" s="205">
        <f t="shared" si="49"/>
        <v>0</v>
      </c>
      <c r="BJ135" s="205">
        <f t="shared" si="49"/>
        <v>0</v>
      </c>
      <c r="BK135" s="205">
        <f t="shared" si="40"/>
        <v>0</v>
      </c>
      <c r="BL135" s="205">
        <f t="shared" si="41"/>
        <v>0</v>
      </c>
      <c r="BM135" s="215">
        <f t="shared" si="42"/>
        <v>0</v>
      </c>
      <c r="BN135" s="215"/>
      <c r="BO135" s="412">
        <f t="shared" si="51"/>
        <v>0</v>
      </c>
      <c r="BP135" s="412">
        <f t="shared" si="51"/>
        <v>0</v>
      </c>
      <c r="BQ135" s="412">
        <f t="shared" si="51"/>
        <v>0</v>
      </c>
      <c r="BR135" s="412">
        <f t="shared" si="51"/>
        <v>0</v>
      </c>
      <c r="BS135" s="412">
        <f t="shared" si="51"/>
        <v>0</v>
      </c>
      <c r="BT135" s="412">
        <f t="shared" si="51"/>
        <v>0</v>
      </c>
      <c r="BU135" s="412">
        <f t="shared" si="48"/>
        <v>0</v>
      </c>
      <c r="BV135" s="412">
        <f t="shared" si="43"/>
        <v>0</v>
      </c>
      <c r="BW135" s="412">
        <f t="shared" si="28"/>
        <v>0</v>
      </c>
      <c r="BX135" s="412"/>
      <c r="BY135" s="412">
        <f t="shared" si="44"/>
        <v>0</v>
      </c>
      <c r="BZ135" s="412"/>
      <c r="CA135" s="412">
        <f>IFERROR(VLOOKUP(A135,'Actuals Summer'!A:S,19,FALSE),0)</f>
        <v>0</v>
      </c>
      <c r="CC135" s="412"/>
      <c r="CD135" s="412"/>
      <c r="CE135" s="412"/>
      <c r="CF135" s="412"/>
      <c r="CG135" s="412"/>
      <c r="CH135" s="412"/>
      <c r="CI135" s="412"/>
      <c r="CJ135" s="412"/>
      <c r="CK135" s="412"/>
      <c r="CL135" s="412"/>
      <c r="CM135" s="412"/>
      <c r="CN135" s="412"/>
      <c r="CO135" s="412"/>
      <c r="CQ135" s="363"/>
      <c r="CR135" s="363"/>
      <c r="CS135" s="363"/>
      <c r="CT135" s="363"/>
      <c r="CU135" s="363"/>
      <c r="CV135" s="363"/>
      <c r="CW135" s="363"/>
      <c r="CX135" s="363"/>
      <c r="CZ135" s="414"/>
      <c r="DA135" s="414"/>
      <c r="DB135" s="414"/>
      <c r="DC135" s="414"/>
      <c r="DD135" s="414"/>
      <c r="DE135" s="414"/>
      <c r="DF135" s="414"/>
      <c r="DG135" s="414"/>
      <c r="DI135" s="414">
        <f t="shared" si="45"/>
        <v>0</v>
      </c>
      <c r="DJ135" s="414"/>
      <c r="DK135" s="414"/>
      <c r="DL135" s="414"/>
      <c r="DM135" s="414"/>
      <c r="DN135" s="414"/>
      <c r="DO135" s="414"/>
      <c r="DP135" s="414"/>
      <c r="DQ135" s="414"/>
      <c r="DS135" s="414"/>
      <c r="DT135" s="414"/>
      <c r="DU135" s="414"/>
      <c r="DV135" s="414"/>
      <c r="DW135" s="414"/>
      <c r="DX135" s="414"/>
      <c r="DY135" s="414"/>
      <c r="DZ135" s="414"/>
      <c r="EB135" s="415">
        <f t="shared" si="29"/>
        <v>0</v>
      </c>
      <c r="EC135" s="415">
        <f t="shared" si="30"/>
        <v>0</v>
      </c>
      <c r="ED135" s="416">
        <f t="shared" si="46"/>
        <v>0</v>
      </c>
    </row>
    <row r="136" spans="1:134" hidden="1" x14ac:dyDescent="0.35">
      <c r="A136" s="17">
        <v>3025</v>
      </c>
      <c r="B136" s="4">
        <v>103410</v>
      </c>
      <c r="C136" s="4" t="s">
        <v>1022</v>
      </c>
      <c r="D136" s="4" t="s">
        <v>1023</v>
      </c>
      <c r="E136" s="15" t="s">
        <v>32</v>
      </c>
      <c r="F136" s="16" t="s">
        <v>27</v>
      </c>
      <c r="G136" s="215"/>
      <c r="H136" s="363">
        <v>0</v>
      </c>
      <c r="I136" s="410"/>
      <c r="J136" s="363">
        <v>0</v>
      </c>
      <c r="K136" s="363">
        <v>0</v>
      </c>
      <c r="L136" s="363">
        <v>0</v>
      </c>
      <c r="M136" s="363">
        <v>0</v>
      </c>
      <c r="N136" s="363">
        <v>0</v>
      </c>
      <c r="O136" s="363">
        <v>0</v>
      </c>
      <c r="P136" s="215">
        <f t="shared" si="31"/>
        <v>0</v>
      </c>
      <c r="Q136" s="363">
        <f t="shared" si="32"/>
        <v>0</v>
      </c>
      <c r="R136" s="410"/>
      <c r="S136" s="363">
        <v>0</v>
      </c>
      <c r="T136" s="363">
        <v>0</v>
      </c>
      <c r="U136" s="363">
        <v>0</v>
      </c>
      <c r="V136" s="363">
        <v>0</v>
      </c>
      <c r="W136" s="363">
        <v>0</v>
      </c>
      <c r="X136" s="363">
        <v>0</v>
      </c>
      <c r="Y136" s="363">
        <f t="shared" si="33"/>
        <v>0</v>
      </c>
      <c r="Z136" s="363">
        <f t="shared" si="34"/>
        <v>0</v>
      </c>
      <c r="AA136" s="410"/>
      <c r="AB136" s="411">
        <v>0</v>
      </c>
      <c r="AC136" s="411">
        <v>0</v>
      </c>
      <c r="AD136" s="411">
        <v>0</v>
      </c>
      <c r="AE136" s="411">
        <v>0</v>
      </c>
      <c r="AF136" s="411">
        <v>0</v>
      </c>
      <c r="AG136" s="411">
        <v>0</v>
      </c>
      <c r="AH136" s="363">
        <f t="shared" si="35"/>
        <v>0</v>
      </c>
      <c r="AI136" s="411">
        <f t="shared" si="36"/>
        <v>0</v>
      </c>
      <c r="AJ136" s="410"/>
      <c r="AK136" s="411">
        <v>0</v>
      </c>
      <c r="AL136" s="411">
        <v>0</v>
      </c>
      <c r="AM136" s="411">
        <v>0</v>
      </c>
      <c r="AN136" s="410"/>
      <c r="AO136" s="411">
        <f t="shared" si="37"/>
        <v>0</v>
      </c>
      <c r="AP136" s="411">
        <f t="shared" si="37"/>
        <v>0</v>
      </c>
      <c r="AQ136" s="411">
        <f t="shared" si="37"/>
        <v>0</v>
      </c>
      <c r="AR136" s="412"/>
      <c r="AS136" s="412">
        <v>0</v>
      </c>
      <c r="AT136" s="413">
        <f t="shared" si="38"/>
        <v>0</v>
      </c>
      <c r="AU136" s="412"/>
      <c r="AV136" s="412">
        <v>0</v>
      </c>
      <c r="AW136" s="412">
        <v>0</v>
      </c>
      <c r="AX136" s="412">
        <v>0</v>
      </c>
      <c r="AY136" s="412">
        <v>0</v>
      </c>
      <c r="AZ136" s="412">
        <v>0</v>
      </c>
      <c r="BA136" s="412">
        <v>0</v>
      </c>
      <c r="BB136" s="412">
        <v>0</v>
      </c>
      <c r="BC136" s="412">
        <f t="shared" si="39"/>
        <v>0</v>
      </c>
      <c r="BE136" s="205">
        <f t="shared" si="50"/>
        <v>0</v>
      </c>
      <c r="BF136" s="205">
        <f t="shared" si="50"/>
        <v>0</v>
      </c>
      <c r="BG136" s="205">
        <f t="shared" si="50"/>
        <v>0</v>
      </c>
      <c r="BH136" s="205">
        <f t="shared" si="49"/>
        <v>0</v>
      </c>
      <c r="BI136" s="205">
        <f t="shared" si="49"/>
        <v>0</v>
      </c>
      <c r="BJ136" s="205">
        <f t="shared" si="49"/>
        <v>0</v>
      </c>
      <c r="BK136" s="205">
        <f t="shared" si="40"/>
        <v>0</v>
      </c>
      <c r="BL136" s="205">
        <f t="shared" si="41"/>
        <v>0</v>
      </c>
      <c r="BM136" s="215">
        <f t="shared" si="42"/>
        <v>0</v>
      </c>
      <c r="BN136" s="215"/>
      <c r="BO136" s="412">
        <f t="shared" si="51"/>
        <v>0</v>
      </c>
      <c r="BP136" s="412">
        <f t="shared" si="51"/>
        <v>0</v>
      </c>
      <c r="BQ136" s="412">
        <f t="shared" si="51"/>
        <v>0</v>
      </c>
      <c r="BR136" s="412">
        <f t="shared" si="51"/>
        <v>0</v>
      </c>
      <c r="BS136" s="412">
        <f t="shared" si="51"/>
        <v>0</v>
      </c>
      <c r="BT136" s="412">
        <f t="shared" si="51"/>
        <v>0</v>
      </c>
      <c r="BU136" s="412">
        <f t="shared" si="48"/>
        <v>0</v>
      </c>
      <c r="BV136" s="412">
        <f t="shared" si="43"/>
        <v>0</v>
      </c>
      <c r="BW136" s="412">
        <f t="shared" ref="BW136:BW199" si="52">(Q136+AO136+AS136+BV136)-BC136-AT136</f>
        <v>0</v>
      </c>
      <c r="BX136" s="412"/>
      <c r="BY136" s="412">
        <f t="shared" si="44"/>
        <v>0</v>
      </c>
      <c r="BZ136" s="412"/>
      <c r="CA136" s="412">
        <f>IFERROR(VLOOKUP(A136,'Actuals Summer'!A:S,19,FALSE),0)</f>
        <v>0</v>
      </c>
      <c r="CC136" s="412"/>
      <c r="CD136" s="412"/>
      <c r="CE136" s="412"/>
      <c r="CF136" s="412"/>
      <c r="CG136" s="412"/>
      <c r="CH136" s="412"/>
      <c r="CI136" s="412"/>
      <c r="CJ136" s="412"/>
      <c r="CK136" s="412"/>
      <c r="CL136" s="412"/>
      <c r="CM136" s="412"/>
      <c r="CN136" s="412"/>
      <c r="CO136" s="412"/>
      <c r="CQ136" s="363"/>
      <c r="CR136" s="363"/>
      <c r="CS136" s="363"/>
      <c r="CT136" s="363"/>
      <c r="CU136" s="363"/>
      <c r="CV136" s="363"/>
      <c r="CW136" s="363"/>
      <c r="CX136" s="363"/>
      <c r="CZ136" s="414"/>
      <c r="DA136" s="414"/>
      <c r="DB136" s="414"/>
      <c r="DC136" s="414"/>
      <c r="DD136" s="414"/>
      <c r="DE136" s="414"/>
      <c r="DF136" s="414"/>
      <c r="DG136" s="414"/>
      <c r="DI136" s="414">
        <f t="shared" si="45"/>
        <v>0</v>
      </c>
      <c r="DJ136" s="414"/>
      <c r="DK136" s="414"/>
      <c r="DL136" s="414"/>
      <c r="DM136" s="414"/>
      <c r="DN136" s="414"/>
      <c r="DO136" s="414"/>
      <c r="DP136" s="414"/>
      <c r="DQ136" s="414"/>
      <c r="DS136" s="414"/>
      <c r="DT136" s="414"/>
      <c r="DU136" s="414"/>
      <c r="DV136" s="414"/>
      <c r="DW136" s="414"/>
      <c r="DX136" s="414"/>
      <c r="DY136" s="414"/>
      <c r="DZ136" s="414"/>
      <c r="EB136" s="415">
        <f t="shared" ref="EB136:EB195" si="53">((SUMIFS($J136:$AQ136,$J$3:$AQ$3,$EB$7)*80%))+SUMIFS($AS136:$AT136,$AS$3:$AT$3,$EB$7)+SUMIFS($AV136:$BC136,$AV$3:$BC$3,$EB$7)</f>
        <v>0</v>
      </c>
      <c r="EC136" s="415">
        <f t="shared" ref="EC136:EC195" si="54">(SUMIFS($J136:$AQ136,$J$3:$AQ$3,$EC$7)*80%)+SUMIFS($AV136:$BC136,$AV$3:$BC$3,$EC$7)</f>
        <v>0</v>
      </c>
      <c r="ED136" s="416">
        <f t="shared" si="46"/>
        <v>0</v>
      </c>
    </row>
    <row r="137" spans="1:134" hidden="1" x14ac:dyDescent="0.35">
      <c r="A137" s="17">
        <v>3016</v>
      </c>
      <c r="B137" s="4">
        <v>103404</v>
      </c>
      <c r="C137" s="4" t="s">
        <v>1024</v>
      </c>
      <c r="D137" s="4" t="s">
        <v>1025</v>
      </c>
      <c r="E137" s="15" t="s">
        <v>32</v>
      </c>
      <c r="F137" s="16" t="s">
        <v>27</v>
      </c>
      <c r="G137" s="215"/>
      <c r="H137" s="363">
        <v>0</v>
      </c>
      <c r="I137" s="410"/>
      <c r="J137" s="363">
        <v>0</v>
      </c>
      <c r="K137" s="363">
        <v>0</v>
      </c>
      <c r="L137" s="363">
        <v>0</v>
      </c>
      <c r="M137" s="363">
        <v>0</v>
      </c>
      <c r="N137" s="363">
        <v>0</v>
      </c>
      <c r="O137" s="363">
        <v>0</v>
      </c>
      <c r="P137" s="215">
        <f t="shared" ref="P137:P200" si="55">SUM(J137:O137)</f>
        <v>0</v>
      </c>
      <c r="Q137" s="363">
        <f t="shared" ref="Q137:Q200" si="56">P137*80%</f>
        <v>0</v>
      </c>
      <c r="R137" s="410"/>
      <c r="S137" s="363">
        <v>0</v>
      </c>
      <c r="T137" s="363">
        <v>0</v>
      </c>
      <c r="U137" s="363">
        <v>0</v>
      </c>
      <c r="V137" s="363">
        <v>0</v>
      </c>
      <c r="W137" s="363">
        <v>0</v>
      </c>
      <c r="X137" s="363">
        <v>0</v>
      </c>
      <c r="Y137" s="363">
        <f t="shared" ref="Y137:Y200" si="57">SUM(S137:X137)</f>
        <v>0</v>
      </c>
      <c r="Z137" s="363">
        <f t="shared" ref="Z137:Z200" si="58">Y137*80%</f>
        <v>0</v>
      </c>
      <c r="AA137" s="410"/>
      <c r="AB137" s="411">
        <v>0</v>
      </c>
      <c r="AC137" s="411">
        <v>0</v>
      </c>
      <c r="AD137" s="411">
        <v>0</v>
      </c>
      <c r="AE137" s="411">
        <v>0</v>
      </c>
      <c r="AF137" s="411">
        <v>0</v>
      </c>
      <c r="AG137" s="411">
        <v>0</v>
      </c>
      <c r="AH137" s="363">
        <f t="shared" ref="AH137:AH200" si="59">SUM(AB137:AG137)</f>
        <v>0</v>
      </c>
      <c r="AI137" s="411">
        <f t="shared" ref="AI137:AI200" si="60">AH137*80%</f>
        <v>0</v>
      </c>
      <c r="AJ137" s="410"/>
      <c r="AK137" s="411">
        <v>0</v>
      </c>
      <c r="AL137" s="411">
        <v>0</v>
      </c>
      <c r="AM137" s="411">
        <v>0</v>
      </c>
      <c r="AN137" s="410"/>
      <c r="AO137" s="411">
        <f t="shared" ref="AO137:AQ200" si="61">AK137*80%</f>
        <v>0</v>
      </c>
      <c r="AP137" s="411">
        <f t="shared" si="61"/>
        <v>0</v>
      </c>
      <c r="AQ137" s="411">
        <f t="shared" si="61"/>
        <v>0</v>
      </c>
      <c r="AR137" s="412"/>
      <c r="AS137" s="412">
        <v>0</v>
      </c>
      <c r="AT137" s="413">
        <f t="shared" ref="AT137:AT200" si="62">AS137-H137</f>
        <v>0</v>
      </c>
      <c r="AU137" s="412"/>
      <c r="AV137" s="412">
        <v>0</v>
      </c>
      <c r="AW137" s="412">
        <v>0</v>
      </c>
      <c r="AX137" s="412">
        <v>0</v>
      </c>
      <c r="AY137" s="412">
        <v>0</v>
      </c>
      <c r="AZ137" s="412">
        <v>0</v>
      </c>
      <c r="BA137" s="412">
        <v>0</v>
      </c>
      <c r="BB137" s="412">
        <v>0</v>
      </c>
      <c r="BC137" s="412">
        <f t="shared" ref="BC137:BC200" si="63">SUM(AV137:BB137)+AS137</f>
        <v>0</v>
      </c>
      <c r="BE137" s="205">
        <f t="shared" si="50"/>
        <v>0</v>
      </c>
      <c r="BF137" s="205">
        <f t="shared" si="50"/>
        <v>0</v>
      </c>
      <c r="BG137" s="205">
        <f t="shared" si="50"/>
        <v>0</v>
      </c>
      <c r="BH137" s="205">
        <f t="shared" si="49"/>
        <v>0</v>
      </c>
      <c r="BI137" s="205">
        <f t="shared" si="49"/>
        <v>0</v>
      </c>
      <c r="BJ137" s="205">
        <f t="shared" si="49"/>
        <v>0</v>
      </c>
      <c r="BK137" s="205">
        <f t="shared" ref="BK137:BK200" si="64">BB137-AK137</f>
        <v>0</v>
      </c>
      <c r="BL137" s="205">
        <f t="shared" ref="BL137:BL200" si="65">SUM(BE137:BK137)+AT137</f>
        <v>0</v>
      </c>
      <c r="BM137" s="215">
        <f t="shared" ref="BM137:BM200" si="66">BC137-(P137+H137+BL137+AK137)</f>
        <v>0</v>
      </c>
      <c r="BN137" s="215"/>
      <c r="BO137" s="412">
        <f t="shared" si="51"/>
        <v>0</v>
      </c>
      <c r="BP137" s="412">
        <f t="shared" si="51"/>
        <v>0</v>
      </c>
      <c r="BQ137" s="412">
        <f t="shared" si="51"/>
        <v>0</v>
      </c>
      <c r="BR137" s="412">
        <f t="shared" si="51"/>
        <v>0</v>
      </c>
      <c r="BS137" s="412">
        <f t="shared" si="51"/>
        <v>0</v>
      </c>
      <c r="BT137" s="412">
        <f t="shared" si="51"/>
        <v>0</v>
      </c>
      <c r="BU137" s="412">
        <f t="shared" si="48"/>
        <v>0</v>
      </c>
      <c r="BV137" s="412">
        <f t="shared" ref="BV137:BV200" si="67">SUM(BO137:BU137)</f>
        <v>0</v>
      </c>
      <c r="BW137" s="412">
        <f t="shared" si="52"/>
        <v>0</v>
      </c>
      <c r="BX137" s="412"/>
      <c r="BY137" s="412">
        <f t="shared" ref="BY137:BY200" si="68">(BV137+Q137+AO137)</f>
        <v>0</v>
      </c>
      <c r="BZ137" s="412"/>
      <c r="CA137" s="412">
        <f>IFERROR(VLOOKUP(A137,'Actuals Summer'!A:S,19,FALSE),0)</f>
        <v>0</v>
      </c>
      <c r="CC137" s="412"/>
      <c r="CD137" s="412"/>
      <c r="CE137" s="412"/>
      <c r="CF137" s="412"/>
      <c r="CG137" s="412"/>
      <c r="CH137" s="412"/>
      <c r="CI137" s="412"/>
      <c r="CJ137" s="412"/>
      <c r="CK137" s="412"/>
      <c r="CL137" s="412"/>
      <c r="CM137" s="412"/>
      <c r="CN137" s="412"/>
      <c r="CO137" s="412"/>
      <c r="CQ137" s="363"/>
      <c r="CR137" s="363"/>
      <c r="CS137" s="363"/>
      <c r="CT137" s="363"/>
      <c r="CU137" s="363"/>
      <c r="CV137" s="363"/>
      <c r="CW137" s="363"/>
      <c r="CX137" s="363"/>
      <c r="CZ137" s="414"/>
      <c r="DA137" s="414"/>
      <c r="DB137" s="414"/>
      <c r="DC137" s="414"/>
      <c r="DD137" s="414"/>
      <c r="DE137" s="414"/>
      <c r="DF137" s="414"/>
      <c r="DG137" s="414"/>
      <c r="DI137" s="414">
        <f t="shared" ref="DI137:DI200" si="69">BY137-CA137</f>
        <v>0</v>
      </c>
      <c r="DJ137" s="414"/>
      <c r="DK137" s="414"/>
      <c r="DL137" s="414"/>
      <c r="DM137" s="414"/>
      <c r="DN137" s="414"/>
      <c r="DO137" s="414"/>
      <c r="DP137" s="414"/>
      <c r="DQ137" s="414"/>
      <c r="DS137" s="414"/>
      <c r="DT137" s="414"/>
      <c r="DU137" s="414"/>
      <c r="DV137" s="414"/>
      <c r="DW137" s="414"/>
      <c r="DX137" s="414"/>
      <c r="DY137" s="414"/>
      <c r="DZ137" s="414"/>
      <c r="EB137" s="415">
        <f t="shared" si="53"/>
        <v>0</v>
      </c>
      <c r="EC137" s="415">
        <f t="shared" si="54"/>
        <v>0</v>
      </c>
      <c r="ED137" s="416">
        <f t="shared" ref="ED137:ED200" si="70">EB137+EC137</f>
        <v>0</v>
      </c>
    </row>
    <row r="138" spans="1:134" hidden="1" x14ac:dyDescent="0.35">
      <c r="A138" s="17">
        <v>4606</v>
      </c>
      <c r="B138" s="4">
        <v>103531</v>
      </c>
      <c r="C138" s="4" t="s">
        <v>1026</v>
      </c>
      <c r="D138" s="4" t="s">
        <v>1027</v>
      </c>
      <c r="E138" s="15" t="s">
        <v>904</v>
      </c>
      <c r="F138" s="16" t="s">
        <v>27</v>
      </c>
      <c r="G138" s="215"/>
      <c r="H138" s="363">
        <v>0</v>
      </c>
      <c r="I138" s="410"/>
      <c r="J138" s="363">
        <v>0</v>
      </c>
      <c r="K138" s="363">
        <v>0</v>
      </c>
      <c r="L138" s="363">
        <v>0</v>
      </c>
      <c r="M138" s="363">
        <v>0</v>
      </c>
      <c r="N138" s="363">
        <v>0</v>
      </c>
      <c r="O138" s="363">
        <v>0</v>
      </c>
      <c r="P138" s="215">
        <f t="shared" si="55"/>
        <v>0</v>
      </c>
      <c r="Q138" s="363">
        <f t="shared" si="56"/>
        <v>0</v>
      </c>
      <c r="R138" s="410"/>
      <c r="S138" s="363">
        <v>0</v>
      </c>
      <c r="T138" s="363">
        <v>0</v>
      </c>
      <c r="U138" s="363">
        <v>0</v>
      </c>
      <c r="V138" s="363">
        <v>0</v>
      </c>
      <c r="W138" s="363">
        <v>0</v>
      </c>
      <c r="X138" s="363">
        <v>0</v>
      </c>
      <c r="Y138" s="363">
        <f t="shared" si="57"/>
        <v>0</v>
      </c>
      <c r="Z138" s="363">
        <f t="shared" si="58"/>
        <v>0</v>
      </c>
      <c r="AA138" s="410"/>
      <c r="AB138" s="411">
        <v>0</v>
      </c>
      <c r="AC138" s="411">
        <v>0</v>
      </c>
      <c r="AD138" s="411">
        <v>0</v>
      </c>
      <c r="AE138" s="411">
        <v>0</v>
      </c>
      <c r="AF138" s="411">
        <v>0</v>
      </c>
      <c r="AG138" s="411">
        <v>0</v>
      </c>
      <c r="AH138" s="363">
        <f t="shared" si="59"/>
        <v>0</v>
      </c>
      <c r="AI138" s="411">
        <f t="shared" si="60"/>
        <v>0</v>
      </c>
      <c r="AJ138" s="410"/>
      <c r="AK138" s="411">
        <v>0</v>
      </c>
      <c r="AL138" s="411">
        <v>0</v>
      </c>
      <c r="AM138" s="411">
        <v>0</v>
      </c>
      <c r="AN138" s="410"/>
      <c r="AO138" s="411">
        <f t="shared" si="61"/>
        <v>0</v>
      </c>
      <c r="AP138" s="411">
        <f t="shared" si="61"/>
        <v>0</v>
      </c>
      <c r="AQ138" s="411">
        <f t="shared" si="61"/>
        <v>0</v>
      </c>
      <c r="AR138" s="412"/>
      <c r="AS138" s="412">
        <v>0</v>
      </c>
      <c r="AT138" s="413">
        <f t="shared" si="62"/>
        <v>0</v>
      </c>
      <c r="AU138" s="412"/>
      <c r="AV138" s="412">
        <v>0</v>
      </c>
      <c r="AW138" s="412">
        <v>0</v>
      </c>
      <c r="AX138" s="412">
        <v>0</v>
      </c>
      <c r="AY138" s="412">
        <v>0</v>
      </c>
      <c r="AZ138" s="412">
        <v>0</v>
      </c>
      <c r="BA138" s="412">
        <v>0</v>
      </c>
      <c r="BB138" s="412">
        <v>0</v>
      </c>
      <c r="BC138" s="412">
        <f t="shared" si="63"/>
        <v>0</v>
      </c>
      <c r="BE138" s="205">
        <f t="shared" si="50"/>
        <v>0</v>
      </c>
      <c r="BF138" s="205">
        <f t="shared" si="50"/>
        <v>0</v>
      </c>
      <c r="BG138" s="205">
        <f t="shared" si="50"/>
        <v>0</v>
      </c>
      <c r="BH138" s="205">
        <f t="shared" si="49"/>
        <v>0</v>
      </c>
      <c r="BI138" s="205">
        <f t="shared" si="49"/>
        <v>0</v>
      </c>
      <c r="BJ138" s="205">
        <f t="shared" si="49"/>
        <v>0</v>
      </c>
      <c r="BK138" s="205">
        <f t="shared" si="64"/>
        <v>0</v>
      </c>
      <c r="BL138" s="205">
        <f t="shared" si="65"/>
        <v>0</v>
      </c>
      <c r="BM138" s="215">
        <f t="shared" si="66"/>
        <v>0</v>
      </c>
      <c r="BN138" s="215"/>
      <c r="BO138" s="412">
        <f t="shared" si="51"/>
        <v>0</v>
      </c>
      <c r="BP138" s="412">
        <f t="shared" si="51"/>
        <v>0</v>
      </c>
      <c r="BQ138" s="412">
        <f t="shared" si="51"/>
        <v>0</v>
      </c>
      <c r="BR138" s="412">
        <f t="shared" si="51"/>
        <v>0</v>
      </c>
      <c r="BS138" s="412">
        <f t="shared" si="51"/>
        <v>0</v>
      </c>
      <c r="BT138" s="412">
        <f t="shared" si="51"/>
        <v>0</v>
      </c>
      <c r="BU138" s="412">
        <f t="shared" si="48"/>
        <v>0</v>
      </c>
      <c r="BV138" s="412">
        <f t="shared" si="67"/>
        <v>0</v>
      </c>
      <c r="BW138" s="412">
        <f t="shared" si="52"/>
        <v>0</v>
      </c>
      <c r="BX138" s="412"/>
      <c r="BY138" s="412">
        <f t="shared" si="68"/>
        <v>0</v>
      </c>
      <c r="BZ138" s="412"/>
      <c r="CA138" s="412">
        <f>IFERROR(VLOOKUP(A138,'Actuals Summer'!A:S,19,FALSE),0)</f>
        <v>0</v>
      </c>
      <c r="CC138" s="412"/>
      <c r="CD138" s="412"/>
      <c r="CE138" s="412"/>
      <c r="CF138" s="412"/>
      <c r="CG138" s="412"/>
      <c r="CH138" s="412"/>
      <c r="CI138" s="412"/>
      <c r="CJ138" s="412"/>
      <c r="CK138" s="412"/>
      <c r="CL138" s="412"/>
      <c r="CM138" s="412"/>
      <c r="CN138" s="412"/>
      <c r="CO138" s="412"/>
      <c r="CQ138" s="363"/>
      <c r="CR138" s="363"/>
      <c r="CS138" s="363"/>
      <c r="CT138" s="363"/>
      <c r="CU138" s="363"/>
      <c r="CV138" s="363"/>
      <c r="CW138" s="363"/>
      <c r="CX138" s="363"/>
      <c r="CZ138" s="414"/>
      <c r="DA138" s="414"/>
      <c r="DB138" s="414"/>
      <c r="DC138" s="414"/>
      <c r="DD138" s="414"/>
      <c r="DE138" s="414"/>
      <c r="DF138" s="414"/>
      <c r="DG138" s="414"/>
      <c r="DI138" s="414">
        <f t="shared" si="69"/>
        <v>0</v>
      </c>
      <c r="DJ138" s="414"/>
      <c r="DK138" s="414"/>
      <c r="DL138" s="414"/>
      <c r="DM138" s="414"/>
      <c r="DN138" s="414"/>
      <c r="DO138" s="414"/>
      <c r="DP138" s="414"/>
      <c r="DQ138" s="414"/>
      <c r="DS138" s="414"/>
      <c r="DT138" s="414"/>
      <c r="DU138" s="414"/>
      <c r="DV138" s="414"/>
      <c r="DW138" s="414"/>
      <c r="DX138" s="414"/>
      <c r="DY138" s="414"/>
      <c r="DZ138" s="414"/>
      <c r="EB138" s="415">
        <f t="shared" si="53"/>
        <v>0</v>
      </c>
      <c r="EC138" s="415">
        <f t="shared" si="54"/>
        <v>0</v>
      </c>
      <c r="ED138" s="416">
        <f t="shared" si="70"/>
        <v>0</v>
      </c>
    </row>
    <row r="139" spans="1:134" hidden="1" x14ac:dyDescent="0.35">
      <c r="A139" s="17">
        <v>3428</v>
      </c>
      <c r="B139" s="4">
        <v>134476</v>
      </c>
      <c r="C139" s="4" t="s">
        <v>152</v>
      </c>
      <c r="D139" s="4" t="s">
        <v>153</v>
      </c>
      <c r="E139" s="15" t="s">
        <v>32</v>
      </c>
      <c r="F139" s="16" t="s">
        <v>27</v>
      </c>
      <c r="G139" s="215"/>
      <c r="H139" s="363">
        <v>0</v>
      </c>
      <c r="I139" s="410"/>
      <c r="J139" s="363">
        <v>0</v>
      </c>
      <c r="K139" s="363">
        <v>0</v>
      </c>
      <c r="L139" s="363">
        <v>50770.2</v>
      </c>
      <c r="M139" s="363">
        <v>390</v>
      </c>
      <c r="N139" s="363">
        <v>149.15789473684211</v>
      </c>
      <c r="O139" s="363">
        <v>0</v>
      </c>
      <c r="P139" s="215">
        <f t="shared" si="55"/>
        <v>51309.357894736837</v>
      </c>
      <c r="Q139" s="363">
        <f t="shared" si="56"/>
        <v>41047.486315789472</v>
      </c>
      <c r="R139" s="410"/>
      <c r="S139" s="363">
        <v>0</v>
      </c>
      <c r="T139" s="363">
        <v>0</v>
      </c>
      <c r="U139" s="363">
        <v>41940.6</v>
      </c>
      <c r="V139" s="363">
        <v>195</v>
      </c>
      <c r="W139" s="363">
        <v>74.578947368421055</v>
      </c>
      <c r="X139" s="363">
        <v>0</v>
      </c>
      <c r="Y139" s="363">
        <f t="shared" si="57"/>
        <v>42210.178947368418</v>
      </c>
      <c r="Z139" s="363">
        <f t="shared" si="58"/>
        <v>33768.143157894738</v>
      </c>
      <c r="AA139" s="410"/>
      <c r="AB139" s="411">
        <v>0</v>
      </c>
      <c r="AC139" s="411">
        <v>0</v>
      </c>
      <c r="AD139" s="411">
        <v>41502.69473684211</v>
      </c>
      <c r="AE139" s="411">
        <v>284.21052631578948</v>
      </c>
      <c r="AF139" s="411">
        <v>108.69806094182825</v>
      </c>
      <c r="AG139" s="411">
        <v>0</v>
      </c>
      <c r="AH139" s="363">
        <f t="shared" si="59"/>
        <v>41895.603324099728</v>
      </c>
      <c r="AI139" s="411">
        <f t="shared" si="60"/>
        <v>33516.482659279784</v>
      </c>
      <c r="AJ139" s="410"/>
      <c r="AK139" s="411">
        <v>423.15</v>
      </c>
      <c r="AL139" s="411">
        <v>247.65</v>
      </c>
      <c r="AM139" s="411">
        <v>335.36842105263156</v>
      </c>
      <c r="AN139" s="410"/>
      <c r="AO139" s="411">
        <f t="shared" si="61"/>
        <v>338.52</v>
      </c>
      <c r="AP139" s="411">
        <f t="shared" si="61"/>
        <v>198.12</v>
      </c>
      <c r="AQ139" s="411">
        <f t="shared" si="61"/>
        <v>268.29473684210524</v>
      </c>
      <c r="AR139" s="412"/>
      <c r="AS139" s="412">
        <v>0</v>
      </c>
      <c r="AT139" s="413">
        <f t="shared" si="62"/>
        <v>0</v>
      </c>
      <c r="AU139" s="412"/>
      <c r="AV139" s="412">
        <v>0</v>
      </c>
      <c r="AW139" s="412">
        <v>0</v>
      </c>
      <c r="AX139" s="412">
        <v>45251.7</v>
      </c>
      <c r="AY139" s="412">
        <v>975</v>
      </c>
      <c r="AZ139" s="412">
        <v>372.89473684210526</v>
      </c>
      <c r="BA139" s="412">
        <v>0</v>
      </c>
      <c r="BB139" s="412">
        <v>247.65</v>
      </c>
      <c r="BC139" s="412">
        <f t="shared" si="63"/>
        <v>46847.244736842105</v>
      </c>
      <c r="BE139" s="205">
        <f t="shared" si="50"/>
        <v>0</v>
      </c>
      <c r="BF139" s="205">
        <f t="shared" si="50"/>
        <v>0</v>
      </c>
      <c r="BG139" s="205">
        <f t="shared" si="50"/>
        <v>-5518.5</v>
      </c>
      <c r="BH139" s="205">
        <f t="shared" si="49"/>
        <v>585</v>
      </c>
      <c r="BI139" s="205">
        <f t="shared" si="49"/>
        <v>223.73684210526315</v>
      </c>
      <c r="BJ139" s="205">
        <f t="shared" si="49"/>
        <v>0</v>
      </c>
      <c r="BK139" s="205">
        <f t="shared" si="64"/>
        <v>-175.49999999999997</v>
      </c>
      <c r="BL139" s="205">
        <f t="shared" si="65"/>
        <v>-4885.2631578947367</v>
      </c>
      <c r="BM139" s="215">
        <f t="shared" si="66"/>
        <v>0</v>
      </c>
      <c r="BN139" s="215"/>
      <c r="BO139" s="412">
        <f t="shared" si="51"/>
        <v>0</v>
      </c>
      <c r="BP139" s="412">
        <f t="shared" si="51"/>
        <v>0</v>
      </c>
      <c r="BQ139" s="412">
        <f t="shared" si="51"/>
        <v>4635.5399999999936</v>
      </c>
      <c r="BR139" s="412">
        <f t="shared" si="51"/>
        <v>663</v>
      </c>
      <c r="BS139" s="412">
        <f t="shared" si="51"/>
        <v>253.56842105263155</v>
      </c>
      <c r="BT139" s="412">
        <f t="shared" si="51"/>
        <v>0</v>
      </c>
      <c r="BU139" s="412">
        <f t="shared" si="48"/>
        <v>-90.869999999999976</v>
      </c>
      <c r="BV139" s="412">
        <f t="shared" si="67"/>
        <v>5461.2384210526252</v>
      </c>
      <c r="BW139" s="412">
        <f t="shared" si="52"/>
        <v>-7.2759576141834259E-12</v>
      </c>
      <c r="BX139" s="412"/>
      <c r="BY139" s="412">
        <f t="shared" si="68"/>
        <v>46847.244736842091</v>
      </c>
      <c r="BZ139" s="412"/>
      <c r="CA139" s="412">
        <f>IFERROR(VLOOKUP(A139,'Actuals Summer'!A:S,19,FALSE),0)</f>
        <v>46847.244736842105</v>
      </c>
      <c r="CC139" s="412"/>
      <c r="CD139" s="412"/>
      <c r="CE139" s="412"/>
      <c r="CF139" s="412"/>
      <c r="CG139" s="412"/>
      <c r="CH139" s="412"/>
      <c r="CI139" s="412"/>
      <c r="CJ139" s="412"/>
      <c r="CK139" s="412"/>
      <c r="CL139" s="412"/>
      <c r="CM139" s="412"/>
      <c r="CN139" s="412"/>
      <c r="CO139" s="412"/>
      <c r="CQ139" s="363"/>
      <c r="CR139" s="363"/>
      <c r="CS139" s="363"/>
      <c r="CT139" s="363"/>
      <c r="CU139" s="363"/>
      <c r="CV139" s="363"/>
      <c r="CW139" s="363"/>
      <c r="CX139" s="363"/>
      <c r="CZ139" s="414"/>
      <c r="DA139" s="414"/>
      <c r="DB139" s="414"/>
      <c r="DC139" s="414"/>
      <c r="DD139" s="414"/>
      <c r="DE139" s="414"/>
      <c r="DF139" s="414"/>
      <c r="DG139" s="414"/>
      <c r="DI139" s="414">
        <f t="shared" si="69"/>
        <v>0</v>
      </c>
      <c r="DJ139" s="414"/>
      <c r="DK139" s="414"/>
      <c r="DL139" s="414"/>
      <c r="DM139" s="414"/>
      <c r="DN139" s="414"/>
      <c r="DO139" s="414"/>
      <c r="DP139" s="414"/>
      <c r="DQ139" s="414"/>
      <c r="DS139" s="414"/>
      <c r="DT139" s="414"/>
      <c r="DU139" s="414"/>
      <c r="DV139" s="414"/>
      <c r="DW139" s="414"/>
      <c r="DX139" s="414"/>
      <c r="DY139" s="414"/>
      <c r="DZ139" s="414"/>
      <c r="EB139" s="415">
        <f t="shared" si="53"/>
        <v>114598.28529085871</v>
      </c>
      <c r="EC139" s="415">
        <f t="shared" si="54"/>
        <v>0</v>
      </c>
      <c r="ED139" s="416">
        <f t="shared" si="70"/>
        <v>114598.28529085871</v>
      </c>
    </row>
    <row r="140" spans="1:134" hidden="1" x14ac:dyDescent="0.35">
      <c r="A140" s="17">
        <v>3019</v>
      </c>
      <c r="B140" s="4">
        <v>103406</v>
      </c>
      <c r="C140" s="4" t="s">
        <v>1028</v>
      </c>
      <c r="D140" s="4" t="s">
        <v>1029</v>
      </c>
      <c r="E140" s="15" t="s">
        <v>32</v>
      </c>
      <c r="F140" s="16" t="s">
        <v>27</v>
      </c>
      <c r="G140" s="215"/>
      <c r="H140" s="363">
        <v>0</v>
      </c>
      <c r="I140" s="410"/>
      <c r="J140" s="363">
        <v>0</v>
      </c>
      <c r="K140" s="363">
        <v>0</v>
      </c>
      <c r="L140" s="363">
        <v>0</v>
      </c>
      <c r="M140" s="363">
        <v>0</v>
      </c>
      <c r="N140" s="363">
        <v>0</v>
      </c>
      <c r="O140" s="363">
        <v>0</v>
      </c>
      <c r="P140" s="215">
        <f t="shared" si="55"/>
        <v>0</v>
      </c>
      <c r="Q140" s="363">
        <f t="shared" si="56"/>
        <v>0</v>
      </c>
      <c r="R140" s="410"/>
      <c r="S140" s="363">
        <v>0</v>
      </c>
      <c r="T140" s="363">
        <v>0</v>
      </c>
      <c r="U140" s="363">
        <v>0</v>
      </c>
      <c r="V140" s="363">
        <v>0</v>
      </c>
      <c r="W140" s="363">
        <v>0</v>
      </c>
      <c r="X140" s="363">
        <v>0</v>
      </c>
      <c r="Y140" s="363">
        <f t="shared" si="57"/>
        <v>0</v>
      </c>
      <c r="Z140" s="363">
        <f t="shared" si="58"/>
        <v>0</v>
      </c>
      <c r="AA140" s="410"/>
      <c r="AB140" s="411">
        <v>0</v>
      </c>
      <c r="AC140" s="411">
        <v>0</v>
      </c>
      <c r="AD140" s="411">
        <v>0</v>
      </c>
      <c r="AE140" s="411">
        <v>0</v>
      </c>
      <c r="AF140" s="411">
        <v>0</v>
      </c>
      <c r="AG140" s="411">
        <v>0</v>
      </c>
      <c r="AH140" s="363">
        <f t="shared" si="59"/>
        <v>0</v>
      </c>
      <c r="AI140" s="411">
        <f t="shared" si="60"/>
        <v>0</v>
      </c>
      <c r="AJ140" s="410"/>
      <c r="AK140" s="411">
        <v>0</v>
      </c>
      <c r="AL140" s="411">
        <v>0</v>
      </c>
      <c r="AM140" s="411">
        <v>0</v>
      </c>
      <c r="AN140" s="410"/>
      <c r="AO140" s="411">
        <f t="shared" si="61"/>
        <v>0</v>
      </c>
      <c r="AP140" s="411">
        <f t="shared" si="61"/>
        <v>0</v>
      </c>
      <c r="AQ140" s="411">
        <f t="shared" si="61"/>
        <v>0</v>
      </c>
      <c r="AR140" s="412"/>
      <c r="AS140" s="412">
        <v>0</v>
      </c>
      <c r="AT140" s="413">
        <f t="shared" si="62"/>
        <v>0</v>
      </c>
      <c r="AU140" s="412"/>
      <c r="AV140" s="412">
        <v>0</v>
      </c>
      <c r="AW140" s="412">
        <v>0</v>
      </c>
      <c r="AX140" s="412">
        <v>0</v>
      </c>
      <c r="AY140" s="412">
        <v>0</v>
      </c>
      <c r="AZ140" s="412">
        <v>0</v>
      </c>
      <c r="BA140" s="412">
        <v>0</v>
      </c>
      <c r="BB140" s="412">
        <v>0</v>
      </c>
      <c r="BC140" s="412">
        <f t="shared" si="63"/>
        <v>0</v>
      </c>
      <c r="BE140" s="205">
        <f t="shared" si="50"/>
        <v>0</v>
      </c>
      <c r="BF140" s="205">
        <f t="shared" si="50"/>
        <v>0</v>
      </c>
      <c r="BG140" s="205">
        <f t="shared" si="50"/>
        <v>0</v>
      </c>
      <c r="BH140" s="205">
        <f t="shared" si="49"/>
        <v>0</v>
      </c>
      <c r="BI140" s="205">
        <f t="shared" si="49"/>
        <v>0</v>
      </c>
      <c r="BJ140" s="205">
        <f t="shared" si="49"/>
        <v>0</v>
      </c>
      <c r="BK140" s="205">
        <f t="shared" si="64"/>
        <v>0</v>
      </c>
      <c r="BL140" s="205">
        <f t="shared" si="65"/>
        <v>0</v>
      </c>
      <c r="BM140" s="215">
        <f t="shared" si="66"/>
        <v>0</v>
      </c>
      <c r="BN140" s="215"/>
      <c r="BO140" s="412">
        <f t="shared" si="51"/>
        <v>0</v>
      </c>
      <c r="BP140" s="412">
        <f t="shared" si="51"/>
        <v>0</v>
      </c>
      <c r="BQ140" s="412">
        <f t="shared" si="51"/>
        <v>0</v>
      </c>
      <c r="BR140" s="412">
        <f t="shared" si="51"/>
        <v>0</v>
      </c>
      <c r="BS140" s="412">
        <f t="shared" si="51"/>
        <v>0</v>
      </c>
      <c r="BT140" s="412">
        <f t="shared" si="51"/>
        <v>0</v>
      </c>
      <c r="BU140" s="412">
        <f t="shared" si="48"/>
        <v>0</v>
      </c>
      <c r="BV140" s="412">
        <f t="shared" si="67"/>
        <v>0</v>
      </c>
      <c r="BW140" s="412">
        <f t="shared" si="52"/>
        <v>0</v>
      </c>
      <c r="BX140" s="412"/>
      <c r="BY140" s="412">
        <f t="shared" si="68"/>
        <v>0</v>
      </c>
      <c r="BZ140" s="412"/>
      <c r="CA140" s="412">
        <f>IFERROR(VLOOKUP(A140,'Actuals Summer'!A:S,19,FALSE),0)</f>
        <v>0</v>
      </c>
      <c r="CC140" s="412"/>
      <c r="CD140" s="412"/>
      <c r="CE140" s="412"/>
      <c r="CF140" s="412"/>
      <c r="CG140" s="412"/>
      <c r="CH140" s="412"/>
      <c r="CI140" s="412"/>
      <c r="CJ140" s="412"/>
      <c r="CK140" s="412"/>
      <c r="CL140" s="412"/>
      <c r="CM140" s="412"/>
      <c r="CN140" s="412"/>
      <c r="CO140" s="412"/>
      <c r="CQ140" s="363"/>
      <c r="CR140" s="363"/>
      <c r="CS140" s="363"/>
      <c r="CT140" s="363"/>
      <c r="CU140" s="363"/>
      <c r="CV140" s="363"/>
      <c r="CW140" s="363"/>
      <c r="CX140" s="363"/>
      <c r="CZ140" s="414"/>
      <c r="DA140" s="414"/>
      <c r="DB140" s="414"/>
      <c r="DC140" s="414"/>
      <c r="DD140" s="414"/>
      <c r="DE140" s="414"/>
      <c r="DF140" s="414"/>
      <c r="DG140" s="414"/>
      <c r="DI140" s="414">
        <f t="shared" si="69"/>
        <v>0</v>
      </c>
      <c r="DJ140" s="414"/>
      <c r="DK140" s="414"/>
      <c r="DL140" s="414"/>
      <c r="DM140" s="414"/>
      <c r="DN140" s="414"/>
      <c r="DO140" s="414"/>
      <c r="DP140" s="414"/>
      <c r="DQ140" s="414"/>
      <c r="DS140" s="414"/>
      <c r="DT140" s="414"/>
      <c r="DU140" s="414"/>
      <c r="DV140" s="414"/>
      <c r="DW140" s="414"/>
      <c r="DX140" s="414"/>
      <c r="DY140" s="414"/>
      <c r="DZ140" s="414"/>
      <c r="EB140" s="415">
        <f t="shared" si="53"/>
        <v>0</v>
      </c>
      <c r="EC140" s="415">
        <f t="shared" si="54"/>
        <v>0</v>
      </c>
      <c r="ED140" s="416">
        <f t="shared" si="70"/>
        <v>0</v>
      </c>
    </row>
    <row r="141" spans="1:134" hidden="1" x14ac:dyDescent="0.35">
      <c r="A141" s="17">
        <v>2178</v>
      </c>
      <c r="B141" s="4">
        <v>103257</v>
      </c>
      <c r="C141" s="4" t="s">
        <v>154</v>
      </c>
      <c r="D141" s="4" t="s">
        <v>155</v>
      </c>
      <c r="E141" s="15" t="s">
        <v>32</v>
      </c>
      <c r="F141" s="16" t="s">
        <v>27</v>
      </c>
      <c r="G141" s="215"/>
      <c r="H141" s="363">
        <v>0</v>
      </c>
      <c r="I141" s="410"/>
      <c r="J141" s="363">
        <v>0</v>
      </c>
      <c r="K141" s="363">
        <v>0</v>
      </c>
      <c r="L141" s="363">
        <v>37231.479999999996</v>
      </c>
      <c r="M141" s="363">
        <v>1560</v>
      </c>
      <c r="N141" s="363">
        <v>149.15789473684211</v>
      </c>
      <c r="O141" s="363">
        <v>0</v>
      </c>
      <c r="P141" s="215">
        <f t="shared" si="55"/>
        <v>38940.637894736836</v>
      </c>
      <c r="Q141" s="363">
        <f t="shared" si="56"/>
        <v>31152.51031578947</v>
      </c>
      <c r="R141" s="410"/>
      <c r="S141" s="363">
        <v>0</v>
      </c>
      <c r="T141" s="363">
        <v>0</v>
      </c>
      <c r="U141" s="363">
        <v>16555.5</v>
      </c>
      <c r="V141" s="363">
        <v>585</v>
      </c>
      <c r="W141" s="363">
        <v>223.73684210526318</v>
      </c>
      <c r="X141" s="363">
        <v>0</v>
      </c>
      <c r="Y141" s="363">
        <f t="shared" si="57"/>
        <v>17364.236842105263</v>
      </c>
      <c r="Z141" s="363">
        <f t="shared" si="58"/>
        <v>13891.389473684212</v>
      </c>
      <c r="AA141" s="410"/>
      <c r="AB141" s="411">
        <v>0</v>
      </c>
      <c r="AC141" s="411">
        <v>0</v>
      </c>
      <c r="AD141" s="411">
        <v>25244.791578947366</v>
      </c>
      <c r="AE141" s="411">
        <v>1136.8421052631579</v>
      </c>
      <c r="AF141" s="411">
        <v>130.4376731301939</v>
      </c>
      <c r="AG141" s="411">
        <v>0</v>
      </c>
      <c r="AH141" s="363">
        <f t="shared" si="59"/>
        <v>26512.071357340716</v>
      </c>
      <c r="AI141" s="411">
        <f t="shared" si="60"/>
        <v>21209.657085872575</v>
      </c>
      <c r="AJ141" s="410"/>
      <c r="AK141" s="411">
        <v>492.82999999999993</v>
      </c>
      <c r="AL141" s="411">
        <v>196.95</v>
      </c>
      <c r="AM141" s="411">
        <v>340.18105263157895</v>
      </c>
      <c r="AN141" s="410"/>
      <c r="AO141" s="411">
        <f t="shared" si="61"/>
        <v>394.26399999999995</v>
      </c>
      <c r="AP141" s="411">
        <f t="shared" si="61"/>
        <v>157.56</v>
      </c>
      <c r="AQ141" s="411">
        <f t="shared" si="61"/>
        <v>272.14484210526319</v>
      </c>
      <c r="AR141" s="412"/>
      <c r="AS141" s="412">
        <v>0</v>
      </c>
      <c r="AT141" s="413">
        <f t="shared" si="62"/>
        <v>0</v>
      </c>
      <c r="AU141" s="412"/>
      <c r="AV141" s="412">
        <v>0</v>
      </c>
      <c r="AW141" s="412">
        <v>0</v>
      </c>
      <c r="AX141" s="412">
        <v>34876.92</v>
      </c>
      <c r="AY141" s="412">
        <v>975</v>
      </c>
      <c r="AZ141" s="412">
        <v>223.73684210526318</v>
      </c>
      <c r="BA141" s="412">
        <v>0</v>
      </c>
      <c r="BB141" s="412">
        <v>926.24999999999989</v>
      </c>
      <c r="BC141" s="412">
        <f t="shared" si="63"/>
        <v>37001.906842105258</v>
      </c>
      <c r="BE141" s="205">
        <f t="shared" si="50"/>
        <v>0</v>
      </c>
      <c r="BF141" s="205">
        <f t="shared" si="50"/>
        <v>0</v>
      </c>
      <c r="BG141" s="205">
        <f t="shared" si="50"/>
        <v>-2354.5599999999977</v>
      </c>
      <c r="BH141" s="205">
        <f t="shared" si="49"/>
        <v>-585</v>
      </c>
      <c r="BI141" s="205">
        <f t="shared" si="49"/>
        <v>74.578947368421069</v>
      </c>
      <c r="BJ141" s="205">
        <f t="shared" si="49"/>
        <v>0</v>
      </c>
      <c r="BK141" s="205">
        <f t="shared" si="64"/>
        <v>433.41999999999996</v>
      </c>
      <c r="BL141" s="205">
        <f t="shared" si="65"/>
        <v>-2431.5610526315763</v>
      </c>
      <c r="BM141" s="215">
        <f t="shared" si="66"/>
        <v>0</v>
      </c>
      <c r="BN141" s="215"/>
      <c r="BO141" s="412">
        <f t="shared" si="51"/>
        <v>0</v>
      </c>
      <c r="BP141" s="412">
        <f t="shared" si="51"/>
        <v>0</v>
      </c>
      <c r="BQ141" s="412">
        <f t="shared" si="51"/>
        <v>5091.7360000000008</v>
      </c>
      <c r="BR141" s="412">
        <f t="shared" si="51"/>
        <v>-273</v>
      </c>
      <c r="BS141" s="412">
        <f t="shared" si="51"/>
        <v>104.41052631578948</v>
      </c>
      <c r="BT141" s="412">
        <f t="shared" si="51"/>
        <v>0</v>
      </c>
      <c r="BU141" s="412">
        <f t="shared" si="48"/>
        <v>531.98599999999988</v>
      </c>
      <c r="BV141" s="412">
        <f t="shared" si="67"/>
        <v>5455.1325263157905</v>
      </c>
      <c r="BW141" s="412">
        <f t="shared" si="52"/>
        <v>0</v>
      </c>
      <c r="BX141" s="412"/>
      <c r="BY141" s="412">
        <f t="shared" si="68"/>
        <v>37001.906842105265</v>
      </c>
      <c r="BZ141" s="412"/>
      <c r="CA141" s="412">
        <f>IFERROR(VLOOKUP(A141,'Actuals Summer'!A:S,19,FALSE),0)</f>
        <v>37001.906842105258</v>
      </c>
      <c r="CC141" s="412"/>
      <c r="CD141" s="412"/>
      <c r="CE141" s="412"/>
      <c r="CF141" s="412"/>
      <c r="CG141" s="412"/>
      <c r="CH141" s="412"/>
      <c r="CI141" s="412"/>
      <c r="CJ141" s="412"/>
      <c r="CK141" s="412"/>
      <c r="CL141" s="412"/>
      <c r="CM141" s="412"/>
      <c r="CN141" s="412"/>
      <c r="CO141" s="412"/>
      <c r="CQ141" s="363"/>
      <c r="CR141" s="363"/>
      <c r="CS141" s="363"/>
      <c r="CT141" s="363"/>
      <c r="CU141" s="363"/>
      <c r="CV141" s="363"/>
      <c r="CW141" s="363"/>
      <c r="CX141" s="363"/>
      <c r="CZ141" s="414"/>
      <c r="DA141" s="414"/>
      <c r="DB141" s="414"/>
      <c r="DC141" s="414"/>
      <c r="DD141" s="414"/>
      <c r="DE141" s="414"/>
      <c r="DF141" s="414"/>
      <c r="DG141" s="414"/>
      <c r="DI141" s="414">
        <f t="shared" si="69"/>
        <v>0</v>
      </c>
      <c r="DJ141" s="414"/>
      <c r="DK141" s="414"/>
      <c r="DL141" s="414"/>
      <c r="DM141" s="414"/>
      <c r="DN141" s="414"/>
      <c r="DO141" s="414"/>
      <c r="DP141" s="414"/>
      <c r="DQ141" s="414"/>
      <c r="DS141" s="414"/>
      <c r="DT141" s="414"/>
      <c r="DU141" s="414"/>
      <c r="DV141" s="414"/>
      <c r="DW141" s="414"/>
      <c r="DX141" s="414"/>
      <c r="DY141" s="414"/>
      <c r="DZ141" s="414"/>
      <c r="EB141" s="415">
        <f t="shared" si="53"/>
        <v>72532.658243767306</v>
      </c>
      <c r="EC141" s="415">
        <f t="shared" si="54"/>
        <v>0</v>
      </c>
      <c r="ED141" s="416">
        <f t="shared" si="70"/>
        <v>72532.658243767306</v>
      </c>
    </row>
    <row r="142" spans="1:134" hidden="1" x14ac:dyDescent="0.35">
      <c r="A142" s="17">
        <v>2184</v>
      </c>
      <c r="B142" s="4">
        <v>103262</v>
      </c>
      <c r="C142" s="4" t="s">
        <v>534</v>
      </c>
      <c r="D142" s="4" t="s">
        <v>1030</v>
      </c>
      <c r="E142" s="15" t="s">
        <v>32</v>
      </c>
      <c r="F142" s="16" t="s">
        <v>27</v>
      </c>
      <c r="G142" s="215"/>
      <c r="H142" s="363">
        <v>0</v>
      </c>
      <c r="I142" s="410"/>
      <c r="J142" s="363">
        <v>0</v>
      </c>
      <c r="K142" s="363">
        <v>0</v>
      </c>
      <c r="L142" s="363">
        <v>0</v>
      </c>
      <c r="M142" s="363">
        <v>0</v>
      </c>
      <c r="N142" s="363">
        <v>0</v>
      </c>
      <c r="O142" s="363">
        <v>0</v>
      </c>
      <c r="P142" s="215">
        <f t="shared" si="55"/>
        <v>0</v>
      </c>
      <c r="Q142" s="363">
        <f t="shared" si="56"/>
        <v>0</v>
      </c>
      <c r="R142" s="410"/>
      <c r="S142" s="363">
        <v>0</v>
      </c>
      <c r="T142" s="363">
        <v>0</v>
      </c>
      <c r="U142" s="363">
        <v>0</v>
      </c>
      <c r="V142" s="363">
        <v>0</v>
      </c>
      <c r="W142" s="363">
        <v>0</v>
      </c>
      <c r="X142" s="363">
        <v>0</v>
      </c>
      <c r="Y142" s="363">
        <f t="shared" si="57"/>
        <v>0</v>
      </c>
      <c r="Z142" s="363">
        <f t="shared" si="58"/>
        <v>0</v>
      </c>
      <c r="AA142" s="410"/>
      <c r="AB142" s="411">
        <v>0</v>
      </c>
      <c r="AC142" s="411">
        <v>0</v>
      </c>
      <c r="AD142" s="411">
        <v>0</v>
      </c>
      <c r="AE142" s="411">
        <v>0</v>
      </c>
      <c r="AF142" s="411">
        <v>0</v>
      </c>
      <c r="AG142" s="411">
        <v>0</v>
      </c>
      <c r="AH142" s="363">
        <f t="shared" si="59"/>
        <v>0</v>
      </c>
      <c r="AI142" s="411">
        <f t="shared" si="60"/>
        <v>0</v>
      </c>
      <c r="AJ142" s="410"/>
      <c r="AK142" s="411">
        <v>0</v>
      </c>
      <c r="AL142" s="411">
        <v>0</v>
      </c>
      <c r="AM142" s="411">
        <v>0</v>
      </c>
      <c r="AN142" s="410"/>
      <c r="AO142" s="411">
        <f t="shared" si="61"/>
        <v>0</v>
      </c>
      <c r="AP142" s="411">
        <f t="shared" si="61"/>
        <v>0</v>
      </c>
      <c r="AQ142" s="411">
        <f t="shared" si="61"/>
        <v>0</v>
      </c>
      <c r="AR142" s="412"/>
      <c r="AS142" s="412">
        <v>0</v>
      </c>
      <c r="AT142" s="413">
        <f t="shared" si="62"/>
        <v>0</v>
      </c>
      <c r="AU142" s="412"/>
      <c r="AV142" s="412">
        <v>0</v>
      </c>
      <c r="AW142" s="412">
        <v>0</v>
      </c>
      <c r="AX142" s="412">
        <v>0</v>
      </c>
      <c r="AY142" s="412">
        <v>0</v>
      </c>
      <c r="AZ142" s="412">
        <v>0</v>
      </c>
      <c r="BA142" s="412">
        <v>0</v>
      </c>
      <c r="BB142" s="412">
        <v>0</v>
      </c>
      <c r="BC142" s="412">
        <f t="shared" si="63"/>
        <v>0</v>
      </c>
      <c r="BE142" s="205">
        <f t="shared" si="50"/>
        <v>0</v>
      </c>
      <c r="BF142" s="205">
        <f t="shared" si="50"/>
        <v>0</v>
      </c>
      <c r="BG142" s="205">
        <f t="shared" si="50"/>
        <v>0</v>
      </c>
      <c r="BH142" s="205">
        <f t="shared" si="49"/>
        <v>0</v>
      </c>
      <c r="BI142" s="205">
        <f t="shared" si="49"/>
        <v>0</v>
      </c>
      <c r="BJ142" s="205">
        <f t="shared" si="49"/>
        <v>0</v>
      </c>
      <c r="BK142" s="205">
        <f t="shared" si="64"/>
        <v>0</v>
      </c>
      <c r="BL142" s="205">
        <f t="shared" si="65"/>
        <v>0</v>
      </c>
      <c r="BM142" s="215">
        <f t="shared" si="66"/>
        <v>0</v>
      </c>
      <c r="BN142" s="215"/>
      <c r="BO142" s="412">
        <f t="shared" si="51"/>
        <v>0</v>
      </c>
      <c r="BP142" s="412">
        <f t="shared" si="51"/>
        <v>0</v>
      </c>
      <c r="BQ142" s="412">
        <f t="shared" si="51"/>
        <v>0</v>
      </c>
      <c r="BR142" s="412">
        <f t="shared" si="51"/>
        <v>0</v>
      </c>
      <c r="BS142" s="412">
        <f t="shared" si="51"/>
        <v>0</v>
      </c>
      <c r="BT142" s="412">
        <f t="shared" si="51"/>
        <v>0</v>
      </c>
      <c r="BU142" s="412">
        <f t="shared" si="48"/>
        <v>0</v>
      </c>
      <c r="BV142" s="412">
        <f t="shared" si="67"/>
        <v>0</v>
      </c>
      <c r="BW142" s="412">
        <f t="shared" si="52"/>
        <v>0</v>
      </c>
      <c r="BX142" s="412"/>
      <c r="BY142" s="412">
        <f t="shared" si="68"/>
        <v>0</v>
      </c>
      <c r="BZ142" s="412"/>
      <c r="CA142" s="412">
        <f>IFERROR(VLOOKUP(A142,'Actuals Summer'!A:S,19,FALSE),0)</f>
        <v>0</v>
      </c>
      <c r="CC142" s="412"/>
      <c r="CD142" s="412"/>
      <c r="CE142" s="412"/>
      <c r="CF142" s="412"/>
      <c r="CG142" s="412"/>
      <c r="CH142" s="412"/>
      <c r="CI142" s="412"/>
      <c r="CJ142" s="412"/>
      <c r="CK142" s="412"/>
      <c r="CL142" s="412"/>
      <c r="CM142" s="412"/>
      <c r="CN142" s="412"/>
      <c r="CO142" s="412"/>
      <c r="CQ142" s="363"/>
      <c r="CR142" s="363"/>
      <c r="CS142" s="363"/>
      <c r="CT142" s="363"/>
      <c r="CU142" s="363"/>
      <c r="CV142" s="363"/>
      <c r="CW142" s="363"/>
      <c r="CX142" s="363"/>
      <c r="CZ142" s="414"/>
      <c r="DA142" s="414"/>
      <c r="DB142" s="414"/>
      <c r="DC142" s="414"/>
      <c r="DD142" s="414"/>
      <c r="DE142" s="414"/>
      <c r="DF142" s="414"/>
      <c r="DG142" s="414"/>
      <c r="DI142" s="414">
        <f t="shared" si="69"/>
        <v>0</v>
      </c>
      <c r="DJ142" s="414"/>
      <c r="DK142" s="414"/>
      <c r="DL142" s="414"/>
      <c r="DM142" s="414"/>
      <c r="DN142" s="414"/>
      <c r="DO142" s="414"/>
      <c r="DP142" s="414"/>
      <c r="DQ142" s="414"/>
      <c r="DS142" s="414"/>
      <c r="DT142" s="414"/>
      <c r="DU142" s="414"/>
      <c r="DV142" s="414"/>
      <c r="DW142" s="414"/>
      <c r="DX142" s="414"/>
      <c r="DY142" s="414"/>
      <c r="DZ142" s="414"/>
      <c r="EB142" s="415">
        <f t="shared" si="53"/>
        <v>0</v>
      </c>
      <c r="EC142" s="415">
        <f t="shared" si="54"/>
        <v>0</v>
      </c>
      <c r="ED142" s="416">
        <f t="shared" si="70"/>
        <v>0</v>
      </c>
    </row>
    <row r="143" spans="1:134" hidden="1" x14ac:dyDescent="0.35">
      <c r="A143" s="17">
        <v>2190</v>
      </c>
      <c r="B143" s="4">
        <v>103266</v>
      </c>
      <c r="C143" s="4" t="s">
        <v>1031</v>
      </c>
      <c r="D143" s="4" t="s">
        <v>1032</v>
      </c>
      <c r="E143" s="15" t="s">
        <v>32</v>
      </c>
      <c r="F143" s="16" t="s">
        <v>27</v>
      </c>
      <c r="G143" s="215"/>
      <c r="H143" s="363">
        <v>0</v>
      </c>
      <c r="I143" s="410"/>
      <c r="J143" s="363">
        <v>0</v>
      </c>
      <c r="K143" s="363">
        <v>0</v>
      </c>
      <c r="L143" s="363">
        <v>0</v>
      </c>
      <c r="M143" s="363">
        <v>0</v>
      </c>
      <c r="N143" s="363">
        <v>0</v>
      </c>
      <c r="O143" s="363">
        <v>0</v>
      </c>
      <c r="P143" s="215">
        <f t="shared" si="55"/>
        <v>0</v>
      </c>
      <c r="Q143" s="363">
        <f t="shared" si="56"/>
        <v>0</v>
      </c>
      <c r="R143" s="410"/>
      <c r="S143" s="363">
        <v>0</v>
      </c>
      <c r="T143" s="363">
        <v>0</v>
      </c>
      <c r="U143" s="363">
        <v>0</v>
      </c>
      <c r="V143" s="363">
        <v>0</v>
      </c>
      <c r="W143" s="363">
        <v>0</v>
      </c>
      <c r="X143" s="363">
        <v>0</v>
      </c>
      <c r="Y143" s="363">
        <f t="shared" si="57"/>
        <v>0</v>
      </c>
      <c r="Z143" s="363">
        <f t="shared" si="58"/>
        <v>0</v>
      </c>
      <c r="AA143" s="410"/>
      <c r="AB143" s="411">
        <v>0</v>
      </c>
      <c r="AC143" s="411">
        <v>0</v>
      </c>
      <c r="AD143" s="411">
        <v>0</v>
      </c>
      <c r="AE143" s="411">
        <v>0</v>
      </c>
      <c r="AF143" s="411">
        <v>0</v>
      </c>
      <c r="AG143" s="411">
        <v>0</v>
      </c>
      <c r="AH143" s="363">
        <f t="shared" si="59"/>
        <v>0</v>
      </c>
      <c r="AI143" s="411">
        <f t="shared" si="60"/>
        <v>0</v>
      </c>
      <c r="AJ143" s="410"/>
      <c r="AK143" s="411">
        <v>0</v>
      </c>
      <c r="AL143" s="411">
        <v>0</v>
      </c>
      <c r="AM143" s="411">
        <v>0</v>
      </c>
      <c r="AN143" s="410"/>
      <c r="AO143" s="411">
        <f t="shared" si="61"/>
        <v>0</v>
      </c>
      <c r="AP143" s="411">
        <f t="shared" si="61"/>
        <v>0</v>
      </c>
      <c r="AQ143" s="411">
        <f t="shared" si="61"/>
        <v>0</v>
      </c>
      <c r="AR143" s="412"/>
      <c r="AS143" s="412">
        <v>0</v>
      </c>
      <c r="AT143" s="413">
        <f t="shared" si="62"/>
        <v>0</v>
      </c>
      <c r="AU143" s="412"/>
      <c r="AV143" s="412">
        <v>0</v>
      </c>
      <c r="AW143" s="412">
        <v>0</v>
      </c>
      <c r="AX143" s="412">
        <v>0</v>
      </c>
      <c r="AY143" s="412">
        <v>0</v>
      </c>
      <c r="AZ143" s="412">
        <v>0</v>
      </c>
      <c r="BA143" s="412">
        <v>0</v>
      </c>
      <c r="BB143" s="412">
        <v>0</v>
      </c>
      <c r="BC143" s="412">
        <f t="shared" si="63"/>
        <v>0</v>
      </c>
      <c r="BE143" s="205">
        <f t="shared" si="50"/>
        <v>0</v>
      </c>
      <c r="BF143" s="205">
        <f t="shared" si="50"/>
        <v>0</v>
      </c>
      <c r="BG143" s="205">
        <f t="shared" si="50"/>
        <v>0</v>
      </c>
      <c r="BH143" s="205">
        <f t="shared" si="49"/>
        <v>0</v>
      </c>
      <c r="BI143" s="205">
        <f t="shared" si="49"/>
        <v>0</v>
      </c>
      <c r="BJ143" s="205">
        <f t="shared" si="49"/>
        <v>0</v>
      </c>
      <c r="BK143" s="205">
        <f t="shared" si="64"/>
        <v>0</v>
      </c>
      <c r="BL143" s="205">
        <f t="shared" si="65"/>
        <v>0</v>
      </c>
      <c r="BM143" s="215">
        <f t="shared" si="66"/>
        <v>0</v>
      </c>
      <c r="BN143" s="215"/>
      <c r="BO143" s="412">
        <f t="shared" si="51"/>
        <v>0</v>
      </c>
      <c r="BP143" s="412">
        <f t="shared" si="51"/>
        <v>0</v>
      </c>
      <c r="BQ143" s="412">
        <f t="shared" si="51"/>
        <v>0</v>
      </c>
      <c r="BR143" s="412">
        <f t="shared" si="51"/>
        <v>0</v>
      </c>
      <c r="BS143" s="412">
        <f t="shared" si="51"/>
        <v>0</v>
      </c>
      <c r="BT143" s="412">
        <f t="shared" si="51"/>
        <v>0</v>
      </c>
      <c r="BU143" s="412">
        <f t="shared" si="48"/>
        <v>0</v>
      </c>
      <c r="BV143" s="412">
        <f t="shared" si="67"/>
        <v>0</v>
      </c>
      <c r="BW143" s="412">
        <f t="shared" si="52"/>
        <v>0</v>
      </c>
      <c r="BX143" s="412"/>
      <c r="BY143" s="412">
        <f t="shared" si="68"/>
        <v>0</v>
      </c>
      <c r="BZ143" s="412"/>
      <c r="CA143" s="412">
        <f>IFERROR(VLOOKUP(A143,'Actuals Summer'!A:S,19,FALSE),0)</f>
        <v>0</v>
      </c>
      <c r="CC143" s="412"/>
      <c r="CD143" s="412"/>
      <c r="CE143" s="412"/>
      <c r="CF143" s="412"/>
      <c r="CG143" s="412"/>
      <c r="CH143" s="412"/>
      <c r="CI143" s="412"/>
      <c r="CJ143" s="412"/>
      <c r="CK143" s="412"/>
      <c r="CL143" s="412"/>
      <c r="CM143" s="412"/>
      <c r="CN143" s="412"/>
      <c r="CO143" s="412"/>
      <c r="CQ143" s="363"/>
      <c r="CR143" s="363"/>
      <c r="CS143" s="363"/>
      <c r="CT143" s="363"/>
      <c r="CU143" s="363"/>
      <c r="CV143" s="363"/>
      <c r="CW143" s="363"/>
      <c r="CX143" s="363"/>
      <c r="CZ143" s="414"/>
      <c r="DA143" s="414"/>
      <c r="DB143" s="414"/>
      <c r="DC143" s="414"/>
      <c r="DD143" s="414"/>
      <c r="DE143" s="414"/>
      <c r="DF143" s="414"/>
      <c r="DG143" s="414"/>
      <c r="DI143" s="414">
        <f t="shared" si="69"/>
        <v>0</v>
      </c>
      <c r="DJ143" s="414"/>
      <c r="DK143" s="414"/>
      <c r="DL143" s="414"/>
      <c r="DM143" s="414"/>
      <c r="DN143" s="414"/>
      <c r="DO143" s="414"/>
      <c r="DP143" s="414"/>
      <c r="DQ143" s="414"/>
      <c r="DS143" s="414"/>
      <c r="DT143" s="414"/>
      <c r="DU143" s="414"/>
      <c r="DV143" s="414"/>
      <c r="DW143" s="414"/>
      <c r="DX143" s="414"/>
      <c r="DY143" s="414"/>
      <c r="DZ143" s="414"/>
      <c r="EB143" s="415">
        <f t="shared" si="53"/>
        <v>0</v>
      </c>
      <c r="EC143" s="415">
        <f t="shared" si="54"/>
        <v>0</v>
      </c>
      <c r="ED143" s="416">
        <f t="shared" si="70"/>
        <v>0</v>
      </c>
    </row>
    <row r="144" spans="1:134" hidden="1" x14ac:dyDescent="0.35">
      <c r="A144" s="17">
        <v>7035</v>
      </c>
      <c r="B144" s="4">
        <v>103615</v>
      </c>
      <c r="C144" s="4" t="s">
        <v>1033</v>
      </c>
      <c r="D144" s="4" t="s">
        <v>1034</v>
      </c>
      <c r="E144" s="15" t="s">
        <v>895</v>
      </c>
      <c r="F144" s="16" t="s">
        <v>27</v>
      </c>
      <c r="G144" s="215"/>
      <c r="H144" s="363">
        <v>0</v>
      </c>
      <c r="I144" s="410"/>
      <c r="J144" s="363">
        <v>0</v>
      </c>
      <c r="K144" s="363">
        <v>0</v>
      </c>
      <c r="L144" s="363">
        <v>0</v>
      </c>
      <c r="M144" s="363">
        <v>0</v>
      </c>
      <c r="N144" s="363">
        <v>0</v>
      </c>
      <c r="O144" s="363">
        <v>0</v>
      </c>
      <c r="P144" s="215">
        <f t="shared" si="55"/>
        <v>0</v>
      </c>
      <c r="Q144" s="363">
        <f t="shared" si="56"/>
        <v>0</v>
      </c>
      <c r="R144" s="410"/>
      <c r="S144" s="363">
        <v>0</v>
      </c>
      <c r="T144" s="363">
        <v>0</v>
      </c>
      <c r="U144" s="363">
        <v>0</v>
      </c>
      <c r="V144" s="363">
        <v>0</v>
      </c>
      <c r="W144" s="363">
        <v>0</v>
      </c>
      <c r="X144" s="363">
        <v>0</v>
      </c>
      <c r="Y144" s="363">
        <f t="shared" si="57"/>
        <v>0</v>
      </c>
      <c r="Z144" s="363">
        <f t="shared" si="58"/>
        <v>0</v>
      </c>
      <c r="AA144" s="410"/>
      <c r="AB144" s="411">
        <v>0</v>
      </c>
      <c r="AC144" s="411">
        <v>0</v>
      </c>
      <c r="AD144" s="411">
        <v>0</v>
      </c>
      <c r="AE144" s="411">
        <v>0</v>
      </c>
      <c r="AF144" s="411">
        <v>0</v>
      </c>
      <c r="AG144" s="411">
        <v>0</v>
      </c>
      <c r="AH144" s="363">
        <f t="shared" si="59"/>
        <v>0</v>
      </c>
      <c r="AI144" s="411">
        <f t="shared" si="60"/>
        <v>0</v>
      </c>
      <c r="AJ144" s="410"/>
      <c r="AK144" s="411">
        <v>0</v>
      </c>
      <c r="AL144" s="411">
        <v>0</v>
      </c>
      <c r="AM144" s="411">
        <v>0</v>
      </c>
      <c r="AN144" s="410"/>
      <c r="AO144" s="411">
        <f t="shared" si="61"/>
        <v>0</v>
      </c>
      <c r="AP144" s="411">
        <f t="shared" si="61"/>
        <v>0</v>
      </c>
      <c r="AQ144" s="411">
        <f t="shared" si="61"/>
        <v>0</v>
      </c>
      <c r="AR144" s="412"/>
      <c r="AS144" s="412">
        <v>0</v>
      </c>
      <c r="AT144" s="413">
        <f t="shared" si="62"/>
        <v>0</v>
      </c>
      <c r="AU144" s="412"/>
      <c r="AV144" s="412">
        <v>0</v>
      </c>
      <c r="AW144" s="412">
        <v>0</v>
      </c>
      <c r="AX144" s="412">
        <v>0</v>
      </c>
      <c r="AY144" s="412">
        <v>0</v>
      </c>
      <c r="AZ144" s="412">
        <v>0</v>
      </c>
      <c r="BA144" s="412">
        <v>0</v>
      </c>
      <c r="BB144" s="412">
        <v>0</v>
      </c>
      <c r="BC144" s="412">
        <f t="shared" si="63"/>
        <v>0</v>
      </c>
      <c r="BE144" s="205">
        <f t="shared" si="50"/>
        <v>0</v>
      </c>
      <c r="BF144" s="205">
        <f t="shared" si="50"/>
        <v>0</v>
      </c>
      <c r="BG144" s="205">
        <f t="shared" si="50"/>
        <v>0</v>
      </c>
      <c r="BH144" s="205">
        <f t="shared" si="49"/>
        <v>0</v>
      </c>
      <c r="BI144" s="205">
        <f t="shared" si="49"/>
        <v>0</v>
      </c>
      <c r="BJ144" s="205">
        <f t="shared" si="49"/>
        <v>0</v>
      </c>
      <c r="BK144" s="205">
        <f t="shared" si="64"/>
        <v>0</v>
      </c>
      <c r="BL144" s="205">
        <f t="shared" si="65"/>
        <v>0</v>
      </c>
      <c r="BM144" s="215">
        <f t="shared" si="66"/>
        <v>0</v>
      </c>
      <c r="BN144" s="215"/>
      <c r="BO144" s="412">
        <f t="shared" si="51"/>
        <v>0</v>
      </c>
      <c r="BP144" s="412">
        <f t="shared" si="51"/>
        <v>0</v>
      </c>
      <c r="BQ144" s="412">
        <f t="shared" si="51"/>
        <v>0</v>
      </c>
      <c r="BR144" s="412">
        <f t="shared" si="51"/>
        <v>0</v>
      </c>
      <c r="BS144" s="412">
        <f t="shared" si="51"/>
        <v>0</v>
      </c>
      <c r="BT144" s="412">
        <f t="shared" si="51"/>
        <v>0</v>
      </c>
      <c r="BU144" s="412">
        <f t="shared" si="48"/>
        <v>0</v>
      </c>
      <c r="BV144" s="412">
        <f t="shared" si="67"/>
        <v>0</v>
      </c>
      <c r="BW144" s="412">
        <f t="shared" si="52"/>
        <v>0</v>
      </c>
      <c r="BX144" s="412"/>
      <c r="BY144" s="412">
        <f t="shared" si="68"/>
        <v>0</v>
      </c>
      <c r="BZ144" s="412"/>
      <c r="CA144" s="412">
        <f>IFERROR(VLOOKUP(A144,'Actuals Summer'!A:S,19,FALSE),0)</f>
        <v>0</v>
      </c>
      <c r="CC144" s="412"/>
      <c r="CD144" s="412"/>
      <c r="CE144" s="412"/>
      <c r="CF144" s="412"/>
      <c r="CG144" s="412"/>
      <c r="CH144" s="412"/>
      <c r="CI144" s="412"/>
      <c r="CJ144" s="412"/>
      <c r="CK144" s="412"/>
      <c r="CL144" s="412"/>
      <c r="CM144" s="412"/>
      <c r="CN144" s="412"/>
      <c r="CO144" s="412"/>
      <c r="CQ144" s="363"/>
      <c r="CR144" s="363"/>
      <c r="CS144" s="363"/>
      <c r="CT144" s="363"/>
      <c r="CU144" s="363"/>
      <c r="CV144" s="363"/>
      <c r="CW144" s="363"/>
      <c r="CX144" s="363"/>
      <c r="CZ144" s="414"/>
      <c r="DA144" s="414"/>
      <c r="DB144" s="414"/>
      <c r="DC144" s="414"/>
      <c r="DD144" s="414"/>
      <c r="DE144" s="414"/>
      <c r="DF144" s="414"/>
      <c r="DG144" s="414"/>
      <c r="DI144" s="414">
        <f t="shared" si="69"/>
        <v>0</v>
      </c>
      <c r="DJ144" s="414"/>
      <c r="DK144" s="414"/>
      <c r="DL144" s="414"/>
      <c r="DM144" s="414"/>
      <c r="DN144" s="414"/>
      <c r="DO144" s="414"/>
      <c r="DP144" s="414"/>
      <c r="DQ144" s="414"/>
      <c r="DS144" s="414"/>
      <c r="DT144" s="414"/>
      <c r="DU144" s="414"/>
      <c r="DV144" s="414"/>
      <c r="DW144" s="414"/>
      <c r="DX144" s="414"/>
      <c r="DY144" s="414"/>
      <c r="DZ144" s="414"/>
      <c r="EB144" s="415">
        <f t="shared" si="53"/>
        <v>0</v>
      </c>
      <c r="EC144" s="415">
        <f t="shared" si="54"/>
        <v>0</v>
      </c>
      <c r="ED144" s="416">
        <f t="shared" si="70"/>
        <v>0</v>
      </c>
    </row>
    <row r="145" spans="1:134" s="422" customFormat="1" hidden="1" x14ac:dyDescent="0.35">
      <c r="A145" s="18">
        <v>3323</v>
      </c>
      <c r="B145" s="19">
        <v>103427</v>
      </c>
      <c r="C145" s="19" t="s">
        <v>156</v>
      </c>
      <c r="D145" s="19" t="s">
        <v>157</v>
      </c>
      <c r="E145" s="20" t="s">
        <v>32</v>
      </c>
      <c r="F145" s="21" t="s">
        <v>49</v>
      </c>
      <c r="G145" s="417"/>
      <c r="H145" s="418">
        <v>0</v>
      </c>
      <c r="I145" s="418"/>
      <c r="J145" s="418">
        <v>0</v>
      </c>
      <c r="K145" s="418">
        <v>0</v>
      </c>
      <c r="L145" s="418">
        <v>20970.3</v>
      </c>
      <c r="M145" s="418">
        <v>1170</v>
      </c>
      <c r="N145" s="418">
        <v>0</v>
      </c>
      <c r="O145" s="418">
        <v>0</v>
      </c>
      <c r="P145" s="417">
        <f t="shared" si="55"/>
        <v>22140.3</v>
      </c>
      <c r="Q145" s="418">
        <f t="shared" si="56"/>
        <v>17712.240000000002</v>
      </c>
      <c r="R145" s="418"/>
      <c r="S145" s="418"/>
      <c r="T145" s="418"/>
      <c r="U145" s="418"/>
      <c r="V145" s="418"/>
      <c r="W145" s="418"/>
      <c r="X145" s="418"/>
      <c r="Y145" s="418"/>
      <c r="Z145" s="418"/>
      <c r="AA145" s="418"/>
      <c r="AB145" s="419"/>
      <c r="AC145" s="419"/>
      <c r="AD145" s="419"/>
      <c r="AE145" s="419"/>
      <c r="AF145" s="419"/>
      <c r="AG145" s="419"/>
      <c r="AH145" s="418"/>
      <c r="AI145" s="419"/>
      <c r="AJ145" s="418"/>
      <c r="AK145" s="419">
        <v>1530.7499999999998</v>
      </c>
      <c r="AL145" s="419"/>
      <c r="AM145" s="419"/>
      <c r="AN145" s="418"/>
      <c r="AO145" s="419">
        <f t="shared" si="61"/>
        <v>1224.5999999999999</v>
      </c>
      <c r="AP145" s="419">
        <f t="shared" si="61"/>
        <v>0</v>
      </c>
      <c r="AQ145" s="419">
        <f t="shared" si="61"/>
        <v>0</v>
      </c>
      <c r="AR145" s="420"/>
      <c r="AS145" s="420">
        <v>0</v>
      </c>
      <c r="AT145" s="421">
        <f t="shared" si="62"/>
        <v>0</v>
      </c>
      <c r="AU145" s="420"/>
      <c r="AV145" s="420">
        <v>0</v>
      </c>
      <c r="AW145" s="420">
        <v>0</v>
      </c>
      <c r="AX145" s="420">
        <v>17659.2</v>
      </c>
      <c r="AY145" s="420">
        <v>1365</v>
      </c>
      <c r="AZ145" s="420">
        <v>0</v>
      </c>
      <c r="BA145" s="420">
        <v>0</v>
      </c>
      <c r="BB145" s="420">
        <v>760.49999999999989</v>
      </c>
      <c r="BC145" s="420">
        <f t="shared" si="63"/>
        <v>19784.7</v>
      </c>
      <c r="BE145" s="214">
        <f t="shared" si="50"/>
        <v>0</v>
      </c>
      <c r="BF145" s="214">
        <f t="shared" si="50"/>
        <v>0</v>
      </c>
      <c r="BG145" s="214">
        <f t="shared" si="50"/>
        <v>-3311.0999999999985</v>
      </c>
      <c r="BH145" s="214">
        <f t="shared" si="49"/>
        <v>195</v>
      </c>
      <c r="BI145" s="214">
        <f t="shared" si="49"/>
        <v>0</v>
      </c>
      <c r="BJ145" s="214">
        <f t="shared" si="49"/>
        <v>0</v>
      </c>
      <c r="BK145" s="214">
        <f t="shared" si="64"/>
        <v>-770.24999999999989</v>
      </c>
      <c r="BL145" s="214">
        <f t="shared" si="65"/>
        <v>-3886.3499999999985</v>
      </c>
      <c r="BM145" s="417">
        <f t="shared" si="66"/>
        <v>0</v>
      </c>
      <c r="BN145" s="417"/>
      <c r="BO145" s="420">
        <f t="shared" si="51"/>
        <v>0</v>
      </c>
      <c r="BP145" s="420">
        <f t="shared" si="51"/>
        <v>0</v>
      </c>
      <c r="BQ145" s="420">
        <f t="shared" si="51"/>
        <v>882.95999999999913</v>
      </c>
      <c r="BR145" s="420">
        <f t="shared" si="51"/>
        <v>429</v>
      </c>
      <c r="BS145" s="420">
        <f t="shared" si="51"/>
        <v>0</v>
      </c>
      <c r="BT145" s="420">
        <f t="shared" si="51"/>
        <v>0</v>
      </c>
      <c r="BU145" s="420">
        <f t="shared" si="48"/>
        <v>-464.1</v>
      </c>
      <c r="BV145" s="412">
        <f t="shared" si="67"/>
        <v>847.8599999999991</v>
      </c>
      <c r="BW145" s="420">
        <f t="shared" si="52"/>
        <v>0</v>
      </c>
      <c r="BX145" s="420"/>
      <c r="BY145" s="412">
        <f t="shared" si="68"/>
        <v>19784.7</v>
      </c>
      <c r="BZ145" s="420"/>
      <c r="CA145" s="412">
        <f>IFERROR(VLOOKUP(A145,'Actuals Summer'!A:S,19,FALSE),0)</f>
        <v>19784.7</v>
      </c>
      <c r="CC145" s="412"/>
      <c r="CD145" s="412"/>
      <c r="CE145" s="412"/>
      <c r="CF145" s="412"/>
      <c r="CG145" s="412"/>
      <c r="CH145" s="412"/>
      <c r="CI145" s="412"/>
      <c r="CJ145" s="412"/>
      <c r="CK145" s="412"/>
      <c r="CL145" s="412"/>
      <c r="CM145" s="412"/>
      <c r="CN145" s="412"/>
      <c r="CO145" s="412"/>
      <c r="CP145"/>
      <c r="CQ145" s="363"/>
      <c r="CR145" s="363"/>
      <c r="CS145" s="363"/>
      <c r="CT145" s="363"/>
      <c r="CU145" s="363"/>
      <c r="CV145" s="363"/>
      <c r="CW145" s="363"/>
      <c r="CX145" s="363"/>
      <c r="CY145"/>
      <c r="CZ145" s="414"/>
      <c r="DA145" s="414"/>
      <c r="DB145" s="414"/>
      <c r="DC145" s="414"/>
      <c r="DD145" s="414"/>
      <c r="DE145" s="414"/>
      <c r="DF145" s="414"/>
      <c r="DG145" s="414"/>
      <c r="DH145"/>
      <c r="DI145" s="414">
        <f t="shared" si="69"/>
        <v>0</v>
      </c>
      <c r="DJ145" s="423"/>
      <c r="DK145" s="423"/>
      <c r="DL145" s="423"/>
      <c r="DM145" s="423"/>
      <c r="DN145" s="423"/>
      <c r="DO145" s="423"/>
      <c r="DP145" s="423"/>
      <c r="DQ145" s="423"/>
      <c r="DS145" s="423"/>
      <c r="DT145" s="423"/>
      <c r="DU145" s="423"/>
      <c r="DV145" s="423"/>
      <c r="DW145" s="423"/>
      <c r="DX145" s="423"/>
      <c r="DY145" s="423"/>
      <c r="DZ145" s="423"/>
      <c r="EB145" s="425">
        <f t="shared" si="53"/>
        <v>19784.7</v>
      </c>
      <c r="EC145" s="425">
        <f t="shared" si="54"/>
        <v>0</v>
      </c>
      <c r="ED145" s="424">
        <f t="shared" si="70"/>
        <v>19784.7</v>
      </c>
    </row>
    <row r="146" spans="1:134" hidden="1" x14ac:dyDescent="0.35">
      <c r="A146" s="17">
        <v>7045</v>
      </c>
      <c r="B146" s="4">
        <v>103622</v>
      </c>
      <c r="C146" s="4" t="s">
        <v>1035</v>
      </c>
      <c r="D146" s="4" t="s">
        <v>422</v>
      </c>
      <c r="E146" s="15" t="s">
        <v>895</v>
      </c>
      <c r="F146" s="16" t="s">
        <v>27</v>
      </c>
      <c r="G146" s="215"/>
      <c r="H146" s="363">
        <v>0</v>
      </c>
      <c r="I146" s="410"/>
      <c r="J146" s="363">
        <v>0</v>
      </c>
      <c r="K146" s="363">
        <v>0</v>
      </c>
      <c r="L146" s="363">
        <v>0</v>
      </c>
      <c r="M146" s="363">
        <v>0</v>
      </c>
      <c r="N146" s="363">
        <v>0</v>
      </c>
      <c r="O146" s="363">
        <v>0</v>
      </c>
      <c r="P146" s="215">
        <f t="shared" si="55"/>
        <v>0</v>
      </c>
      <c r="Q146" s="363">
        <f t="shared" si="56"/>
        <v>0</v>
      </c>
      <c r="R146" s="410"/>
      <c r="S146" s="363">
        <v>0</v>
      </c>
      <c r="T146" s="363">
        <v>0</v>
      </c>
      <c r="U146" s="363">
        <v>0</v>
      </c>
      <c r="V146" s="363">
        <v>0</v>
      </c>
      <c r="W146" s="363">
        <v>0</v>
      </c>
      <c r="X146" s="363">
        <v>0</v>
      </c>
      <c r="Y146" s="363">
        <f t="shared" si="57"/>
        <v>0</v>
      </c>
      <c r="Z146" s="363">
        <f t="shared" si="58"/>
        <v>0</v>
      </c>
      <c r="AA146" s="410"/>
      <c r="AB146" s="411">
        <v>0</v>
      </c>
      <c r="AC146" s="411">
        <v>0</v>
      </c>
      <c r="AD146" s="411">
        <v>1056.9000000000001</v>
      </c>
      <c r="AE146" s="411">
        <v>132.60000000000002</v>
      </c>
      <c r="AF146" s="411">
        <v>1</v>
      </c>
      <c r="AG146" s="411">
        <v>0</v>
      </c>
      <c r="AH146" s="363">
        <f t="shared" si="59"/>
        <v>1190.5</v>
      </c>
      <c r="AI146" s="411">
        <f t="shared" si="60"/>
        <v>952.40000000000009</v>
      </c>
      <c r="AJ146" s="410"/>
      <c r="AK146" s="411">
        <v>0</v>
      </c>
      <c r="AL146" s="411">
        <v>0</v>
      </c>
      <c r="AM146" s="411">
        <v>0</v>
      </c>
      <c r="AN146" s="410"/>
      <c r="AO146" s="411">
        <f t="shared" si="61"/>
        <v>0</v>
      </c>
      <c r="AP146" s="411">
        <f t="shared" si="61"/>
        <v>0</v>
      </c>
      <c r="AQ146" s="411">
        <f t="shared" si="61"/>
        <v>0</v>
      </c>
      <c r="AR146" s="412"/>
      <c r="AS146" s="412">
        <v>0</v>
      </c>
      <c r="AT146" s="413">
        <f t="shared" si="62"/>
        <v>0</v>
      </c>
      <c r="AU146" s="412"/>
      <c r="AV146" s="412">
        <v>0</v>
      </c>
      <c r="AW146" s="412">
        <v>0</v>
      </c>
      <c r="AX146" s="412">
        <v>0</v>
      </c>
      <c r="AY146" s="412">
        <v>0</v>
      </c>
      <c r="AZ146" s="412">
        <v>0</v>
      </c>
      <c r="BA146" s="412">
        <v>0</v>
      </c>
      <c r="BB146" s="412">
        <v>0</v>
      </c>
      <c r="BC146" s="412">
        <f t="shared" si="63"/>
        <v>0</v>
      </c>
      <c r="BE146" s="205">
        <f t="shared" si="50"/>
        <v>0</v>
      </c>
      <c r="BF146" s="205">
        <f t="shared" si="50"/>
        <v>0</v>
      </c>
      <c r="BG146" s="205">
        <f t="shared" si="50"/>
        <v>0</v>
      </c>
      <c r="BH146" s="205">
        <f t="shared" si="49"/>
        <v>0</v>
      </c>
      <c r="BI146" s="205">
        <f t="shared" si="49"/>
        <v>0</v>
      </c>
      <c r="BJ146" s="205">
        <f t="shared" si="49"/>
        <v>0</v>
      </c>
      <c r="BK146" s="205">
        <f t="shared" si="64"/>
        <v>0</v>
      </c>
      <c r="BL146" s="205">
        <f t="shared" si="65"/>
        <v>0</v>
      </c>
      <c r="BM146" s="215">
        <f t="shared" si="66"/>
        <v>0</v>
      </c>
      <c r="BN146" s="215"/>
      <c r="BO146" s="412">
        <f t="shared" si="51"/>
        <v>0</v>
      </c>
      <c r="BP146" s="412">
        <f t="shared" si="51"/>
        <v>0</v>
      </c>
      <c r="BQ146" s="412">
        <f t="shared" si="51"/>
        <v>0</v>
      </c>
      <c r="BR146" s="412">
        <f t="shared" si="51"/>
        <v>0</v>
      </c>
      <c r="BS146" s="412">
        <f t="shared" si="51"/>
        <v>0</v>
      </c>
      <c r="BT146" s="412">
        <f t="shared" si="51"/>
        <v>0</v>
      </c>
      <c r="BU146" s="412">
        <f t="shared" si="48"/>
        <v>0</v>
      </c>
      <c r="BV146" s="412">
        <f t="shared" si="67"/>
        <v>0</v>
      </c>
      <c r="BW146" s="412">
        <f t="shared" si="52"/>
        <v>0</v>
      </c>
      <c r="BX146" s="412"/>
      <c r="BY146" s="412">
        <f t="shared" si="68"/>
        <v>0</v>
      </c>
      <c r="BZ146" s="412"/>
      <c r="CA146" s="412">
        <f>IFERROR(VLOOKUP(A146,'Actuals Summer'!A:S,19,FALSE),0)</f>
        <v>0</v>
      </c>
      <c r="CC146" s="412"/>
      <c r="CD146" s="412"/>
      <c r="CE146" s="412"/>
      <c r="CF146" s="412"/>
      <c r="CG146" s="412"/>
      <c r="CH146" s="412"/>
      <c r="CI146" s="412"/>
      <c r="CJ146" s="412"/>
      <c r="CK146" s="412"/>
      <c r="CL146" s="412"/>
      <c r="CM146" s="412"/>
      <c r="CN146" s="412"/>
      <c r="CO146" s="412"/>
      <c r="CQ146" s="363"/>
      <c r="CR146" s="363"/>
      <c r="CS146" s="363"/>
      <c r="CT146" s="363"/>
      <c r="CU146" s="363"/>
      <c r="CV146" s="363"/>
      <c r="CW146" s="363"/>
      <c r="CX146" s="363"/>
      <c r="CZ146" s="414"/>
      <c r="DA146" s="414"/>
      <c r="DB146" s="414"/>
      <c r="DC146" s="414"/>
      <c r="DD146" s="414"/>
      <c r="DE146" s="414"/>
      <c r="DF146" s="414"/>
      <c r="DG146" s="414"/>
      <c r="DI146" s="414">
        <f t="shared" si="69"/>
        <v>0</v>
      </c>
      <c r="DJ146" s="414"/>
      <c r="DK146" s="414"/>
      <c r="DL146" s="414"/>
      <c r="DM146" s="414"/>
      <c r="DN146" s="414"/>
      <c r="DO146" s="414"/>
      <c r="DP146" s="414"/>
      <c r="DQ146" s="414"/>
      <c r="DS146" s="414"/>
      <c r="DT146" s="414"/>
      <c r="DU146" s="414"/>
      <c r="DV146" s="414"/>
      <c r="DW146" s="414"/>
      <c r="DX146" s="414"/>
      <c r="DY146" s="414"/>
      <c r="DZ146" s="414"/>
      <c r="EB146" s="415">
        <f t="shared" si="53"/>
        <v>952.40000000000009</v>
      </c>
      <c r="EC146" s="415">
        <f t="shared" si="54"/>
        <v>0</v>
      </c>
      <c r="ED146" s="416">
        <f t="shared" si="70"/>
        <v>952.40000000000009</v>
      </c>
    </row>
    <row r="147" spans="1:134" hidden="1" x14ac:dyDescent="0.35">
      <c r="A147" s="17">
        <v>2192</v>
      </c>
      <c r="B147" s="4">
        <v>103268</v>
      </c>
      <c r="C147" s="4" t="s">
        <v>1036</v>
      </c>
      <c r="D147" s="4" t="s">
        <v>1037</v>
      </c>
      <c r="E147" s="15" t="s">
        <v>32</v>
      </c>
      <c r="F147" s="16" t="s">
        <v>27</v>
      </c>
      <c r="G147" s="215"/>
      <c r="H147" s="363">
        <v>0</v>
      </c>
      <c r="I147" s="410"/>
      <c r="J147" s="363">
        <v>0</v>
      </c>
      <c r="K147" s="363">
        <v>0</v>
      </c>
      <c r="L147" s="363">
        <v>0</v>
      </c>
      <c r="M147" s="363">
        <v>0</v>
      </c>
      <c r="N147" s="363">
        <v>0</v>
      </c>
      <c r="O147" s="363">
        <v>0</v>
      </c>
      <c r="P147" s="215">
        <f t="shared" si="55"/>
        <v>0</v>
      </c>
      <c r="Q147" s="363">
        <f t="shared" si="56"/>
        <v>0</v>
      </c>
      <c r="R147" s="410"/>
      <c r="S147" s="363">
        <v>0</v>
      </c>
      <c r="T147" s="363">
        <v>0</v>
      </c>
      <c r="U147" s="363">
        <v>0</v>
      </c>
      <c r="V147" s="363">
        <v>0</v>
      </c>
      <c r="W147" s="363">
        <v>0</v>
      </c>
      <c r="X147" s="363">
        <v>0</v>
      </c>
      <c r="Y147" s="363">
        <f t="shared" si="57"/>
        <v>0</v>
      </c>
      <c r="Z147" s="363">
        <f t="shared" si="58"/>
        <v>0</v>
      </c>
      <c r="AA147" s="410"/>
      <c r="AB147" s="411">
        <v>0</v>
      </c>
      <c r="AC147" s="411">
        <v>0</v>
      </c>
      <c r="AD147" s="411">
        <v>0</v>
      </c>
      <c r="AE147" s="411">
        <v>0</v>
      </c>
      <c r="AF147" s="411">
        <v>0</v>
      </c>
      <c r="AG147" s="411">
        <v>0</v>
      </c>
      <c r="AH147" s="363">
        <f t="shared" si="59"/>
        <v>0</v>
      </c>
      <c r="AI147" s="411">
        <f t="shared" si="60"/>
        <v>0</v>
      </c>
      <c r="AJ147" s="410"/>
      <c r="AK147" s="411">
        <v>0</v>
      </c>
      <c r="AL147" s="411">
        <v>0</v>
      </c>
      <c r="AM147" s="411">
        <v>0</v>
      </c>
      <c r="AN147" s="410"/>
      <c r="AO147" s="411">
        <f t="shared" si="61"/>
        <v>0</v>
      </c>
      <c r="AP147" s="411">
        <f t="shared" si="61"/>
        <v>0</v>
      </c>
      <c r="AQ147" s="411">
        <f t="shared" si="61"/>
        <v>0</v>
      </c>
      <c r="AR147" s="412"/>
      <c r="AS147" s="412">
        <v>0</v>
      </c>
      <c r="AT147" s="413">
        <f t="shared" si="62"/>
        <v>0</v>
      </c>
      <c r="AU147" s="412"/>
      <c r="AV147" s="412">
        <v>0</v>
      </c>
      <c r="AW147" s="412">
        <v>0</v>
      </c>
      <c r="AX147" s="412">
        <v>0</v>
      </c>
      <c r="AY147" s="412">
        <v>0</v>
      </c>
      <c r="AZ147" s="412">
        <v>0</v>
      </c>
      <c r="BA147" s="412">
        <v>0</v>
      </c>
      <c r="BB147" s="412">
        <v>0</v>
      </c>
      <c r="BC147" s="412">
        <f t="shared" si="63"/>
        <v>0</v>
      </c>
      <c r="BE147" s="205">
        <f t="shared" si="50"/>
        <v>0</v>
      </c>
      <c r="BF147" s="205">
        <f t="shared" si="50"/>
        <v>0</v>
      </c>
      <c r="BG147" s="205">
        <f t="shared" si="50"/>
        <v>0</v>
      </c>
      <c r="BH147" s="205">
        <f t="shared" si="49"/>
        <v>0</v>
      </c>
      <c r="BI147" s="205">
        <f t="shared" si="49"/>
        <v>0</v>
      </c>
      <c r="BJ147" s="205">
        <f t="shared" si="49"/>
        <v>0</v>
      </c>
      <c r="BK147" s="205">
        <f t="shared" si="64"/>
        <v>0</v>
      </c>
      <c r="BL147" s="205">
        <f t="shared" si="65"/>
        <v>0</v>
      </c>
      <c r="BM147" s="215">
        <f t="shared" si="66"/>
        <v>0</v>
      </c>
      <c r="BN147" s="215"/>
      <c r="BO147" s="412">
        <f t="shared" si="51"/>
        <v>0</v>
      </c>
      <c r="BP147" s="412">
        <f t="shared" si="51"/>
        <v>0</v>
      </c>
      <c r="BQ147" s="412">
        <f t="shared" si="51"/>
        <v>0</v>
      </c>
      <c r="BR147" s="412">
        <f t="shared" si="51"/>
        <v>0</v>
      </c>
      <c r="BS147" s="412">
        <f t="shared" si="51"/>
        <v>0</v>
      </c>
      <c r="BT147" s="412">
        <f t="shared" si="51"/>
        <v>0</v>
      </c>
      <c r="BU147" s="412">
        <f t="shared" si="48"/>
        <v>0</v>
      </c>
      <c r="BV147" s="412">
        <f t="shared" si="67"/>
        <v>0</v>
      </c>
      <c r="BW147" s="412">
        <f t="shared" si="52"/>
        <v>0</v>
      </c>
      <c r="BX147" s="412"/>
      <c r="BY147" s="412">
        <f t="shared" si="68"/>
        <v>0</v>
      </c>
      <c r="BZ147" s="412"/>
      <c r="CA147" s="412">
        <f>IFERROR(VLOOKUP(A147,'Actuals Summer'!A:S,19,FALSE),0)</f>
        <v>0</v>
      </c>
      <c r="CC147" s="412"/>
      <c r="CD147" s="412"/>
      <c r="CE147" s="412"/>
      <c r="CF147" s="412"/>
      <c r="CG147" s="412"/>
      <c r="CH147" s="412"/>
      <c r="CI147" s="412"/>
      <c r="CJ147" s="412"/>
      <c r="CK147" s="412"/>
      <c r="CL147" s="412"/>
      <c r="CM147" s="412"/>
      <c r="CN147" s="412"/>
      <c r="CO147" s="412"/>
      <c r="CQ147" s="363"/>
      <c r="CR147" s="363"/>
      <c r="CS147" s="363"/>
      <c r="CT147" s="363"/>
      <c r="CU147" s="363"/>
      <c r="CV147" s="363"/>
      <c r="CW147" s="363"/>
      <c r="CX147" s="363"/>
      <c r="CZ147" s="414"/>
      <c r="DA147" s="414"/>
      <c r="DB147" s="414"/>
      <c r="DC147" s="414"/>
      <c r="DD147" s="414"/>
      <c r="DE147" s="414"/>
      <c r="DF147" s="414"/>
      <c r="DG147" s="414"/>
      <c r="DI147" s="414">
        <f t="shared" si="69"/>
        <v>0</v>
      </c>
      <c r="DJ147" s="414"/>
      <c r="DK147" s="414"/>
      <c r="DL147" s="414"/>
      <c r="DM147" s="414"/>
      <c r="DN147" s="414"/>
      <c r="DO147" s="414"/>
      <c r="DP147" s="414"/>
      <c r="DQ147" s="414"/>
      <c r="DS147" s="414"/>
      <c r="DT147" s="414"/>
      <c r="DU147" s="414"/>
      <c r="DV147" s="414"/>
      <c r="DW147" s="414"/>
      <c r="DX147" s="414"/>
      <c r="DY147" s="414"/>
      <c r="DZ147" s="414"/>
      <c r="EB147" s="415">
        <f t="shared" si="53"/>
        <v>0</v>
      </c>
      <c r="EC147" s="415">
        <f t="shared" si="54"/>
        <v>0</v>
      </c>
      <c r="ED147" s="416">
        <f t="shared" si="70"/>
        <v>0</v>
      </c>
    </row>
    <row r="148" spans="1:134" hidden="1" x14ac:dyDescent="0.35">
      <c r="A148" s="17">
        <v>7014</v>
      </c>
      <c r="B148" s="4">
        <v>103605</v>
      </c>
      <c r="C148" s="4" t="s">
        <v>1038</v>
      </c>
      <c r="D148" s="4" t="s">
        <v>860</v>
      </c>
      <c r="E148" s="15" t="s">
        <v>895</v>
      </c>
      <c r="F148" s="16" t="s">
        <v>27</v>
      </c>
      <c r="G148" s="215"/>
      <c r="H148" s="363">
        <v>0</v>
      </c>
      <c r="I148" s="410"/>
      <c r="J148" s="363">
        <v>0</v>
      </c>
      <c r="K148" s="363">
        <v>0</v>
      </c>
      <c r="L148" s="363">
        <v>0</v>
      </c>
      <c r="M148" s="363">
        <v>0</v>
      </c>
      <c r="N148" s="363">
        <v>0</v>
      </c>
      <c r="O148" s="363">
        <v>0</v>
      </c>
      <c r="P148" s="215">
        <f t="shared" si="55"/>
        <v>0</v>
      </c>
      <c r="Q148" s="363">
        <f t="shared" si="56"/>
        <v>0</v>
      </c>
      <c r="R148" s="410"/>
      <c r="S148" s="363">
        <v>0</v>
      </c>
      <c r="T148" s="363">
        <v>0</v>
      </c>
      <c r="U148" s="363">
        <v>0</v>
      </c>
      <c r="V148" s="363">
        <v>0</v>
      </c>
      <c r="W148" s="363">
        <v>0</v>
      </c>
      <c r="X148" s="363">
        <v>0</v>
      </c>
      <c r="Y148" s="363">
        <f t="shared" si="57"/>
        <v>0</v>
      </c>
      <c r="Z148" s="363">
        <f t="shared" si="58"/>
        <v>0</v>
      </c>
      <c r="AA148" s="410"/>
      <c r="AB148" s="411">
        <v>0</v>
      </c>
      <c r="AC148" s="411">
        <v>0</v>
      </c>
      <c r="AD148" s="411">
        <v>0</v>
      </c>
      <c r="AE148" s="411">
        <v>0</v>
      </c>
      <c r="AF148" s="411">
        <v>0</v>
      </c>
      <c r="AG148" s="411">
        <v>0</v>
      </c>
      <c r="AH148" s="363">
        <f t="shared" si="59"/>
        <v>0</v>
      </c>
      <c r="AI148" s="411">
        <f t="shared" si="60"/>
        <v>0</v>
      </c>
      <c r="AJ148" s="410"/>
      <c r="AK148" s="411">
        <v>0</v>
      </c>
      <c r="AL148" s="411">
        <v>0</v>
      </c>
      <c r="AM148" s="411">
        <v>0</v>
      </c>
      <c r="AN148" s="410"/>
      <c r="AO148" s="411">
        <f t="shared" si="61"/>
        <v>0</v>
      </c>
      <c r="AP148" s="411">
        <f t="shared" si="61"/>
        <v>0</v>
      </c>
      <c r="AQ148" s="411">
        <f t="shared" si="61"/>
        <v>0</v>
      </c>
      <c r="AR148" s="412"/>
      <c r="AS148" s="412">
        <v>0</v>
      </c>
      <c r="AT148" s="413">
        <f t="shared" si="62"/>
        <v>0</v>
      </c>
      <c r="AU148" s="412"/>
      <c r="AV148" s="412">
        <v>0</v>
      </c>
      <c r="AW148" s="412">
        <v>0</v>
      </c>
      <c r="AX148" s="412">
        <v>0</v>
      </c>
      <c r="AY148" s="412">
        <v>0</v>
      </c>
      <c r="AZ148" s="412">
        <v>0</v>
      </c>
      <c r="BA148" s="412">
        <v>0</v>
      </c>
      <c r="BB148" s="412">
        <v>0</v>
      </c>
      <c r="BC148" s="412">
        <f t="shared" si="63"/>
        <v>0</v>
      </c>
      <c r="BE148" s="205">
        <f t="shared" si="50"/>
        <v>0</v>
      </c>
      <c r="BF148" s="205">
        <f t="shared" si="50"/>
        <v>0</v>
      </c>
      <c r="BG148" s="205">
        <f t="shared" si="50"/>
        <v>0</v>
      </c>
      <c r="BH148" s="205">
        <f t="shared" si="49"/>
        <v>0</v>
      </c>
      <c r="BI148" s="205">
        <f t="shared" si="49"/>
        <v>0</v>
      </c>
      <c r="BJ148" s="205">
        <f t="shared" si="49"/>
        <v>0</v>
      </c>
      <c r="BK148" s="205">
        <f t="shared" si="64"/>
        <v>0</v>
      </c>
      <c r="BL148" s="205">
        <f t="shared" si="65"/>
        <v>0</v>
      </c>
      <c r="BM148" s="215">
        <f t="shared" si="66"/>
        <v>0</v>
      </c>
      <c r="BN148" s="215"/>
      <c r="BO148" s="412">
        <f t="shared" si="51"/>
        <v>0</v>
      </c>
      <c r="BP148" s="412">
        <f t="shared" si="51"/>
        <v>0</v>
      </c>
      <c r="BQ148" s="412">
        <f t="shared" si="51"/>
        <v>0</v>
      </c>
      <c r="BR148" s="412">
        <f t="shared" si="51"/>
        <v>0</v>
      </c>
      <c r="BS148" s="412">
        <f t="shared" si="51"/>
        <v>0</v>
      </c>
      <c r="BT148" s="412">
        <f t="shared" si="51"/>
        <v>0</v>
      </c>
      <c r="BU148" s="412">
        <f t="shared" si="48"/>
        <v>0</v>
      </c>
      <c r="BV148" s="412">
        <f t="shared" si="67"/>
        <v>0</v>
      </c>
      <c r="BW148" s="412">
        <f t="shared" si="52"/>
        <v>0</v>
      </c>
      <c r="BX148" s="412"/>
      <c r="BY148" s="412">
        <f t="shared" si="68"/>
        <v>0</v>
      </c>
      <c r="BZ148" s="412"/>
      <c r="CA148" s="412">
        <f>IFERROR(VLOOKUP(A148,'Actuals Summer'!A:S,19,FALSE),0)</f>
        <v>0</v>
      </c>
      <c r="CC148" s="412"/>
      <c r="CD148" s="412"/>
      <c r="CE148" s="412"/>
      <c r="CF148" s="412"/>
      <c r="CG148" s="412"/>
      <c r="CH148" s="412"/>
      <c r="CI148" s="412"/>
      <c r="CJ148" s="412"/>
      <c r="CK148" s="412"/>
      <c r="CL148" s="412"/>
      <c r="CM148" s="412"/>
      <c r="CN148" s="412"/>
      <c r="CO148" s="412"/>
      <c r="CQ148" s="363"/>
      <c r="CR148" s="363"/>
      <c r="CS148" s="363"/>
      <c r="CT148" s="363"/>
      <c r="CU148" s="363"/>
      <c r="CV148" s="363"/>
      <c r="CW148" s="363"/>
      <c r="CX148" s="363"/>
      <c r="CZ148" s="414"/>
      <c r="DA148" s="414"/>
      <c r="DB148" s="414"/>
      <c r="DC148" s="414"/>
      <c r="DD148" s="414"/>
      <c r="DE148" s="414"/>
      <c r="DF148" s="414"/>
      <c r="DG148" s="414"/>
      <c r="DI148" s="414">
        <f t="shared" si="69"/>
        <v>0</v>
      </c>
      <c r="DJ148" s="414"/>
      <c r="DK148" s="414"/>
      <c r="DL148" s="414"/>
      <c r="DM148" s="414"/>
      <c r="DN148" s="414"/>
      <c r="DO148" s="414"/>
      <c r="DP148" s="414"/>
      <c r="DQ148" s="414"/>
      <c r="DS148" s="414"/>
      <c r="DT148" s="414"/>
      <c r="DU148" s="414"/>
      <c r="DV148" s="414"/>
      <c r="DW148" s="414"/>
      <c r="DX148" s="414"/>
      <c r="DY148" s="414"/>
      <c r="DZ148" s="414"/>
      <c r="EB148" s="415">
        <f t="shared" si="53"/>
        <v>0</v>
      </c>
      <c r="EC148" s="415">
        <f t="shared" si="54"/>
        <v>0</v>
      </c>
      <c r="ED148" s="416">
        <f t="shared" si="70"/>
        <v>0</v>
      </c>
    </row>
    <row r="149" spans="1:134" hidden="1" x14ac:dyDescent="0.35">
      <c r="A149" s="17">
        <v>7009</v>
      </c>
      <c r="B149" s="4">
        <v>103601</v>
      </c>
      <c r="C149" s="4" t="s">
        <v>1039</v>
      </c>
      <c r="D149" s="4" t="s">
        <v>379</v>
      </c>
      <c r="E149" s="15" t="s">
        <v>895</v>
      </c>
      <c r="F149" s="16" t="s">
        <v>27</v>
      </c>
      <c r="G149" s="215"/>
      <c r="H149" s="363">
        <v>0</v>
      </c>
      <c r="I149" s="410"/>
      <c r="J149" s="363">
        <v>0</v>
      </c>
      <c r="K149" s="363">
        <v>0</v>
      </c>
      <c r="L149" s="363">
        <v>0</v>
      </c>
      <c r="M149" s="363">
        <v>0</v>
      </c>
      <c r="N149" s="363">
        <v>0</v>
      </c>
      <c r="O149" s="363">
        <v>0</v>
      </c>
      <c r="P149" s="215">
        <f t="shared" si="55"/>
        <v>0</v>
      </c>
      <c r="Q149" s="363">
        <f t="shared" si="56"/>
        <v>0</v>
      </c>
      <c r="R149" s="410"/>
      <c r="S149" s="363">
        <v>0</v>
      </c>
      <c r="T149" s="363">
        <v>0</v>
      </c>
      <c r="U149" s="363">
        <v>0</v>
      </c>
      <c r="V149" s="363">
        <v>0</v>
      </c>
      <c r="W149" s="363">
        <v>0</v>
      </c>
      <c r="X149" s="363">
        <v>0</v>
      </c>
      <c r="Y149" s="363">
        <f t="shared" si="57"/>
        <v>0</v>
      </c>
      <c r="Z149" s="363">
        <f t="shared" si="58"/>
        <v>0</v>
      </c>
      <c r="AA149" s="410"/>
      <c r="AB149" s="411">
        <v>0</v>
      </c>
      <c r="AC149" s="411">
        <v>0</v>
      </c>
      <c r="AD149" s="411">
        <v>18536.400000000001</v>
      </c>
      <c r="AE149" s="411">
        <v>1417.8000000000002</v>
      </c>
      <c r="AF149" s="411">
        <v>10</v>
      </c>
      <c r="AG149" s="411">
        <v>0</v>
      </c>
      <c r="AH149" s="363">
        <f t="shared" si="59"/>
        <v>19964.2</v>
      </c>
      <c r="AI149" s="411">
        <f t="shared" si="60"/>
        <v>15971.36</v>
      </c>
      <c r="AJ149" s="410"/>
      <c r="AK149" s="411">
        <v>0</v>
      </c>
      <c r="AL149" s="411">
        <v>0</v>
      </c>
      <c r="AM149" s="411">
        <v>0</v>
      </c>
      <c r="AN149" s="410"/>
      <c r="AO149" s="411">
        <f t="shared" si="61"/>
        <v>0</v>
      </c>
      <c r="AP149" s="411">
        <f t="shared" si="61"/>
        <v>0</v>
      </c>
      <c r="AQ149" s="411">
        <f t="shared" si="61"/>
        <v>0</v>
      </c>
      <c r="AR149" s="412"/>
      <c r="AS149" s="412">
        <v>0</v>
      </c>
      <c r="AT149" s="413">
        <f t="shared" si="62"/>
        <v>0</v>
      </c>
      <c r="AU149" s="412"/>
      <c r="AV149" s="412">
        <v>0</v>
      </c>
      <c r="AW149" s="412">
        <v>0</v>
      </c>
      <c r="AX149" s="412">
        <v>0</v>
      </c>
      <c r="AY149" s="412">
        <v>0</v>
      </c>
      <c r="AZ149" s="412">
        <v>0</v>
      </c>
      <c r="BA149" s="412">
        <v>0</v>
      </c>
      <c r="BB149" s="412">
        <v>0</v>
      </c>
      <c r="BC149" s="412">
        <f t="shared" si="63"/>
        <v>0</v>
      </c>
      <c r="BE149" s="205">
        <f t="shared" si="50"/>
        <v>0</v>
      </c>
      <c r="BF149" s="205">
        <f t="shared" si="50"/>
        <v>0</v>
      </c>
      <c r="BG149" s="205">
        <f t="shared" si="50"/>
        <v>0</v>
      </c>
      <c r="BH149" s="205">
        <f t="shared" si="49"/>
        <v>0</v>
      </c>
      <c r="BI149" s="205">
        <f t="shared" si="49"/>
        <v>0</v>
      </c>
      <c r="BJ149" s="205">
        <f t="shared" si="49"/>
        <v>0</v>
      </c>
      <c r="BK149" s="205">
        <f t="shared" si="64"/>
        <v>0</v>
      </c>
      <c r="BL149" s="205">
        <f t="shared" si="65"/>
        <v>0</v>
      </c>
      <c r="BM149" s="215">
        <f t="shared" si="66"/>
        <v>0</v>
      </c>
      <c r="BN149" s="215"/>
      <c r="BO149" s="412">
        <f t="shared" si="51"/>
        <v>0</v>
      </c>
      <c r="BP149" s="412">
        <f t="shared" si="51"/>
        <v>0</v>
      </c>
      <c r="BQ149" s="412">
        <f t="shared" si="51"/>
        <v>0</v>
      </c>
      <c r="BR149" s="412">
        <f t="shared" si="51"/>
        <v>0</v>
      </c>
      <c r="BS149" s="412">
        <f t="shared" si="51"/>
        <v>0</v>
      </c>
      <c r="BT149" s="412">
        <f t="shared" si="51"/>
        <v>0</v>
      </c>
      <c r="BU149" s="412">
        <f t="shared" si="48"/>
        <v>0</v>
      </c>
      <c r="BV149" s="412">
        <f t="shared" si="67"/>
        <v>0</v>
      </c>
      <c r="BW149" s="412">
        <f t="shared" si="52"/>
        <v>0</v>
      </c>
      <c r="BX149" s="412"/>
      <c r="BY149" s="412">
        <f t="shared" si="68"/>
        <v>0</v>
      </c>
      <c r="BZ149" s="412"/>
      <c r="CA149" s="412">
        <f>IFERROR(VLOOKUP(A149,'Actuals Summer'!A:S,19,FALSE),0)</f>
        <v>0</v>
      </c>
      <c r="CC149" s="412"/>
      <c r="CD149" s="412"/>
      <c r="CE149" s="412"/>
      <c r="CF149" s="412"/>
      <c r="CG149" s="412"/>
      <c r="CH149" s="412"/>
      <c r="CI149" s="412"/>
      <c r="CJ149" s="412"/>
      <c r="CK149" s="412"/>
      <c r="CL149" s="412"/>
      <c r="CM149" s="412"/>
      <c r="CN149" s="412"/>
      <c r="CO149" s="412"/>
      <c r="CQ149" s="363"/>
      <c r="CR149" s="363"/>
      <c r="CS149" s="363"/>
      <c r="CT149" s="363"/>
      <c r="CU149" s="363"/>
      <c r="CV149" s="363"/>
      <c r="CW149" s="363"/>
      <c r="CX149" s="363"/>
      <c r="CZ149" s="414"/>
      <c r="DA149" s="414"/>
      <c r="DB149" s="414"/>
      <c r="DC149" s="414"/>
      <c r="DD149" s="414"/>
      <c r="DE149" s="414"/>
      <c r="DF149" s="414"/>
      <c r="DG149" s="414"/>
      <c r="DI149" s="414">
        <f t="shared" si="69"/>
        <v>0</v>
      </c>
      <c r="DJ149" s="414"/>
      <c r="DK149" s="414"/>
      <c r="DL149" s="414"/>
      <c r="DM149" s="414"/>
      <c r="DN149" s="414"/>
      <c r="DO149" s="414"/>
      <c r="DP149" s="414"/>
      <c r="DQ149" s="414"/>
      <c r="DS149" s="414"/>
      <c r="DT149" s="414"/>
      <c r="DU149" s="414"/>
      <c r="DV149" s="414"/>
      <c r="DW149" s="414"/>
      <c r="DX149" s="414"/>
      <c r="DY149" s="414"/>
      <c r="DZ149" s="414"/>
      <c r="EB149" s="415">
        <f t="shared" si="53"/>
        <v>15971.36</v>
      </c>
      <c r="EC149" s="415">
        <f t="shared" si="54"/>
        <v>0</v>
      </c>
      <c r="ED149" s="416">
        <f t="shared" si="70"/>
        <v>15971.36</v>
      </c>
    </row>
    <row r="150" spans="1:134" hidden="1" x14ac:dyDescent="0.35">
      <c r="A150" s="17">
        <v>5203</v>
      </c>
      <c r="B150" s="4">
        <v>103544</v>
      </c>
      <c r="C150" s="4" t="s">
        <v>158</v>
      </c>
      <c r="D150" s="4" t="s">
        <v>159</v>
      </c>
      <c r="E150" s="15" t="s">
        <v>32</v>
      </c>
      <c r="F150" s="16" t="s">
        <v>27</v>
      </c>
      <c r="G150" s="215"/>
      <c r="H150" s="363">
        <v>0</v>
      </c>
      <c r="I150" s="410"/>
      <c r="J150" s="363">
        <v>0</v>
      </c>
      <c r="K150" s="363">
        <v>0</v>
      </c>
      <c r="L150" s="363">
        <v>107058.9</v>
      </c>
      <c r="M150" s="363">
        <v>0</v>
      </c>
      <c r="N150" s="363">
        <v>0</v>
      </c>
      <c r="O150" s="363">
        <v>0</v>
      </c>
      <c r="P150" s="215">
        <f t="shared" si="55"/>
        <v>107058.9</v>
      </c>
      <c r="Q150" s="363">
        <f t="shared" si="56"/>
        <v>85647.12</v>
      </c>
      <c r="R150" s="410"/>
      <c r="S150" s="363">
        <v>0</v>
      </c>
      <c r="T150" s="363">
        <v>0</v>
      </c>
      <c r="U150" s="363">
        <v>105955.20000000001</v>
      </c>
      <c r="V150" s="363">
        <v>195</v>
      </c>
      <c r="W150" s="363">
        <v>74.578947368421055</v>
      </c>
      <c r="X150" s="363">
        <v>0</v>
      </c>
      <c r="Y150" s="363">
        <f t="shared" si="57"/>
        <v>106224.77894736844</v>
      </c>
      <c r="Z150" s="363">
        <f t="shared" si="58"/>
        <v>84979.82315789476</v>
      </c>
      <c r="AA150" s="410"/>
      <c r="AB150" s="411">
        <v>0</v>
      </c>
      <c r="AC150" s="411">
        <v>0</v>
      </c>
      <c r="AD150" s="411">
        <v>92978.905263157896</v>
      </c>
      <c r="AE150" s="411">
        <v>170.52631578947367</v>
      </c>
      <c r="AF150" s="411">
        <v>43.479224376731295</v>
      </c>
      <c r="AG150" s="411">
        <v>0</v>
      </c>
      <c r="AH150" s="363">
        <f t="shared" si="59"/>
        <v>93192.910803324106</v>
      </c>
      <c r="AI150" s="411">
        <f t="shared" si="60"/>
        <v>74554.328642659282</v>
      </c>
      <c r="AJ150" s="410"/>
      <c r="AK150" s="411">
        <v>269.10000000000002</v>
      </c>
      <c r="AL150" s="411">
        <v>31.2</v>
      </c>
      <c r="AM150" s="411">
        <v>165.97894736842107</v>
      </c>
      <c r="AN150" s="410"/>
      <c r="AO150" s="411">
        <f t="shared" si="61"/>
        <v>215.28000000000003</v>
      </c>
      <c r="AP150" s="411">
        <f t="shared" si="61"/>
        <v>24.96</v>
      </c>
      <c r="AQ150" s="411">
        <f t="shared" si="61"/>
        <v>132.78315789473686</v>
      </c>
      <c r="AR150" s="412"/>
      <c r="AS150" s="412">
        <v>0</v>
      </c>
      <c r="AT150" s="413">
        <f t="shared" si="62"/>
        <v>0</v>
      </c>
      <c r="AU150" s="412"/>
      <c r="AV150" s="412">
        <v>0</v>
      </c>
      <c r="AW150" s="412">
        <v>0</v>
      </c>
      <c r="AX150" s="412">
        <v>104851.5</v>
      </c>
      <c r="AY150" s="412">
        <v>780</v>
      </c>
      <c r="AZ150" s="412">
        <v>223.73684210526318</v>
      </c>
      <c r="BA150" s="412">
        <v>0</v>
      </c>
      <c r="BB150" s="412">
        <v>31.2</v>
      </c>
      <c r="BC150" s="412">
        <f t="shared" si="63"/>
        <v>105886.43684210526</v>
      </c>
      <c r="BE150" s="205">
        <f t="shared" si="50"/>
        <v>0</v>
      </c>
      <c r="BF150" s="205">
        <f t="shared" si="50"/>
        <v>0</v>
      </c>
      <c r="BG150" s="205">
        <f t="shared" si="50"/>
        <v>-2207.3999999999942</v>
      </c>
      <c r="BH150" s="205">
        <f t="shared" si="49"/>
        <v>780</v>
      </c>
      <c r="BI150" s="205">
        <f t="shared" si="49"/>
        <v>223.73684210526318</v>
      </c>
      <c r="BJ150" s="205">
        <f t="shared" si="49"/>
        <v>0</v>
      </c>
      <c r="BK150" s="205">
        <f t="shared" si="64"/>
        <v>-237.90000000000003</v>
      </c>
      <c r="BL150" s="205">
        <f t="shared" si="65"/>
        <v>-1441.5631578947311</v>
      </c>
      <c r="BM150" s="215">
        <f t="shared" si="66"/>
        <v>0</v>
      </c>
      <c r="BN150" s="215"/>
      <c r="BO150" s="412">
        <f t="shared" si="51"/>
        <v>0</v>
      </c>
      <c r="BP150" s="412">
        <f t="shared" si="51"/>
        <v>0</v>
      </c>
      <c r="BQ150" s="412">
        <f t="shared" si="51"/>
        <v>19204.380000000005</v>
      </c>
      <c r="BR150" s="412">
        <f t="shared" si="51"/>
        <v>780</v>
      </c>
      <c r="BS150" s="412">
        <f t="shared" si="51"/>
        <v>223.73684210526318</v>
      </c>
      <c r="BT150" s="412">
        <f t="shared" si="51"/>
        <v>0</v>
      </c>
      <c r="BU150" s="412">
        <f t="shared" si="48"/>
        <v>-184.08000000000004</v>
      </c>
      <c r="BV150" s="412">
        <f t="shared" si="67"/>
        <v>20024.036842105266</v>
      </c>
      <c r="BW150" s="412">
        <f t="shared" si="52"/>
        <v>0</v>
      </c>
      <c r="BX150" s="412"/>
      <c r="BY150" s="412">
        <f t="shared" si="68"/>
        <v>105886.43684210526</v>
      </c>
      <c r="BZ150" s="412"/>
      <c r="CA150" s="412">
        <f>IFERROR(VLOOKUP(A150,'Actuals Summer'!A:S,19,FALSE),0)</f>
        <v>105886.43684210526</v>
      </c>
      <c r="CC150" s="412"/>
      <c r="CD150" s="412"/>
      <c r="CE150" s="412"/>
      <c r="CF150" s="412"/>
      <c r="CG150" s="412"/>
      <c r="CH150" s="412"/>
      <c r="CI150" s="412"/>
      <c r="CJ150" s="412"/>
      <c r="CK150" s="412"/>
      <c r="CL150" s="412"/>
      <c r="CM150" s="412"/>
      <c r="CN150" s="412"/>
      <c r="CO150" s="412"/>
      <c r="CQ150" s="363"/>
      <c r="CR150" s="363"/>
      <c r="CS150" s="363"/>
      <c r="CT150" s="363"/>
      <c r="CU150" s="363"/>
      <c r="CV150" s="363"/>
      <c r="CW150" s="363"/>
      <c r="CX150" s="363"/>
      <c r="CZ150" s="414"/>
      <c r="DA150" s="414"/>
      <c r="DB150" s="414"/>
      <c r="DC150" s="414"/>
      <c r="DD150" s="414"/>
      <c r="DE150" s="414"/>
      <c r="DF150" s="414"/>
      <c r="DG150" s="414"/>
      <c r="DI150" s="414">
        <f t="shared" si="69"/>
        <v>0</v>
      </c>
      <c r="DJ150" s="414"/>
      <c r="DK150" s="414"/>
      <c r="DL150" s="414"/>
      <c r="DM150" s="414"/>
      <c r="DN150" s="414"/>
      <c r="DO150" s="414"/>
      <c r="DP150" s="414"/>
      <c r="DQ150" s="414"/>
      <c r="DS150" s="414"/>
      <c r="DT150" s="414"/>
      <c r="DU150" s="414"/>
      <c r="DV150" s="414"/>
      <c r="DW150" s="414"/>
      <c r="DX150" s="414"/>
      <c r="DY150" s="414"/>
      <c r="DZ150" s="414"/>
      <c r="EB150" s="415">
        <f t="shared" si="53"/>
        <v>265578.33180055406</v>
      </c>
      <c r="EC150" s="415">
        <f t="shared" si="54"/>
        <v>0</v>
      </c>
      <c r="ED150" s="416">
        <f t="shared" si="70"/>
        <v>265578.33180055406</v>
      </c>
    </row>
    <row r="151" spans="1:134" hidden="1" x14ac:dyDescent="0.35">
      <c r="A151" s="17">
        <v>5202</v>
      </c>
      <c r="B151" s="4">
        <v>103543</v>
      </c>
      <c r="C151" s="4" t="s">
        <v>1040</v>
      </c>
      <c r="D151" s="4" t="s">
        <v>1041</v>
      </c>
      <c r="E151" s="15" t="s">
        <v>32</v>
      </c>
      <c r="F151" s="16" t="s">
        <v>27</v>
      </c>
      <c r="G151" s="215"/>
      <c r="H151" s="363">
        <v>0</v>
      </c>
      <c r="I151" s="410"/>
      <c r="J151" s="363">
        <v>0</v>
      </c>
      <c r="K151" s="363">
        <v>0</v>
      </c>
      <c r="L151" s="363">
        <v>0</v>
      </c>
      <c r="M151" s="363">
        <v>0</v>
      </c>
      <c r="N151" s="363">
        <v>0</v>
      </c>
      <c r="O151" s="363">
        <v>0</v>
      </c>
      <c r="P151" s="215">
        <f t="shared" si="55"/>
        <v>0</v>
      </c>
      <c r="Q151" s="363">
        <f t="shared" si="56"/>
        <v>0</v>
      </c>
      <c r="R151" s="410"/>
      <c r="S151" s="363">
        <v>0</v>
      </c>
      <c r="T151" s="363">
        <v>0</v>
      </c>
      <c r="U151" s="363">
        <v>0</v>
      </c>
      <c r="V151" s="363">
        <v>0</v>
      </c>
      <c r="W151" s="363">
        <v>0</v>
      </c>
      <c r="X151" s="363">
        <v>0</v>
      </c>
      <c r="Y151" s="363">
        <f t="shared" si="57"/>
        <v>0</v>
      </c>
      <c r="Z151" s="363">
        <f t="shared" si="58"/>
        <v>0</v>
      </c>
      <c r="AA151" s="410"/>
      <c r="AB151" s="411">
        <v>0</v>
      </c>
      <c r="AC151" s="411">
        <v>0</v>
      </c>
      <c r="AD151" s="411">
        <v>0</v>
      </c>
      <c r="AE151" s="411">
        <v>0</v>
      </c>
      <c r="AF151" s="411">
        <v>0</v>
      </c>
      <c r="AG151" s="411">
        <v>0</v>
      </c>
      <c r="AH151" s="363">
        <f t="shared" si="59"/>
        <v>0</v>
      </c>
      <c r="AI151" s="411">
        <f t="shared" si="60"/>
        <v>0</v>
      </c>
      <c r="AJ151" s="410"/>
      <c r="AK151" s="411">
        <v>0</v>
      </c>
      <c r="AL151" s="411">
        <v>0</v>
      </c>
      <c r="AM151" s="411">
        <v>0</v>
      </c>
      <c r="AN151" s="410"/>
      <c r="AO151" s="411">
        <f t="shared" si="61"/>
        <v>0</v>
      </c>
      <c r="AP151" s="411">
        <f t="shared" si="61"/>
        <v>0</v>
      </c>
      <c r="AQ151" s="411">
        <f t="shared" si="61"/>
        <v>0</v>
      </c>
      <c r="AR151" s="412"/>
      <c r="AS151" s="412">
        <v>0</v>
      </c>
      <c r="AT151" s="413">
        <f t="shared" si="62"/>
        <v>0</v>
      </c>
      <c r="AU151" s="412"/>
      <c r="AV151" s="412">
        <v>0</v>
      </c>
      <c r="AW151" s="412">
        <v>0</v>
      </c>
      <c r="AX151" s="412">
        <v>0</v>
      </c>
      <c r="AY151" s="412">
        <v>0</v>
      </c>
      <c r="AZ151" s="412">
        <v>0</v>
      </c>
      <c r="BA151" s="412">
        <v>0</v>
      </c>
      <c r="BB151" s="412">
        <v>0</v>
      </c>
      <c r="BC151" s="412">
        <f t="shared" si="63"/>
        <v>0</v>
      </c>
      <c r="BE151" s="205">
        <f t="shared" si="50"/>
        <v>0</v>
      </c>
      <c r="BF151" s="205">
        <f t="shared" si="50"/>
        <v>0</v>
      </c>
      <c r="BG151" s="205">
        <f t="shared" si="50"/>
        <v>0</v>
      </c>
      <c r="BH151" s="205">
        <f t="shared" si="49"/>
        <v>0</v>
      </c>
      <c r="BI151" s="205">
        <f t="shared" si="49"/>
        <v>0</v>
      </c>
      <c r="BJ151" s="205">
        <f t="shared" si="49"/>
        <v>0</v>
      </c>
      <c r="BK151" s="205">
        <f t="shared" si="64"/>
        <v>0</v>
      </c>
      <c r="BL151" s="205">
        <f t="shared" si="65"/>
        <v>0</v>
      </c>
      <c r="BM151" s="215">
        <f t="shared" si="66"/>
        <v>0</v>
      </c>
      <c r="BN151" s="215"/>
      <c r="BO151" s="412">
        <f t="shared" si="51"/>
        <v>0</v>
      </c>
      <c r="BP151" s="412">
        <f t="shared" si="51"/>
        <v>0</v>
      </c>
      <c r="BQ151" s="412">
        <f t="shared" si="51"/>
        <v>0</v>
      </c>
      <c r="BR151" s="412">
        <f t="shared" si="51"/>
        <v>0</v>
      </c>
      <c r="BS151" s="412">
        <f t="shared" si="51"/>
        <v>0</v>
      </c>
      <c r="BT151" s="412">
        <f t="shared" si="51"/>
        <v>0</v>
      </c>
      <c r="BU151" s="412">
        <f t="shared" si="48"/>
        <v>0</v>
      </c>
      <c r="BV151" s="412">
        <f t="shared" si="67"/>
        <v>0</v>
      </c>
      <c r="BW151" s="412">
        <f t="shared" si="52"/>
        <v>0</v>
      </c>
      <c r="BX151" s="412"/>
      <c r="BY151" s="412">
        <f t="shared" si="68"/>
        <v>0</v>
      </c>
      <c r="BZ151" s="412"/>
      <c r="CA151" s="412">
        <f>IFERROR(VLOOKUP(A151,'Actuals Summer'!A:S,19,FALSE),0)</f>
        <v>0</v>
      </c>
      <c r="CC151" s="412"/>
      <c r="CD151" s="412"/>
      <c r="CE151" s="412"/>
      <c r="CF151" s="412"/>
      <c r="CG151" s="412"/>
      <c r="CH151" s="412"/>
      <c r="CI151" s="412"/>
      <c r="CJ151" s="412"/>
      <c r="CK151" s="412"/>
      <c r="CL151" s="412"/>
      <c r="CM151" s="412"/>
      <c r="CN151" s="412"/>
      <c r="CO151" s="412"/>
      <c r="CQ151" s="363"/>
      <c r="CR151" s="363"/>
      <c r="CS151" s="363"/>
      <c r="CT151" s="363"/>
      <c r="CU151" s="363"/>
      <c r="CV151" s="363"/>
      <c r="CW151" s="363"/>
      <c r="CX151" s="363"/>
      <c r="CZ151" s="414"/>
      <c r="DA151" s="414"/>
      <c r="DB151" s="414"/>
      <c r="DC151" s="414"/>
      <c r="DD151" s="414"/>
      <c r="DE151" s="414"/>
      <c r="DF151" s="414"/>
      <c r="DG151" s="414"/>
      <c r="DI151" s="414">
        <f t="shared" si="69"/>
        <v>0</v>
      </c>
      <c r="DJ151" s="414"/>
      <c r="DK151" s="414"/>
      <c r="DL151" s="414"/>
      <c r="DM151" s="414"/>
      <c r="DN151" s="414"/>
      <c r="DO151" s="414"/>
      <c r="DP151" s="414"/>
      <c r="DQ151" s="414"/>
      <c r="DS151" s="414"/>
      <c r="DT151" s="414"/>
      <c r="DU151" s="414"/>
      <c r="DV151" s="414"/>
      <c r="DW151" s="414"/>
      <c r="DX151" s="414"/>
      <c r="DY151" s="414"/>
      <c r="DZ151" s="414"/>
      <c r="EB151" s="415">
        <f t="shared" si="53"/>
        <v>0</v>
      </c>
      <c r="EC151" s="415">
        <f t="shared" si="54"/>
        <v>0</v>
      </c>
      <c r="ED151" s="416">
        <f t="shared" si="70"/>
        <v>0</v>
      </c>
    </row>
    <row r="152" spans="1:134" hidden="1" x14ac:dyDescent="0.35">
      <c r="A152" s="17">
        <v>2108</v>
      </c>
      <c r="B152" s="4">
        <v>103217</v>
      </c>
      <c r="C152" s="4" t="s">
        <v>160</v>
      </c>
      <c r="D152" s="4" t="s">
        <v>161</v>
      </c>
      <c r="E152" s="15" t="s">
        <v>32</v>
      </c>
      <c r="F152" s="16" t="s">
        <v>27</v>
      </c>
      <c r="G152" s="215"/>
      <c r="H152" s="363">
        <v>0</v>
      </c>
      <c r="I152" s="410"/>
      <c r="J152" s="363">
        <v>0</v>
      </c>
      <c r="K152" s="363">
        <v>0</v>
      </c>
      <c r="L152" s="363">
        <v>57392.4</v>
      </c>
      <c r="M152" s="363">
        <v>0</v>
      </c>
      <c r="N152" s="363">
        <v>0</v>
      </c>
      <c r="O152" s="363">
        <v>0</v>
      </c>
      <c r="P152" s="215">
        <f t="shared" si="55"/>
        <v>57392.4</v>
      </c>
      <c r="Q152" s="363">
        <f t="shared" si="56"/>
        <v>45913.920000000006</v>
      </c>
      <c r="R152" s="410"/>
      <c r="S152" s="363">
        <v>0</v>
      </c>
      <c r="T152" s="363">
        <v>0</v>
      </c>
      <c r="U152" s="363">
        <v>47459.1</v>
      </c>
      <c r="V152" s="363">
        <v>195</v>
      </c>
      <c r="W152" s="363">
        <v>74.578947368421055</v>
      </c>
      <c r="X152" s="363">
        <v>0</v>
      </c>
      <c r="Y152" s="363">
        <f t="shared" si="57"/>
        <v>47728.678947368418</v>
      </c>
      <c r="Z152" s="363">
        <f t="shared" si="58"/>
        <v>38182.943157894733</v>
      </c>
      <c r="AA152" s="410"/>
      <c r="AB152" s="411">
        <v>0</v>
      </c>
      <c r="AC152" s="411">
        <v>0</v>
      </c>
      <c r="AD152" s="411">
        <v>47293.768421052628</v>
      </c>
      <c r="AE152" s="411">
        <v>738.94736842105272</v>
      </c>
      <c r="AF152" s="411">
        <v>21.739612188365648</v>
      </c>
      <c r="AG152" s="411">
        <v>0</v>
      </c>
      <c r="AH152" s="363">
        <f t="shared" si="59"/>
        <v>48054.455401662046</v>
      </c>
      <c r="AI152" s="411">
        <f t="shared" si="60"/>
        <v>38443.564321329635</v>
      </c>
      <c r="AJ152" s="410"/>
      <c r="AK152" s="411">
        <v>2172.2999999999997</v>
      </c>
      <c r="AL152" s="411">
        <v>1780.35</v>
      </c>
      <c r="AM152" s="411">
        <v>1797.3473684210524</v>
      </c>
      <c r="AN152" s="410"/>
      <c r="AO152" s="411">
        <f t="shared" si="61"/>
        <v>1737.84</v>
      </c>
      <c r="AP152" s="411">
        <f t="shared" si="61"/>
        <v>1424.28</v>
      </c>
      <c r="AQ152" s="411">
        <f t="shared" si="61"/>
        <v>1437.8778947368419</v>
      </c>
      <c r="AR152" s="412"/>
      <c r="AS152" s="412">
        <v>0</v>
      </c>
      <c r="AT152" s="413">
        <f t="shared" si="62"/>
        <v>0</v>
      </c>
      <c r="AU152" s="412"/>
      <c r="AV152" s="412">
        <v>0</v>
      </c>
      <c r="AW152" s="412">
        <v>0</v>
      </c>
      <c r="AX152" s="412">
        <v>49666.5</v>
      </c>
      <c r="AY152" s="412">
        <v>195</v>
      </c>
      <c r="AZ152" s="412">
        <v>0</v>
      </c>
      <c r="BA152" s="412">
        <v>0</v>
      </c>
      <c r="BB152" s="412">
        <v>1811.5499999999997</v>
      </c>
      <c r="BC152" s="412">
        <f t="shared" si="63"/>
        <v>51673.05</v>
      </c>
      <c r="BE152" s="205">
        <f t="shared" si="50"/>
        <v>0</v>
      </c>
      <c r="BF152" s="205">
        <f t="shared" si="50"/>
        <v>0</v>
      </c>
      <c r="BG152" s="205">
        <f t="shared" si="50"/>
        <v>-7725.9000000000015</v>
      </c>
      <c r="BH152" s="205">
        <f t="shared" si="49"/>
        <v>195</v>
      </c>
      <c r="BI152" s="205">
        <f t="shared" si="49"/>
        <v>0</v>
      </c>
      <c r="BJ152" s="205">
        <f t="shared" si="49"/>
        <v>0</v>
      </c>
      <c r="BK152" s="205">
        <f t="shared" si="64"/>
        <v>-360.75</v>
      </c>
      <c r="BL152" s="205">
        <f t="shared" si="65"/>
        <v>-7891.6500000000015</v>
      </c>
      <c r="BM152" s="215">
        <f t="shared" si="66"/>
        <v>0</v>
      </c>
      <c r="BN152" s="215"/>
      <c r="BO152" s="412">
        <f t="shared" si="51"/>
        <v>0</v>
      </c>
      <c r="BP152" s="412">
        <f t="shared" si="51"/>
        <v>0</v>
      </c>
      <c r="BQ152" s="412">
        <f t="shared" si="51"/>
        <v>3752.5799999999945</v>
      </c>
      <c r="BR152" s="412">
        <f t="shared" si="51"/>
        <v>195</v>
      </c>
      <c r="BS152" s="412">
        <f t="shared" si="51"/>
        <v>0</v>
      </c>
      <c r="BT152" s="412">
        <f t="shared" si="51"/>
        <v>0</v>
      </c>
      <c r="BU152" s="412">
        <f t="shared" si="48"/>
        <v>73.709999999999809</v>
      </c>
      <c r="BV152" s="412">
        <f t="shared" si="67"/>
        <v>4021.2899999999945</v>
      </c>
      <c r="BW152" s="412">
        <f t="shared" si="52"/>
        <v>-7.2759576141834259E-12</v>
      </c>
      <c r="BX152" s="412"/>
      <c r="BY152" s="412">
        <f t="shared" si="68"/>
        <v>51673.049999999996</v>
      </c>
      <c r="BZ152" s="412"/>
      <c r="CA152" s="412">
        <f>IFERROR(VLOOKUP(A152,'Actuals Summer'!A:S,19,FALSE),0)</f>
        <v>51673.05</v>
      </c>
      <c r="CC152" s="412"/>
      <c r="CD152" s="412"/>
      <c r="CE152" s="412"/>
      <c r="CF152" s="412"/>
      <c r="CG152" s="412"/>
      <c r="CH152" s="412"/>
      <c r="CI152" s="412"/>
      <c r="CJ152" s="412"/>
      <c r="CK152" s="412"/>
      <c r="CL152" s="412"/>
      <c r="CM152" s="412"/>
      <c r="CN152" s="412"/>
      <c r="CO152" s="412"/>
      <c r="CQ152" s="363"/>
      <c r="CR152" s="363"/>
      <c r="CS152" s="363"/>
      <c r="CT152" s="363"/>
      <c r="CU152" s="363"/>
      <c r="CV152" s="363"/>
      <c r="CW152" s="363"/>
      <c r="CX152" s="363"/>
      <c r="CZ152" s="414"/>
      <c r="DA152" s="414"/>
      <c r="DB152" s="414"/>
      <c r="DC152" s="414"/>
      <c r="DD152" s="414"/>
      <c r="DE152" s="414"/>
      <c r="DF152" s="414"/>
      <c r="DG152" s="414"/>
      <c r="DI152" s="414">
        <f t="shared" si="69"/>
        <v>0</v>
      </c>
      <c r="DJ152" s="414"/>
      <c r="DK152" s="414"/>
      <c r="DL152" s="414"/>
      <c r="DM152" s="414"/>
      <c r="DN152" s="414"/>
      <c r="DO152" s="414"/>
      <c r="DP152" s="414"/>
      <c r="DQ152" s="414"/>
      <c r="DS152" s="414"/>
      <c r="DT152" s="414"/>
      <c r="DU152" s="414"/>
      <c r="DV152" s="414"/>
      <c r="DW152" s="414"/>
      <c r="DX152" s="414"/>
      <c r="DY152" s="414"/>
      <c r="DZ152" s="414"/>
      <c r="EB152" s="415">
        <f t="shared" si="53"/>
        <v>131161.7153739612</v>
      </c>
      <c r="EC152" s="415">
        <f t="shared" si="54"/>
        <v>0</v>
      </c>
      <c r="ED152" s="416">
        <f t="shared" si="70"/>
        <v>131161.7153739612</v>
      </c>
    </row>
    <row r="153" spans="1:134" hidden="1" x14ac:dyDescent="0.35">
      <c r="A153" s="17">
        <v>2306</v>
      </c>
      <c r="B153" s="4">
        <v>103326</v>
      </c>
      <c r="C153" s="4" t="s">
        <v>1042</v>
      </c>
      <c r="D153" s="4" t="s">
        <v>1043</v>
      </c>
      <c r="E153" s="15" t="s">
        <v>32</v>
      </c>
      <c r="F153" s="16" t="s">
        <v>27</v>
      </c>
      <c r="G153" s="215"/>
      <c r="H153" s="363">
        <v>0</v>
      </c>
      <c r="I153" s="410"/>
      <c r="J153" s="363">
        <v>0</v>
      </c>
      <c r="K153" s="363">
        <v>0</v>
      </c>
      <c r="L153" s="363">
        <v>0</v>
      </c>
      <c r="M153" s="363">
        <v>0</v>
      </c>
      <c r="N153" s="363">
        <v>0</v>
      </c>
      <c r="O153" s="363">
        <v>0</v>
      </c>
      <c r="P153" s="215">
        <f t="shared" si="55"/>
        <v>0</v>
      </c>
      <c r="Q153" s="363">
        <f t="shared" si="56"/>
        <v>0</v>
      </c>
      <c r="R153" s="410"/>
      <c r="S153" s="363">
        <v>0</v>
      </c>
      <c r="T153" s="363">
        <v>0</v>
      </c>
      <c r="U153" s="363">
        <v>0</v>
      </c>
      <c r="V153" s="363">
        <v>0</v>
      </c>
      <c r="W153" s="363">
        <v>0</v>
      </c>
      <c r="X153" s="363">
        <v>0</v>
      </c>
      <c r="Y153" s="363">
        <f t="shared" si="57"/>
        <v>0</v>
      </c>
      <c r="Z153" s="363">
        <f t="shared" si="58"/>
        <v>0</v>
      </c>
      <c r="AA153" s="410"/>
      <c r="AB153" s="411">
        <v>0</v>
      </c>
      <c r="AC153" s="411">
        <v>0</v>
      </c>
      <c r="AD153" s="411">
        <v>0</v>
      </c>
      <c r="AE153" s="411">
        <v>0</v>
      </c>
      <c r="AF153" s="411">
        <v>0</v>
      </c>
      <c r="AG153" s="411">
        <v>0</v>
      </c>
      <c r="AH153" s="363">
        <f t="shared" si="59"/>
        <v>0</v>
      </c>
      <c r="AI153" s="411">
        <f t="shared" si="60"/>
        <v>0</v>
      </c>
      <c r="AJ153" s="410"/>
      <c r="AK153" s="411">
        <v>0</v>
      </c>
      <c r="AL153" s="411">
        <v>0</v>
      </c>
      <c r="AM153" s="411">
        <v>0</v>
      </c>
      <c r="AN153" s="410"/>
      <c r="AO153" s="411">
        <f t="shared" si="61"/>
        <v>0</v>
      </c>
      <c r="AP153" s="411">
        <f t="shared" si="61"/>
        <v>0</v>
      </c>
      <c r="AQ153" s="411">
        <f t="shared" si="61"/>
        <v>0</v>
      </c>
      <c r="AR153" s="412"/>
      <c r="AS153" s="412">
        <v>0</v>
      </c>
      <c r="AT153" s="413">
        <f t="shared" si="62"/>
        <v>0</v>
      </c>
      <c r="AU153" s="412"/>
      <c r="AV153" s="412">
        <v>0</v>
      </c>
      <c r="AW153" s="412">
        <v>0</v>
      </c>
      <c r="AX153" s="412">
        <v>0</v>
      </c>
      <c r="AY153" s="412">
        <v>0</v>
      </c>
      <c r="AZ153" s="412">
        <v>0</v>
      </c>
      <c r="BA153" s="412">
        <v>0</v>
      </c>
      <c r="BB153" s="412">
        <v>0</v>
      </c>
      <c r="BC153" s="412">
        <f t="shared" si="63"/>
        <v>0</v>
      </c>
      <c r="BE153" s="205">
        <f t="shared" si="50"/>
        <v>0</v>
      </c>
      <c r="BF153" s="205">
        <f t="shared" si="50"/>
        <v>0</v>
      </c>
      <c r="BG153" s="205">
        <f t="shared" si="50"/>
        <v>0</v>
      </c>
      <c r="BH153" s="205">
        <f t="shared" si="49"/>
        <v>0</v>
      </c>
      <c r="BI153" s="205">
        <f t="shared" si="49"/>
        <v>0</v>
      </c>
      <c r="BJ153" s="205">
        <f t="shared" si="49"/>
        <v>0</v>
      </c>
      <c r="BK153" s="205">
        <f t="shared" si="64"/>
        <v>0</v>
      </c>
      <c r="BL153" s="205">
        <f t="shared" si="65"/>
        <v>0</v>
      </c>
      <c r="BM153" s="215">
        <f t="shared" si="66"/>
        <v>0</v>
      </c>
      <c r="BN153" s="215"/>
      <c r="BO153" s="412">
        <f t="shared" si="51"/>
        <v>0</v>
      </c>
      <c r="BP153" s="412">
        <f t="shared" si="51"/>
        <v>0</v>
      </c>
      <c r="BQ153" s="412">
        <f t="shared" si="51"/>
        <v>0</v>
      </c>
      <c r="BR153" s="412">
        <f t="shared" si="51"/>
        <v>0</v>
      </c>
      <c r="BS153" s="412">
        <f t="shared" si="51"/>
        <v>0</v>
      </c>
      <c r="BT153" s="412">
        <f t="shared" si="51"/>
        <v>0</v>
      </c>
      <c r="BU153" s="412">
        <f t="shared" si="48"/>
        <v>0</v>
      </c>
      <c r="BV153" s="412">
        <f t="shared" si="67"/>
        <v>0</v>
      </c>
      <c r="BW153" s="412">
        <f t="shared" si="52"/>
        <v>0</v>
      </c>
      <c r="BX153" s="412"/>
      <c r="BY153" s="412">
        <f t="shared" si="68"/>
        <v>0</v>
      </c>
      <c r="BZ153" s="412"/>
      <c r="CA153" s="412">
        <f>IFERROR(VLOOKUP(A153,'Actuals Summer'!A:S,19,FALSE),0)</f>
        <v>0</v>
      </c>
      <c r="CC153" s="412"/>
      <c r="CD153" s="412"/>
      <c r="CE153" s="412"/>
      <c r="CF153" s="412"/>
      <c r="CG153" s="412"/>
      <c r="CH153" s="412"/>
      <c r="CI153" s="412"/>
      <c r="CJ153" s="412"/>
      <c r="CK153" s="412"/>
      <c r="CL153" s="412"/>
      <c r="CM153" s="412"/>
      <c r="CN153" s="412"/>
      <c r="CO153" s="412"/>
      <c r="CQ153" s="363"/>
      <c r="CR153" s="363"/>
      <c r="CS153" s="363"/>
      <c r="CT153" s="363"/>
      <c r="CU153" s="363"/>
      <c r="CV153" s="363"/>
      <c r="CW153" s="363"/>
      <c r="CX153" s="363"/>
      <c r="CZ153" s="414"/>
      <c r="DA153" s="414"/>
      <c r="DB153" s="414"/>
      <c r="DC153" s="414"/>
      <c r="DD153" s="414"/>
      <c r="DE153" s="414"/>
      <c r="DF153" s="414"/>
      <c r="DG153" s="414"/>
      <c r="DI153" s="414">
        <f t="shared" si="69"/>
        <v>0</v>
      </c>
      <c r="DJ153" s="414"/>
      <c r="DK153" s="414"/>
      <c r="DL153" s="414"/>
      <c r="DM153" s="414"/>
      <c r="DN153" s="414"/>
      <c r="DO153" s="414"/>
      <c r="DP153" s="414"/>
      <c r="DQ153" s="414"/>
      <c r="DS153" s="414"/>
      <c r="DT153" s="414"/>
      <c r="DU153" s="414"/>
      <c r="DV153" s="414"/>
      <c r="DW153" s="414"/>
      <c r="DX153" s="414"/>
      <c r="DY153" s="414"/>
      <c r="DZ153" s="414"/>
      <c r="EB153" s="415">
        <f t="shared" si="53"/>
        <v>0</v>
      </c>
      <c r="EC153" s="415">
        <f t="shared" si="54"/>
        <v>0</v>
      </c>
      <c r="ED153" s="416">
        <f t="shared" si="70"/>
        <v>0</v>
      </c>
    </row>
    <row r="154" spans="1:134" hidden="1" x14ac:dyDescent="0.35">
      <c r="A154" s="17">
        <v>2308</v>
      </c>
      <c r="B154" s="4">
        <v>103328</v>
      </c>
      <c r="C154" s="4" t="s">
        <v>162</v>
      </c>
      <c r="D154" s="4" t="s">
        <v>163</v>
      </c>
      <c r="E154" s="15" t="s">
        <v>32</v>
      </c>
      <c r="F154" s="16" t="s">
        <v>27</v>
      </c>
      <c r="G154" s="215"/>
      <c r="H154" s="363">
        <v>0</v>
      </c>
      <c r="I154" s="410"/>
      <c r="J154" s="363">
        <v>0</v>
      </c>
      <c r="K154" s="363">
        <v>0</v>
      </c>
      <c r="L154" s="363">
        <v>58496.100000000006</v>
      </c>
      <c r="M154" s="363">
        <v>3120</v>
      </c>
      <c r="N154" s="363">
        <v>149.15789473684211</v>
      </c>
      <c r="O154" s="363">
        <v>0</v>
      </c>
      <c r="P154" s="215">
        <f t="shared" si="55"/>
        <v>61765.257894736846</v>
      </c>
      <c r="Q154" s="363">
        <f t="shared" si="56"/>
        <v>49412.206315789481</v>
      </c>
      <c r="R154" s="410"/>
      <c r="S154" s="363">
        <v>0</v>
      </c>
      <c r="T154" s="363">
        <v>0</v>
      </c>
      <c r="U154" s="363">
        <v>26488.799999999999</v>
      </c>
      <c r="V154" s="363">
        <v>975</v>
      </c>
      <c r="W154" s="363">
        <v>0</v>
      </c>
      <c r="X154" s="363">
        <v>0</v>
      </c>
      <c r="Y154" s="363">
        <f t="shared" si="57"/>
        <v>27463.8</v>
      </c>
      <c r="Z154" s="363">
        <f t="shared" si="58"/>
        <v>21971.040000000001</v>
      </c>
      <c r="AA154" s="410"/>
      <c r="AB154" s="411">
        <v>0</v>
      </c>
      <c r="AC154" s="411">
        <v>0</v>
      </c>
      <c r="AD154" s="411">
        <v>40215.789473684214</v>
      </c>
      <c r="AE154" s="411">
        <v>2046.3157894736842</v>
      </c>
      <c r="AF154" s="411">
        <v>86.958448753462591</v>
      </c>
      <c r="AG154" s="411">
        <v>0</v>
      </c>
      <c r="AH154" s="363">
        <f t="shared" si="59"/>
        <v>42349.06371191136</v>
      </c>
      <c r="AI154" s="411">
        <f t="shared" si="60"/>
        <v>33879.250969529086</v>
      </c>
      <c r="AJ154" s="410"/>
      <c r="AK154" s="411">
        <v>2260.0499999999997</v>
      </c>
      <c r="AL154" s="411">
        <v>992.55</v>
      </c>
      <c r="AM154" s="411">
        <v>1513.7052631578945</v>
      </c>
      <c r="AN154" s="410"/>
      <c r="AO154" s="411">
        <f t="shared" si="61"/>
        <v>1808.04</v>
      </c>
      <c r="AP154" s="411">
        <f t="shared" si="61"/>
        <v>794.04</v>
      </c>
      <c r="AQ154" s="411">
        <f t="shared" si="61"/>
        <v>1210.9642105263156</v>
      </c>
      <c r="AR154" s="412"/>
      <c r="AS154" s="412">
        <v>0</v>
      </c>
      <c r="AT154" s="413">
        <f t="shared" si="62"/>
        <v>0</v>
      </c>
      <c r="AU154" s="412"/>
      <c r="AV154" s="412">
        <v>0</v>
      </c>
      <c r="AW154" s="412">
        <v>0</v>
      </c>
      <c r="AX154" s="412">
        <v>48562.799999999996</v>
      </c>
      <c r="AY154" s="412">
        <v>2145</v>
      </c>
      <c r="AZ154" s="412">
        <v>0</v>
      </c>
      <c r="BA154" s="412">
        <v>0</v>
      </c>
      <c r="BB154" s="412">
        <v>1831.05</v>
      </c>
      <c r="BC154" s="412">
        <f t="shared" si="63"/>
        <v>52538.85</v>
      </c>
      <c r="BE154" s="205">
        <f t="shared" si="50"/>
        <v>0</v>
      </c>
      <c r="BF154" s="205">
        <f t="shared" si="50"/>
        <v>0</v>
      </c>
      <c r="BG154" s="205">
        <f t="shared" si="50"/>
        <v>-9933.3000000000102</v>
      </c>
      <c r="BH154" s="205">
        <f t="shared" si="49"/>
        <v>-975</v>
      </c>
      <c r="BI154" s="205">
        <f t="shared" si="49"/>
        <v>-149.15789473684211</v>
      </c>
      <c r="BJ154" s="205">
        <f t="shared" si="49"/>
        <v>0</v>
      </c>
      <c r="BK154" s="205">
        <f t="shared" si="64"/>
        <v>-428.99999999999977</v>
      </c>
      <c r="BL154" s="205">
        <f t="shared" si="65"/>
        <v>-11486.457894736852</v>
      </c>
      <c r="BM154" s="215">
        <f t="shared" si="66"/>
        <v>0</v>
      </c>
      <c r="BN154" s="215"/>
      <c r="BO154" s="412">
        <f t="shared" si="51"/>
        <v>0</v>
      </c>
      <c r="BP154" s="412">
        <f t="shared" si="51"/>
        <v>0</v>
      </c>
      <c r="BQ154" s="412">
        <f t="shared" si="51"/>
        <v>1765.919999999991</v>
      </c>
      <c r="BR154" s="412">
        <f t="shared" si="51"/>
        <v>-351</v>
      </c>
      <c r="BS154" s="412">
        <f t="shared" si="51"/>
        <v>-119.3263157894737</v>
      </c>
      <c r="BT154" s="412">
        <f t="shared" si="51"/>
        <v>0</v>
      </c>
      <c r="BU154" s="412">
        <f t="shared" si="48"/>
        <v>23.009999999999991</v>
      </c>
      <c r="BV154" s="412">
        <f t="shared" si="67"/>
        <v>1318.6036842105173</v>
      </c>
      <c r="BW154" s="412">
        <f t="shared" si="52"/>
        <v>0</v>
      </c>
      <c r="BX154" s="412"/>
      <c r="BY154" s="412">
        <f t="shared" si="68"/>
        <v>52538.85</v>
      </c>
      <c r="BZ154" s="412"/>
      <c r="CA154" s="412">
        <f>IFERROR(VLOOKUP(A154,'Actuals Summer'!A:S,19,FALSE),0)</f>
        <v>52538.85</v>
      </c>
      <c r="CC154" s="412"/>
      <c r="CD154" s="412"/>
      <c r="CE154" s="412"/>
      <c r="CF154" s="412"/>
      <c r="CG154" s="412"/>
      <c r="CH154" s="412"/>
      <c r="CI154" s="412"/>
      <c r="CJ154" s="412"/>
      <c r="CK154" s="412"/>
      <c r="CL154" s="412"/>
      <c r="CM154" s="412"/>
      <c r="CN154" s="412"/>
      <c r="CO154" s="412"/>
      <c r="CQ154" s="363"/>
      <c r="CR154" s="363"/>
      <c r="CS154" s="363"/>
      <c r="CT154" s="363"/>
      <c r="CU154" s="363"/>
      <c r="CV154" s="363"/>
      <c r="CW154" s="363"/>
      <c r="CX154" s="363"/>
      <c r="CZ154" s="414"/>
      <c r="DA154" s="414"/>
      <c r="DB154" s="414"/>
      <c r="DC154" s="414"/>
      <c r="DD154" s="414"/>
      <c r="DE154" s="414"/>
      <c r="DF154" s="414"/>
      <c r="DG154" s="414"/>
      <c r="DI154" s="414">
        <f t="shared" si="69"/>
        <v>0</v>
      </c>
      <c r="DJ154" s="414"/>
      <c r="DK154" s="414"/>
      <c r="DL154" s="414"/>
      <c r="DM154" s="414"/>
      <c r="DN154" s="414"/>
      <c r="DO154" s="414"/>
      <c r="DP154" s="414"/>
      <c r="DQ154" s="414"/>
      <c r="DS154" s="414"/>
      <c r="DT154" s="414"/>
      <c r="DU154" s="414"/>
      <c r="DV154" s="414"/>
      <c r="DW154" s="414"/>
      <c r="DX154" s="414"/>
      <c r="DY154" s="414"/>
      <c r="DZ154" s="414"/>
      <c r="EB154" s="415">
        <f t="shared" si="53"/>
        <v>110394.14518005541</v>
      </c>
      <c r="EC154" s="415">
        <f t="shared" si="54"/>
        <v>0</v>
      </c>
      <c r="ED154" s="416">
        <f t="shared" si="70"/>
        <v>110394.14518005541</v>
      </c>
    </row>
    <row r="155" spans="1:134" hidden="1" x14ac:dyDescent="0.35">
      <c r="A155" s="17">
        <v>2245</v>
      </c>
      <c r="B155" s="4">
        <v>103295</v>
      </c>
      <c r="C155" s="4" t="s">
        <v>164</v>
      </c>
      <c r="D155" s="4" t="s">
        <v>165</v>
      </c>
      <c r="E155" s="15" t="s">
        <v>32</v>
      </c>
      <c r="F155" s="16" t="s">
        <v>27</v>
      </c>
      <c r="G155" s="215"/>
      <c r="H155" s="363">
        <v>0</v>
      </c>
      <c r="I155" s="410"/>
      <c r="J155" s="363">
        <v>0</v>
      </c>
      <c r="K155" s="363">
        <v>0</v>
      </c>
      <c r="L155" s="363">
        <v>27592.5</v>
      </c>
      <c r="M155" s="363">
        <v>2730</v>
      </c>
      <c r="N155" s="363">
        <v>1044.1052631578948</v>
      </c>
      <c r="O155" s="363">
        <v>0</v>
      </c>
      <c r="P155" s="215">
        <f t="shared" si="55"/>
        <v>31366.605263157893</v>
      </c>
      <c r="Q155" s="363">
        <f t="shared" si="56"/>
        <v>25093.284210526315</v>
      </c>
      <c r="R155" s="410"/>
      <c r="S155" s="363">
        <v>0</v>
      </c>
      <c r="T155" s="363">
        <v>0</v>
      </c>
      <c r="U155" s="363">
        <v>15451.800000000001</v>
      </c>
      <c r="V155" s="363">
        <v>1950</v>
      </c>
      <c r="W155" s="363">
        <v>745.78947368421052</v>
      </c>
      <c r="X155" s="363">
        <v>0</v>
      </c>
      <c r="Y155" s="363">
        <f t="shared" si="57"/>
        <v>18147.589473684213</v>
      </c>
      <c r="Z155" s="363">
        <f t="shared" si="58"/>
        <v>14518.071578947371</v>
      </c>
      <c r="AA155" s="410"/>
      <c r="AB155" s="411">
        <v>0</v>
      </c>
      <c r="AC155" s="411">
        <v>0</v>
      </c>
      <c r="AD155" s="411">
        <v>20912.21052631579</v>
      </c>
      <c r="AE155" s="411">
        <v>2103.1578947368421</v>
      </c>
      <c r="AF155" s="411">
        <v>782.6260387811634</v>
      </c>
      <c r="AG155" s="411">
        <v>0</v>
      </c>
      <c r="AH155" s="363">
        <f t="shared" si="59"/>
        <v>23797.994459833797</v>
      </c>
      <c r="AI155" s="411">
        <f t="shared" si="60"/>
        <v>19038.395567867039</v>
      </c>
      <c r="AJ155" s="410"/>
      <c r="AK155" s="411">
        <v>2751.45</v>
      </c>
      <c r="AL155" s="411">
        <v>1261.6499999999999</v>
      </c>
      <c r="AM155" s="411">
        <v>1971.852631578947</v>
      </c>
      <c r="AN155" s="410"/>
      <c r="AO155" s="411">
        <f t="shared" si="61"/>
        <v>2201.16</v>
      </c>
      <c r="AP155" s="411">
        <f t="shared" si="61"/>
        <v>1009.3199999999999</v>
      </c>
      <c r="AQ155" s="411">
        <f t="shared" si="61"/>
        <v>1577.4821052631578</v>
      </c>
      <c r="AR155" s="412"/>
      <c r="AS155" s="412">
        <v>0</v>
      </c>
      <c r="AT155" s="413">
        <f t="shared" si="62"/>
        <v>0</v>
      </c>
      <c r="AU155" s="412"/>
      <c r="AV155" s="412">
        <v>0</v>
      </c>
      <c r="AW155" s="412">
        <v>0</v>
      </c>
      <c r="AX155" s="412">
        <v>24281.4</v>
      </c>
      <c r="AY155" s="412">
        <v>3705</v>
      </c>
      <c r="AZ155" s="412">
        <v>1417</v>
      </c>
      <c r="BA155" s="412">
        <v>0</v>
      </c>
      <c r="BB155" s="412">
        <v>2316.6</v>
      </c>
      <c r="BC155" s="412">
        <f t="shared" si="63"/>
        <v>31720</v>
      </c>
      <c r="BE155" s="205">
        <f t="shared" si="50"/>
        <v>0</v>
      </c>
      <c r="BF155" s="205">
        <f t="shared" si="50"/>
        <v>0</v>
      </c>
      <c r="BG155" s="205">
        <f t="shared" si="50"/>
        <v>-3311.0999999999985</v>
      </c>
      <c r="BH155" s="205">
        <f t="shared" si="49"/>
        <v>975</v>
      </c>
      <c r="BI155" s="205">
        <f t="shared" si="49"/>
        <v>372.8947368421052</v>
      </c>
      <c r="BJ155" s="205">
        <f t="shared" si="49"/>
        <v>0</v>
      </c>
      <c r="BK155" s="205">
        <f t="shared" si="64"/>
        <v>-434.84999999999991</v>
      </c>
      <c r="BL155" s="205">
        <f t="shared" si="65"/>
        <v>-2398.055263157893</v>
      </c>
      <c r="BM155" s="215">
        <f t="shared" si="66"/>
        <v>0</v>
      </c>
      <c r="BN155" s="215"/>
      <c r="BO155" s="412">
        <f t="shared" ref="BO155:BT186" si="71">AV155-(J155*80%)</f>
        <v>0</v>
      </c>
      <c r="BP155" s="412">
        <f t="shared" si="71"/>
        <v>0</v>
      </c>
      <c r="BQ155" s="412">
        <f t="shared" si="71"/>
        <v>2207.4000000000015</v>
      </c>
      <c r="BR155" s="412">
        <f t="shared" si="71"/>
        <v>1521</v>
      </c>
      <c r="BS155" s="412">
        <f t="shared" si="71"/>
        <v>581.71578947368414</v>
      </c>
      <c r="BT155" s="412">
        <f t="shared" si="71"/>
        <v>0</v>
      </c>
      <c r="BU155" s="412">
        <f t="shared" si="48"/>
        <v>115.44000000000005</v>
      </c>
      <c r="BV155" s="412">
        <f t="shared" si="67"/>
        <v>4425.5557894736849</v>
      </c>
      <c r="BW155" s="412">
        <f t="shared" si="52"/>
        <v>0</v>
      </c>
      <c r="BX155" s="412"/>
      <c r="BY155" s="412">
        <f t="shared" si="68"/>
        <v>31720</v>
      </c>
      <c r="BZ155" s="412"/>
      <c r="CA155" s="412">
        <f>IFERROR(VLOOKUP(A155,'Actuals Summer'!A:S,19,FALSE),0)</f>
        <v>31720</v>
      </c>
      <c r="CC155" s="412"/>
      <c r="CD155" s="412"/>
      <c r="CE155" s="412"/>
      <c r="CF155" s="412"/>
      <c r="CG155" s="412"/>
      <c r="CH155" s="412"/>
      <c r="CI155" s="412"/>
      <c r="CJ155" s="412"/>
      <c r="CK155" s="412"/>
      <c r="CL155" s="412"/>
      <c r="CM155" s="412"/>
      <c r="CN155" s="412"/>
      <c r="CO155" s="412"/>
      <c r="CQ155" s="363"/>
      <c r="CR155" s="363"/>
      <c r="CS155" s="363"/>
      <c r="CT155" s="363"/>
      <c r="CU155" s="363"/>
      <c r="CV155" s="363"/>
      <c r="CW155" s="363"/>
      <c r="CX155" s="363"/>
      <c r="CZ155" s="414"/>
      <c r="DA155" s="414"/>
      <c r="DB155" s="414"/>
      <c r="DC155" s="414"/>
      <c r="DD155" s="414"/>
      <c r="DE155" s="414"/>
      <c r="DF155" s="414"/>
      <c r="DG155" s="414"/>
      <c r="DI155" s="414">
        <f t="shared" si="69"/>
        <v>0</v>
      </c>
      <c r="DJ155" s="414"/>
      <c r="DK155" s="414"/>
      <c r="DL155" s="414"/>
      <c r="DM155" s="414"/>
      <c r="DN155" s="414"/>
      <c r="DO155" s="414"/>
      <c r="DP155" s="414"/>
      <c r="DQ155" s="414"/>
      <c r="DS155" s="414"/>
      <c r="DT155" s="414"/>
      <c r="DU155" s="414"/>
      <c r="DV155" s="414"/>
      <c r="DW155" s="414"/>
      <c r="DX155" s="414"/>
      <c r="DY155" s="414"/>
      <c r="DZ155" s="414"/>
      <c r="EB155" s="415">
        <f t="shared" si="53"/>
        <v>67863.26925207756</v>
      </c>
      <c r="EC155" s="415">
        <f t="shared" si="54"/>
        <v>0</v>
      </c>
      <c r="ED155" s="416">
        <f t="shared" si="70"/>
        <v>67863.26925207756</v>
      </c>
    </row>
    <row r="156" spans="1:134" hidden="1" x14ac:dyDescent="0.35">
      <c r="A156" s="17">
        <v>1014</v>
      </c>
      <c r="B156" s="4">
        <v>103127</v>
      </c>
      <c r="C156" s="4" t="s">
        <v>166</v>
      </c>
      <c r="D156" s="4" t="s">
        <v>167</v>
      </c>
      <c r="E156" s="15" t="s">
        <v>26</v>
      </c>
      <c r="F156" s="16" t="s">
        <v>27</v>
      </c>
      <c r="G156" s="215"/>
      <c r="H156" s="363">
        <v>250308.7887819311</v>
      </c>
      <c r="I156" s="410"/>
      <c r="J156" s="363">
        <v>0</v>
      </c>
      <c r="K156" s="363">
        <v>39826.799999999996</v>
      </c>
      <c r="L156" s="363">
        <v>128029.20000000001</v>
      </c>
      <c r="M156" s="363">
        <v>15600</v>
      </c>
      <c r="N156" s="363">
        <v>2386.5263157894738</v>
      </c>
      <c r="O156" s="363">
        <v>1925.3684210526317</v>
      </c>
      <c r="P156" s="215">
        <f t="shared" si="55"/>
        <v>187767.89473684211</v>
      </c>
      <c r="Q156" s="363">
        <f t="shared" si="56"/>
        <v>150214.31578947368</v>
      </c>
      <c r="R156" s="410"/>
      <c r="S156" s="363">
        <v>0</v>
      </c>
      <c r="T156" s="363">
        <v>51442.95</v>
      </c>
      <c r="U156" s="363">
        <v>89399.700000000012</v>
      </c>
      <c r="V156" s="363">
        <v>9945</v>
      </c>
      <c r="W156" s="363">
        <v>1342.421052631579</v>
      </c>
      <c r="X156" s="363">
        <v>962.68421052631584</v>
      </c>
      <c r="Y156" s="363">
        <f t="shared" si="57"/>
        <v>153092.75526315792</v>
      </c>
      <c r="Z156" s="363">
        <f t="shared" si="58"/>
        <v>122474.20421052634</v>
      </c>
      <c r="AA156" s="410"/>
      <c r="AB156" s="411">
        <v>0</v>
      </c>
      <c r="AC156" s="411">
        <v>36279.473684210519</v>
      </c>
      <c r="AD156" s="411">
        <v>102308.96842105263</v>
      </c>
      <c r="AE156" s="411">
        <v>10686.315789473685</v>
      </c>
      <c r="AF156" s="411">
        <v>1847.8670360110805</v>
      </c>
      <c r="AG156" s="411">
        <v>1403.1024930747922</v>
      </c>
      <c r="AH156" s="363">
        <f t="shared" si="59"/>
        <v>152525.72742382268</v>
      </c>
      <c r="AI156" s="411">
        <f t="shared" si="60"/>
        <v>122020.58193905815</v>
      </c>
      <c r="AJ156" s="410"/>
      <c r="AK156" s="411">
        <v>7394.4000000000005</v>
      </c>
      <c r="AL156" s="411">
        <v>4970.5499999999993</v>
      </c>
      <c r="AM156" s="411">
        <v>5229.4736842105267</v>
      </c>
      <c r="AN156" s="410"/>
      <c r="AO156" s="411">
        <f t="shared" si="61"/>
        <v>5915.52</v>
      </c>
      <c r="AP156" s="411">
        <f t="shared" si="61"/>
        <v>3976.4399999999996</v>
      </c>
      <c r="AQ156" s="411">
        <f t="shared" si="61"/>
        <v>4183.5789473684217</v>
      </c>
      <c r="AR156" s="412"/>
      <c r="AS156" s="412">
        <v>245459.98739740971</v>
      </c>
      <c r="AT156" s="413">
        <f t="shared" si="62"/>
        <v>-4848.8013845213864</v>
      </c>
      <c r="AU156" s="412"/>
      <c r="AV156" s="412">
        <v>0</v>
      </c>
      <c r="AW156" s="412">
        <v>39826.799999999996</v>
      </c>
      <c r="AX156" s="412">
        <v>134651.4</v>
      </c>
      <c r="AY156" s="412">
        <v>13260</v>
      </c>
      <c r="AZ156" s="412">
        <v>2162.7894736842104</v>
      </c>
      <c r="BA156" s="412">
        <v>1925.34</v>
      </c>
      <c r="BB156" s="412">
        <v>6436.95</v>
      </c>
      <c r="BC156" s="412">
        <f t="shared" si="63"/>
        <v>443723.26687109389</v>
      </c>
      <c r="BE156" s="205">
        <f t="shared" si="50"/>
        <v>0</v>
      </c>
      <c r="BF156" s="205">
        <f t="shared" si="50"/>
        <v>0</v>
      </c>
      <c r="BG156" s="205">
        <f t="shared" si="50"/>
        <v>6622.1999999999825</v>
      </c>
      <c r="BH156" s="205">
        <f t="shared" si="49"/>
        <v>-2340</v>
      </c>
      <c r="BI156" s="205">
        <f t="shared" si="49"/>
        <v>-223.73684210526335</v>
      </c>
      <c r="BJ156" s="205">
        <f t="shared" si="49"/>
        <v>-2.8421052631756538E-2</v>
      </c>
      <c r="BK156" s="205">
        <f t="shared" si="64"/>
        <v>-957.45000000000073</v>
      </c>
      <c r="BL156" s="205">
        <f t="shared" si="65"/>
        <v>-1747.8166476792994</v>
      </c>
      <c r="BM156" s="215">
        <f t="shared" si="66"/>
        <v>0</v>
      </c>
      <c r="BN156" s="215"/>
      <c r="BO156" s="412">
        <f t="shared" si="71"/>
        <v>0</v>
      </c>
      <c r="BP156" s="412">
        <f t="shared" si="71"/>
        <v>7965.3599999999969</v>
      </c>
      <c r="BQ156" s="412">
        <f t="shared" si="71"/>
        <v>32228.039999999979</v>
      </c>
      <c r="BR156" s="412">
        <f t="shared" si="71"/>
        <v>780</v>
      </c>
      <c r="BS156" s="412">
        <f t="shared" si="71"/>
        <v>253.56842105263127</v>
      </c>
      <c r="BT156" s="412">
        <f t="shared" si="71"/>
        <v>385.0452631578944</v>
      </c>
      <c r="BU156" s="412">
        <f t="shared" ref="BU156:BU207" si="72">BB156-(AK156*80%)</f>
        <v>521.42999999999938</v>
      </c>
      <c r="BV156" s="412">
        <f t="shared" si="67"/>
        <v>42133.443684210506</v>
      </c>
      <c r="BW156" s="412">
        <f t="shared" si="52"/>
        <v>4848.8013845213864</v>
      </c>
      <c r="BX156" s="412"/>
      <c r="BY156" s="412">
        <f t="shared" si="68"/>
        <v>198263.27947368418</v>
      </c>
      <c r="BZ156" s="412"/>
      <c r="CA156" s="412">
        <f>IFERROR(VLOOKUP(A156,'Actuals Summer'!A:S,19,FALSE),0)</f>
        <v>198263.2794736842</v>
      </c>
      <c r="CC156" s="412"/>
      <c r="CD156" s="412"/>
      <c r="CE156" s="412"/>
      <c r="CF156" s="412"/>
      <c r="CG156" s="412"/>
      <c r="CH156" s="412"/>
      <c r="CI156" s="412"/>
      <c r="CJ156" s="412"/>
      <c r="CK156" s="412"/>
      <c r="CL156" s="412"/>
      <c r="CM156" s="412"/>
      <c r="CN156" s="412"/>
      <c r="CO156" s="412"/>
      <c r="CQ156" s="363"/>
      <c r="CR156" s="363"/>
      <c r="CS156" s="363"/>
      <c r="CT156" s="363"/>
      <c r="CU156" s="363"/>
      <c r="CV156" s="363"/>
      <c r="CW156" s="363"/>
      <c r="CX156" s="363"/>
      <c r="CZ156" s="414"/>
      <c r="DA156" s="414"/>
      <c r="DB156" s="414"/>
      <c r="DC156" s="414"/>
      <c r="DD156" s="414"/>
      <c r="DE156" s="414"/>
      <c r="DF156" s="414"/>
      <c r="DG156" s="414"/>
      <c r="DI156" s="414">
        <f t="shared" si="69"/>
        <v>0</v>
      </c>
      <c r="DJ156" s="414"/>
      <c r="DK156" s="414"/>
      <c r="DL156" s="414"/>
      <c r="DM156" s="414"/>
      <c r="DN156" s="414"/>
      <c r="DO156" s="414"/>
      <c r="DP156" s="414"/>
      <c r="DQ156" s="414"/>
      <c r="DS156" s="414"/>
      <c r="DT156" s="414"/>
      <c r="DU156" s="414"/>
      <c r="DV156" s="414"/>
      <c r="DW156" s="414"/>
      <c r="DX156" s="414"/>
      <c r="DY156" s="414"/>
      <c r="DZ156" s="414"/>
      <c r="EB156" s="415">
        <f t="shared" si="53"/>
        <v>692560.10260516591</v>
      </c>
      <c r="EC156" s="415">
        <f t="shared" si="54"/>
        <v>3817.9693628808864</v>
      </c>
      <c r="ED156" s="416">
        <f t="shared" si="70"/>
        <v>696378.07196804683</v>
      </c>
    </row>
    <row r="157" spans="1:134" hidden="1" x14ac:dyDescent="0.35">
      <c r="A157" s="17">
        <v>2011</v>
      </c>
      <c r="B157" s="4">
        <v>134099</v>
      </c>
      <c r="C157" s="4" t="s">
        <v>168</v>
      </c>
      <c r="D157" s="4" t="s">
        <v>169</v>
      </c>
      <c r="E157" s="15" t="s">
        <v>32</v>
      </c>
      <c r="F157" s="16" t="s">
        <v>27</v>
      </c>
      <c r="G157" s="215"/>
      <c r="H157" s="363">
        <v>0</v>
      </c>
      <c r="I157" s="410"/>
      <c r="J157" s="363">
        <v>0</v>
      </c>
      <c r="K157" s="363">
        <v>0</v>
      </c>
      <c r="L157" s="363">
        <v>43044.3</v>
      </c>
      <c r="M157" s="363">
        <v>1755</v>
      </c>
      <c r="N157" s="363">
        <v>671.21052631578948</v>
      </c>
      <c r="O157" s="363">
        <v>0</v>
      </c>
      <c r="P157" s="215">
        <f t="shared" si="55"/>
        <v>45470.510526315789</v>
      </c>
      <c r="Q157" s="363">
        <f t="shared" si="56"/>
        <v>36376.408421052634</v>
      </c>
      <c r="R157" s="410"/>
      <c r="S157" s="363">
        <v>0</v>
      </c>
      <c r="T157" s="363">
        <v>0</v>
      </c>
      <c r="U157" s="363">
        <v>41940.6</v>
      </c>
      <c r="V157" s="363">
        <v>2340</v>
      </c>
      <c r="W157" s="363">
        <v>820.36842105263156</v>
      </c>
      <c r="X157" s="363">
        <v>0</v>
      </c>
      <c r="Y157" s="363">
        <f t="shared" si="57"/>
        <v>45100.968421052632</v>
      </c>
      <c r="Z157" s="363">
        <f t="shared" si="58"/>
        <v>36080.774736842104</v>
      </c>
      <c r="AA157" s="410"/>
      <c r="AB157" s="411">
        <v>0</v>
      </c>
      <c r="AC157" s="411">
        <v>0</v>
      </c>
      <c r="AD157" s="411">
        <v>37320.252631578951</v>
      </c>
      <c r="AE157" s="411">
        <v>1875.7894736842106</v>
      </c>
      <c r="AF157" s="411">
        <v>695.66759002770073</v>
      </c>
      <c r="AG157" s="411">
        <v>0</v>
      </c>
      <c r="AH157" s="363">
        <f t="shared" si="59"/>
        <v>39891.709695290869</v>
      </c>
      <c r="AI157" s="411">
        <f t="shared" si="60"/>
        <v>31913.367756232696</v>
      </c>
      <c r="AJ157" s="410"/>
      <c r="AK157" s="411">
        <v>325.64999999999998</v>
      </c>
      <c r="AL157" s="411">
        <v>1468.3499999999997</v>
      </c>
      <c r="AM157" s="411">
        <v>622.42105263157896</v>
      </c>
      <c r="AN157" s="410"/>
      <c r="AO157" s="411">
        <f t="shared" si="61"/>
        <v>260.52</v>
      </c>
      <c r="AP157" s="411">
        <f t="shared" si="61"/>
        <v>1174.6799999999998</v>
      </c>
      <c r="AQ157" s="411">
        <f t="shared" si="61"/>
        <v>497.93684210526317</v>
      </c>
      <c r="AR157" s="412"/>
      <c r="AS157" s="412">
        <v>0</v>
      </c>
      <c r="AT157" s="413">
        <f t="shared" si="62"/>
        <v>0</v>
      </c>
      <c r="AU157" s="412"/>
      <c r="AV157" s="412">
        <v>0</v>
      </c>
      <c r="AW157" s="412">
        <v>0</v>
      </c>
      <c r="AX157" s="412">
        <v>43044.3</v>
      </c>
      <c r="AY157" s="412">
        <v>3120</v>
      </c>
      <c r="AZ157" s="412">
        <v>0</v>
      </c>
      <c r="BA157" s="412">
        <v>0</v>
      </c>
      <c r="BB157" s="412">
        <v>1468.3499999999997</v>
      </c>
      <c r="BC157" s="412">
        <f t="shared" si="63"/>
        <v>47632.65</v>
      </c>
      <c r="BE157" s="205">
        <f t="shared" si="50"/>
        <v>0</v>
      </c>
      <c r="BF157" s="205">
        <f t="shared" si="50"/>
        <v>0</v>
      </c>
      <c r="BG157" s="205">
        <f t="shared" si="50"/>
        <v>0</v>
      </c>
      <c r="BH157" s="205">
        <f t="shared" si="49"/>
        <v>1365</v>
      </c>
      <c r="BI157" s="205">
        <f t="shared" si="49"/>
        <v>-671.21052631578948</v>
      </c>
      <c r="BJ157" s="205">
        <f t="shared" si="49"/>
        <v>0</v>
      </c>
      <c r="BK157" s="205">
        <f t="shared" si="64"/>
        <v>1142.6999999999998</v>
      </c>
      <c r="BL157" s="205">
        <f t="shared" si="65"/>
        <v>1836.4894736842102</v>
      </c>
      <c r="BM157" s="215">
        <f t="shared" si="66"/>
        <v>0</v>
      </c>
      <c r="BN157" s="215"/>
      <c r="BO157" s="412">
        <f t="shared" si="71"/>
        <v>0</v>
      </c>
      <c r="BP157" s="412">
        <f t="shared" si="71"/>
        <v>0</v>
      </c>
      <c r="BQ157" s="412">
        <f t="shared" si="71"/>
        <v>8608.86</v>
      </c>
      <c r="BR157" s="412">
        <f t="shared" si="71"/>
        <v>1716</v>
      </c>
      <c r="BS157" s="412">
        <f t="shared" si="71"/>
        <v>-536.96842105263158</v>
      </c>
      <c r="BT157" s="412">
        <f t="shared" si="71"/>
        <v>0</v>
      </c>
      <c r="BU157" s="412">
        <f t="shared" si="72"/>
        <v>1207.8299999999997</v>
      </c>
      <c r="BV157" s="412">
        <f t="shared" si="67"/>
        <v>10995.721578947368</v>
      </c>
      <c r="BW157" s="412">
        <f t="shared" si="52"/>
        <v>0</v>
      </c>
      <c r="BX157" s="412"/>
      <c r="BY157" s="412">
        <f t="shared" si="68"/>
        <v>47632.65</v>
      </c>
      <c r="BZ157" s="412"/>
      <c r="CA157" s="412">
        <f>IFERROR(VLOOKUP(A157,'Actuals Summer'!A:S,19,FALSE),0)</f>
        <v>47632.65</v>
      </c>
      <c r="CC157" s="412"/>
      <c r="CD157" s="412"/>
      <c r="CE157" s="412"/>
      <c r="CF157" s="412"/>
      <c r="CG157" s="412"/>
      <c r="CH157" s="412"/>
      <c r="CI157" s="412"/>
      <c r="CJ157" s="412"/>
      <c r="CK157" s="412"/>
      <c r="CL157" s="412"/>
      <c r="CM157" s="412"/>
      <c r="CN157" s="412"/>
      <c r="CO157" s="412"/>
      <c r="CQ157" s="363"/>
      <c r="CR157" s="363"/>
      <c r="CS157" s="363"/>
      <c r="CT157" s="363"/>
      <c r="CU157" s="363"/>
      <c r="CV157" s="363"/>
      <c r="CW157" s="363"/>
      <c r="CX157" s="363"/>
      <c r="CZ157" s="414"/>
      <c r="DA157" s="414"/>
      <c r="DB157" s="414"/>
      <c r="DC157" s="414"/>
      <c r="DD157" s="414"/>
      <c r="DE157" s="414"/>
      <c r="DF157" s="414"/>
      <c r="DG157" s="414"/>
      <c r="DI157" s="414">
        <f t="shared" si="69"/>
        <v>0</v>
      </c>
      <c r="DJ157" s="414"/>
      <c r="DK157" s="414"/>
      <c r="DL157" s="414"/>
      <c r="DM157" s="414"/>
      <c r="DN157" s="414"/>
      <c r="DO157" s="414"/>
      <c r="DP157" s="414"/>
      <c r="DQ157" s="414"/>
      <c r="DS157" s="414"/>
      <c r="DT157" s="414"/>
      <c r="DU157" s="414"/>
      <c r="DV157" s="414"/>
      <c r="DW157" s="414"/>
      <c r="DX157" s="414"/>
      <c r="DY157" s="414"/>
      <c r="DZ157" s="414"/>
      <c r="EB157" s="415">
        <f t="shared" si="53"/>
        <v>117299.40933518007</v>
      </c>
      <c r="EC157" s="415">
        <f t="shared" si="54"/>
        <v>0</v>
      </c>
      <c r="ED157" s="416">
        <f t="shared" si="70"/>
        <v>117299.40933518007</v>
      </c>
    </row>
    <row r="158" spans="1:134" hidden="1" x14ac:dyDescent="0.35">
      <c r="A158" s="17">
        <v>4193</v>
      </c>
      <c r="B158" s="4">
        <v>103501</v>
      </c>
      <c r="C158" s="4" t="s">
        <v>1044</v>
      </c>
      <c r="D158" s="4" t="s">
        <v>1045</v>
      </c>
      <c r="E158" s="15" t="s">
        <v>904</v>
      </c>
      <c r="F158" s="16" t="s">
        <v>27</v>
      </c>
      <c r="G158" s="215"/>
      <c r="H158" s="363">
        <v>0</v>
      </c>
      <c r="I158" s="410"/>
      <c r="J158" s="363">
        <v>0</v>
      </c>
      <c r="K158" s="363">
        <v>0</v>
      </c>
      <c r="L158" s="363">
        <v>0</v>
      </c>
      <c r="M158" s="363">
        <v>0</v>
      </c>
      <c r="N158" s="363">
        <v>0</v>
      </c>
      <c r="O158" s="363">
        <v>0</v>
      </c>
      <c r="P158" s="215">
        <f t="shared" si="55"/>
        <v>0</v>
      </c>
      <c r="Q158" s="363">
        <f t="shared" si="56"/>
        <v>0</v>
      </c>
      <c r="R158" s="410"/>
      <c r="S158" s="363">
        <v>0</v>
      </c>
      <c r="T158" s="363">
        <v>0</v>
      </c>
      <c r="U158" s="363">
        <v>0</v>
      </c>
      <c r="V158" s="363">
        <v>0</v>
      </c>
      <c r="W158" s="363">
        <v>0</v>
      </c>
      <c r="X158" s="363">
        <v>0</v>
      </c>
      <c r="Y158" s="363">
        <f t="shared" si="57"/>
        <v>0</v>
      </c>
      <c r="Z158" s="363">
        <f t="shared" si="58"/>
        <v>0</v>
      </c>
      <c r="AA158" s="410"/>
      <c r="AB158" s="411">
        <v>0</v>
      </c>
      <c r="AC158" s="411">
        <v>0</v>
      </c>
      <c r="AD158" s="411">
        <v>0</v>
      </c>
      <c r="AE158" s="411">
        <v>0</v>
      </c>
      <c r="AF158" s="411">
        <v>0</v>
      </c>
      <c r="AG158" s="411">
        <v>0</v>
      </c>
      <c r="AH158" s="363">
        <f t="shared" si="59"/>
        <v>0</v>
      </c>
      <c r="AI158" s="411">
        <f t="shared" si="60"/>
        <v>0</v>
      </c>
      <c r="AJ158" s="410"/>
      <c r="AK158" s="411">
        <v>0</v>
      </c>
      <c r="AL158" s="411">
        <v>0</v>
      </c>
      <c r="AM158" s="411">
        <v>0</v>
      </c>
      <c r="AN158" s="410"/>
      <c r="AO158" s="411">
        <f t="shared" si="61"/>
        <v>0</v>
      </c>
      <c r="AP158" s="411">
        <f t="shared" si="61"/>
        <v>0</v>
      </c>
      <c r="AQ158" s="411">
        <f t="shared" si="61"/>
        <v>0</v>
      </c>
      <c r="AR158" s="412"/>
      <c r="AS158" s="412">
        <v>0</v>
      </c>
      <c r="AT158" s="413">
        <f t="shared" si="62"/>
        <v>0</v>
      </c>
      <c r="AU158" s="412"/>
      <c r="AV158" s="412">
        <v>0</v>
      </c>
      <c r="AW158" s="412">
        <v>0</v>
      </c>
      <c r="AX158" s="412">
        <v>0</v>
      </c>
      <c r="AY158" s="412">
        <v>0</v>
      </c>
      <c r="AZ158" s="412">
        <v>0</v>
      </c>
      <c r="BA158" s="412">
        <v>0</v>
      </c>
      <c r="BB158" s="412">
        <v>0</v>
      </c>
      <c r="BC158" s="412">
        <f t="shared" si="63"/>
        <v>0</v>
      </c>
      <c r="BE158" s="205">
        <f t="shared" si="50"/>
        <v>0</v>
      </c>
      <c r="BF158" s="205">
        <f t="shared" si="50"/>
        <v>0</v>
      </c>
      <c r="BG158" s="205">
        <f t="shared" si="50"/>
        <v>0</v>
      </c>
      <c r="BH158" s="205">
        <f t="shared" si="49"/>
        <v>0</v>
      </c>
      <c r="BI158" s="205">
        <f t="shared" si="49"/>
        <v>0</v>
      </c>
      <c r="BJ158" s="205">
        <f t="shared" si="49"/>
        <v>0</v>
      </c>
      <c r="BK158" s="205">
        <f t="shared" si="64"/>
        <v>0</v>
      </c>
      <c r="BL158" s="205">
        <f t="shared" si="65"/>
        <v>0</v>
      </c>
      <c r="BM158" s="215">
        <f t="shared" si="66"/>
        <v>0</v>
      </c>
      <c r="BN158" s="215"/>
      <c r="BO158" s="412">
        <f t="shared" si="71"/>
        <v>0</v>
      </c>
      <c r="BP158" s="412">
        <f t="shared" si="71"/>
        <v>0</v>
      </c>
      <c r="BQ158" s="412">
        <f t="shared" si="71"/>
        <v>0</v>
      </c>
      <c r="BR158" s="412">
        <f t="shared" si="71"/>
        <v>0</v>
      </c>
      <c r="BS158" s="412">
        <f t="shared" si="71"/>
        <v>0</v>
      </c>
      <c r="BT158" s="412">
        <f t="shared" si="71"/>
        <v>0</v>
      </c>
      <c r="BU158" s="412">
        <f t="shared" si="72"/>
        <v>0</v>
      </c>
      <c r="BV158" s="412">
        <f t="shared" si="67"/>
        <v>0</v>
      </c>
      <c r="BW158" s="412">
        <f t="shared" si="52"/>
        <v>0</v>
      </c>
      <c r="BX158" s="412"/>
      <c r="BY158" s="412">
        <f t="shared" si="68"/>
        <v>0</v>
      </c>
      <c r="BZ158" s="412"/>
      <c r="CA158" s="412">
        <f>IFERROR(VLOOKUP(A158,'Actuals Summer'!A:S,19,FALSE),0)</f>
        <v>0</v>
      </c>
      <c r="CC158" s="412"/>
      <c r="CD158" s="412"/>
      <c r="CE158" s="412"/>
      <c r="CF158" s="412"/>
      <c r="CG158" s="412"/>
      <c r="CH158" s="412"/>
      <c r="CI158" s="412"/>
      <c r="CJ158" s="412"/>
      <c r="CK158" s="412"/>
      <c r="CL158" s="412"/>
      <c r="CM158" s="412"/>
      <c r="CN158" s="412"/>
      <c r="CO158" s="412"/>
      <c r="CQ158" s="363"/>
      <c r="CR158" s="363"/>
      <c r="CS158" s="363"/>
      <c r="CT158" s="363"/>
      <c r="CU158" s="363"/>
      <c r="CV158" s="363"/>
      <c r="CW158" s="363"/>
      <c r="CX158" s="363"/>
      <c r="CZ158" s="414"/>
      <c r="DA158" s="414"/>
      <c r="DB158" s="414"/>
      <c r="DC158" s="414"/>
      <c r="DD158" s="414"/>
      <c r="DE158" s="414"/>
      <c r="DF158" s="414"/>
      <c r="DG158" s="414"/>
      <c r="DI158" s="414">
        <f t="shared" si="69"/>
        <v>0</v>
      </c>
      <c r="DJ158" s="414"/>
      <c r="DK158" s="414"/>
      <c r="DL158" s="414"/>
      <c r="DM158" s="414"/>
      <c r="DN158" s="414"/>
      <c r="DO158" s="414"/>
      <c r="DP158" s="414"/>
      <c r="DQ158" s="414"/>
      <c r="DS158" s="414"/>
      <c r="DT158" s="414"/>
      <c r="DU158" s="414"/>
      <c r="DV158" s="414"/>
      <c r="DW158" s="414"/>
      <c r="DX158" s="414"/>
      <c r="DY158" s="414"/>
      <c r="DZ158" s="414"/>
      <c r="EB158" s="415">
        <f t="shared" si="53"/>
        <v>0</v>
      </c>
      <c r="EC158" s="415">
        <f t="shared" si="54"/>
        <v>0</v>
      </c>
      <c r="ED158" s="416">
        <f t="shared" si="70"/>
        <v>0</v>
      </c>
    </row>
    <row r="159" spans="1:134" hidden="1" x14ac:dyDescent="0.35">
      <c r="A159" s="17">
        <v>2478</v>
      </c>
      <c r="B159" s="4">
        <v>132007</v>
      </c>
      <c r="C159" s="4" t="s">
        <v>170</v>
      </c>
      <c r="D159" s="4" t="s">
        <v>171</v>
      </c>
      <c r="E159" s="15" t="s">
        <v>32</v>
      </c>
      <c r="F159" s="16" t="s">
        <v>27</v>
      </c>
      <c r="G159" s="215"/>
      <c r="H159" s="363">
        <v>0</v>
      </c>
      <c r="I159" s="410"/>
      <c r="J159" s="363">
        <v>0</v>
      </c>
      <c r="K159" s="363">
        <v>0</v>
      </c>
      <c r="L159" s="363">
        <v>57392.4</v>
      </c>
      <c r="M159" s="363">
        <v>0</v>
      </c>
      <c r="N159" s="363">
        <v>0</v>
      </c>
      <c r="O159" s="363">
        <v>0</v>
      </c>
      <c r="P159" s="215">
        <f t="shared" si="55"/>
        <v>57392.4</v>
      </c>
      <c r="Q159" s="363">
        <f t="shared" si="56"/>
        <v>45913.920000000006</v>
      </c>
      <c r="R159" s="410"/>
      <c r="S159" s="363">
        <v>0</v>
      </c>
      <c r="T159" s="363">
        <v>0</v>
      </c>
      <c r="U159" s="363">
        <v>39733.200000000004</v>
      </c>
      <c r="V159" s="363">
        <v>0</v>
      </c>
      <c r="W159" s="363">
        <v>0</v>
      </c>
      <c r="X159" s="363">
        <v>0</v>
      </c>
      <c r="Y159" s="363">
        <f t="shared" si="57"/>
        <v>39733.200000000004</v>
      </c>
      <c r="Z159" s="363">
        <f t="shared" si="58"/>
        <v>31786.560000000005</v>
      </c>
      <c r="AA159" s="410"/>
      <c r="AB159" s="411">
        <v>0</v>
      </c>
      <c r="AC159" s="411">
        <v>0</v>
      </c>
      <c r="AD159" s="411">
        <v>45041.68421052632</v>
      </c>
      <c r="AE159" s="411">
        <v>0</v>
      </c>
      <c r="AF159" s="411">
        <v>0</v>
      </c>
      <c r="AG159" s="411">
        <v>0</v>
      </c>
      <c r="AH159" s="363">
        <f t="shared" si="59"/>
        <v>45041.68421052632</v>
      </c>
      <c r="AI159" s="411">
        <f t="shared" si="60"/>
        <v>36033.347368421055</v>
      </c>
      <c r="AJ159" s="410"/>
      <c r="AK159" s="411">
        <v>46.800000000000004</v>
      </c>
      <c r="AL159" s="411">
        <v>15.6</v>
      </c>
      <c r="AM159" s="411">
        <v>31.831578947368421</v>
      </c>
      <c r="AN159" s="410"/>
      <c r="AO159" s="411">
        <f t="shared" si="61"/>
        <v>37.440000000000005</v>
      </c>
      <c r="AP159" s="411">
        <f t="shared" si="61"/>
        <v>12.48</v>
      </c>
      <c r="AQ159" s="411">
        <f t="shared" si="61"/>
        <v>25.465263157894739</v>
      </c>
      <c r="AR159" s="412"/>
      <c r="AS159" s="412">
        <v>0</v>
      </c>
      <c r="AT159" s="413">
        <f t="shared" si="62"/>
        <v>0</v>
      </c>
      <c r="AU159" s="412"/>
      <c r="AV159" s="412">
        <v>0</v>
      </c>
      <c r="AW159" s="412">
        <v>0</v>
      </c>
      <c r="AX159" s="412">
        <v>48562.8</v>
      </c>
      <c r="AY159" s="412">
        <v>390</v>
      </c>
      <c r="AZ159" s="412">
        <v>149.15789473684211</v>
      </c>
      <c r="BA159" s="412">
        <v>0</v>
      </c>
      <c r="BB159" s="412">
        <v>31.2</v>
      </c>
      <c r="BC159" s="412">
        <f t="shared" si="63"/>
        <v>49133.15789473684</v>
      </c>
      <c r="BE159" s="205">
        <f t="shared" si="50"/>
        <v>0</v>
      </c>
      <c r="BF159" s="205">
        <f t="shared" si="50"/>
        <v>0</v>
      </c>
      <c r="BG159" s="205">
        <f t="shared" si="50"/>
        <v>-8829.5999999999985</v>
      </c>
      <c r="BH159" s="205">
        <f t="shared" si="49"/>
        <v>390</v>
      </c>
      <c r="BI159" s="205">
        <f t="shared" si="49"/>
        <v>149.15789473684211</v>
      </c>
      <c r="BJ159" s="205">
        <f t="shared" si="49"/>
        <v>0</v>
      </c>
      <c r="BK159" s="205">
        <f t="shared" si="64"/>
        <v>-15.600000000000005</v>
      </c>
      <c r="BL159" s="205">
        <f t="shared" si="65"/>
        <v>-8306.0421052631573</v>
      </c>
      <c r="BM159" s="215">
        <f t="shared" si="66"/>
        <v>0</v>
      </c>
      <c r="BN159" s="215"/>
      <c r="BO159" s="412">
        <f t="shared" si="71"/>
        <v>0</v>
      </c>
      <c r="BP159" s="412">
        <f t="shared" si="71"/>
        <v>0</v>
      </c>
      <c r="BQ159" s="412">
        <f t="shared" si="71"/>
        <v>2648.8799999999974</v>
      </c>
      <c r="BR159" s="412">
        <f t="shared" si="71"/>
        <v>390</v>
      </c>
      <c r="BS159" s="412">
        <f t="shared" si="71"/>
        <v>149.15789473684211</v>
      </c>
      <c r="BT159" s="412">
        <f t="shared" si="71"/>
        <v>0</v>
      </c>
      <c r="BU159" s="412">
        <f t="shared" si="72"/>
        <v>-6.2400000000000055</v>
      </c>
      <c r="BV159" s="412">
        <f t="shared" si="67"/>
        <v>3181.7978947368397</v>
      </c>
      <c r="BW159" s="412">
        <f t="shared" si="52"/>
        <v>7.2759576141834259E-12</v>
      </c>
      <c r="BX159" s="412"/>
      <c r="BY159" s="412">
        <f t="shared" si="68"/>
        <v>49133.157894736847</v>
      </c>
      <c r="BZ159" s="412"/>
      <c r="CA159" s="412">
        <f>IFERROR(VLOOKUP(A159,'Actuals Summer'!A:S,19,FALSE),0)</f>
        <v>49133.15789473684</v>
      </c>
      <c r="CC159" s="412"/>
      <c r="CD159" s="412"/>
      <c r="CE159" s="412"/>
      <c r="CF159" s="412"/>
      <c r="CG159" s="412"/>
      <c r="CH159" s="412"/>
      <c r="CI159" s="412"/>
      <c r="CJ159" s="412"/>
      <c r="CK159" s="412"/>
      <c r="CL159" s="412"/>
      <c r="CM159" s="412"/>
      <c r="CN159" s="412"/>
      <c r="CO159" s="412"/>
      <c r="CQ159" s="363"/>
      <c r="CR159" s="363"/>
      <c r="CS159" s="363"/>
      <c r="CT159" s="363"/>
      <c r="CU159" s="363"/>
      <c r="CV159" s="363"/>
      <c r="CW159" s="363"/>
      <c r="CX159" s="363"/>
      <c r="CZ159" s="414"/>
      <c r="DA159" s="414"/>
      <c r="DB159" s="414"/>
      <c r="DC159" s="414"/>
      <c r="DD159" s="414"/>
      <c r="DE159" s="414"/>
      <c r="DF159" s="414"/>
      <c r="DG159" s="414"/>
      <c r="DI159" s="414">
        <f t="shared" si="69"/>
        <v>0</v>
      </c>
      <c r="DJ159" s="414"/>
      <c r="DK159" s="414"/>
      <c r="DL159" s="414"/>
      <c r="DM159" s="414"/>
      <c r="DN159" s="414"/>
      <c r="DO159" s="414"/>
      <c r="DP159" s="414"/>
      <c r="DQ159" s="414"/>
      <c r="DS159" s="414"/>
      <c r="DT159" s="414"/>
      <c r="DU159" s="414"/>
      <c r="DV159" s="414"/>
      <c r="DW159" s="414"/>
      <c r="DX159" s="414"/>
      <c r="DY159" s="414"/>
      <c r="DZ159" s="414"/>
      <c r="EB159" s="415">
        <f t="shared" si="53"/>
        <v>116991.0105263158</v>
      </c>
      <c r="EC159" s="415">
        <f t="shared" si="54"/>
        <v>0</v>
      </c>
      <c r="ED159" s="416">
        <f t="shared" si="70"/>
        <v>116991.0105263158</v>
      </c>
    </row>
    <row r="160" spans="1:134" hidden="1" x14ac:dyDescent="0.35">
      <c r="A160" s="17">
        <v>2293</v>
      </c>
      <c r="B160" s="4">
        <v>103317</v>
      </c>
      <c r="C160" s="4" t="s">
        <v>172</v>
      </c>
      <c r="D160" s="4" t="s">
        <v>173</v>
      </c>
      <c r="E160" s="15" t="s">
        <v>32</v>
      </c>
      <c r="F160" s="16" t="s">
        <v>27</v>
      </c>
      <c r="G160" s="215"/>
      <c r="H160" s="363">
        <v>0</v>
      </c>
      <c r="I160" s="410"/>
      <c r="J160" s="363">
        <v>0</v>
      </c>
      <c r="K160" s="363">
        <v>0</v>
      </c>
      <c r="L160" s="363">
        <v>60703.5</v>
      </c>
      <c r="M160" s="363">
        <v>1950</v>
      </c>
      <c r="N160" s="363">
        <v>0</v>
      </c>
      <c r="O160" s="363">
        <v>0</v>
      </c>
      <c r="P160" s="215">
        <f t="shared" si="55"/>
        <v>62653.5</v>
      </c>
      <c r="Q160" s="363">
        <f t="shared" si="56"/>
        <v>50122.8</v>
      </c>
      <c r="R160" s="410"/>
      <c r="S160" s="363">
        <v>0</v>
      </c>
      <c r="T160" s="363">
        <v>0</v>
      </c>
      <c r="U160" s="363">
        <v>70636.800000000003</v>
      </c>
      <c r="V160" s="363">
        <v>3705</v>
      </c>
      <c r="W160" s="363">
        <v>0</v>
      </c>
      <c r="X160" s="363">
        <v>0</v>
      </c>
      <c r="Y160" s="363">
        <f t="shared" si="57"/>
        <v>74341.8</v>
      </c>
      <c r="Z160" s="363">
        <f t="shared" si="58"/>
        <v>59473.440000000002</v>
      </c>
      <c r="AA160" s="410"/>
      <c r="AB160" s="411">
        <v>0</v>
      </c>
      <c r="AC160" s="411">
        <v>0</v>
      </c>
      <c r="AD160" s="411">
        <v>55336.926315789467</v>
      </c>
      <c r="AE160" s="411">
        <v>2103.1578947368421</v>
      </c>
      <c r="AF160" s="411">
        <v>0</v>
      </c>
      <c r="AG160" s="411">
        <v>0</v>
      </c>
      <c r="AH160" s="363">
        <f t="shared" si="59"/>
        <v>57440.084210526307</v>
      </c>
      <c r="AI160" s="411">
        <f t="shared" si="60"/>
        <v>45952.067368421049</v>
      </c>
      <c r="AJ160" s="410"/>
      <c r="AK160" s="411">
        <v>1329.9</v>
      </c>
      <c r="AL160" s="411">
        <v>1396.1999999999998</v>
      </c>
      <c r="AM160" s="411">
        <v>1156.1684210526316</v>
      </c>
      <c r="AN160" s="410"/>
      <c r="AO160" s="411">
        <f t="shared" si="61"/>
        <v>1063.92</v>
      </c>
      <c r="AP160" s="411">
        <f t="shared" si="61"/>
        <v>1116.9599999999998</v>
      </c>
      <c r="AQ160" s="411">
        <f t="shared" si="61"/>
        <v>924.93473684210539</v>
      </c>
      <c r="AR160" s="412"/>
      <c r="AS160" s="412">
        <v>0</v>
      </c>
      <c r="AT160" s="413">
        <f t="shared" si="62"/>
        <v>0</v>
      </c>
      <c r="AU160" s="412"/>
      <c r="AV160" s="412">
        <v>0</v>
      </c>
      <c r="AW160" s="412">
        <v>0</v>
      </c>
      <c r="AX160" s="412">
        <v>72844.2</v>
      </c>
      <c r="AY160" s="412">
        <v>4680</v>
      </c>
      <c r="AZ160" s="412">
        <v>0</v>
      </c>
      <c r="BA160" s="412">
        <v>0</v>
      </c>
      <c r="BB160" s="412">
        <v>1402.05</v>
      </c>
      <c r="BC160" s="412">
        <f t="shared" si="63"/>
        <v>78926.25</v>
      </c>
      <c r="BE160" s="205">
        <f t="shared" si="50"/>
        <v>0</v>
      </c>
      <c r="BF160" s="205">
        <f t="shared" si="50"/>
        <v>0</v>
      </c>
      <c r="BG160" s="205">
        <f t="shared" si="50"/>
        <v>12140.699999999997</v>
      </c>
      <c r="BH160" s="205">
        <f t="shared" si="49"/>
        <v>2730</v>
      </c>
      <c r="BI160" s="205">
        <f t="shared" si="49"/>
        <v>0</v>
      </c>
      <c r="BJ160" s="205">
        <f t="shared" si="49"/>
        <v>0</v>
      </c>
      <c r="BK160" s="205">
        <f t="shared" si="64"/>
        <v>72.149999999999864</v>
      </c>
      <c r="BL160" s="205">
        <f t="shared" si="65"/>
        <v>14942.849999999997</v>
      </c>
      <c r="BM160" s="215">
        <f t="shared" si="66"/>
        <v>0</v>
      </c>
      <c r="BN160" s="215"/>
      <c r="BO160" s="412">
        <f t="shared" si="71"/>
        <v>0</v>
      </c>
      <c r="BP160" s="412">
        <f t="shared" si="71"/>
        <v>0</v>
      </c>
      <c r="BQ160" s="412">
        <f t="shared" si="71"/>
        <v>24281.399999999994</v>
      </c>
      <c r="BR160" s="412">
        <f t="shared" si="71"/>
        <v>3120</v>
      </c>
      <c r="BS160" s="412">
        <f t="shared" si="71"/>
        <v>0</v>
      </c>
      <c r="BT160" s="412">
        <f t="shared" si="71"/>
        <v>0</v>
      </c>
      <c r="BU160" s="412">
        <f t="shared" si="72"/>
        <v>338.12999999999988</v>
      </c>
      <c r="BV160" s="412">
        <f t="shared" si="67"/>
        <v>27739.529999999995</v>
      </c>
      <c r="BW160" s="412">
        <f t="shared" si="52"/>
        <v>0</v>
      </c>
      <c r="BX160" s="412"/>
      <c r="BY160" s="412">
        <f t="shared" si="68"/>
        <v>78926.25</v>
      </c>
      <c r="BZ160" s="412"/>
      <c r="CA160" s="412">
        <f>IFERROR(VLOOKUP(A160,'Actuals Summer'!A:S,19,FALSE),0)</f>
        <v>78926.25</v>
      </c>
      <c r="CC160" s="412"/>
      <c r="CD160" s="412"/>
      <c r="CE160" s="412"/>
      <c r="CF160" s="412"/>
      <c r="CG160" s="412"/>
      <c r="CH160" s="412"/>
      <c r="CI160" s="412"/>
      <c r="CJ160" s="412"/>
      <c r="CK160" s="412"/>
      <c r="CL160" s="412"/>
      <c r="CM160" s="412"/>
      <c r="CN160" s="412"/>
      <c r="CO160" s="412"/>
      <c r="CQ160" s="363"/>
      <c r="CR160" s="363"/>
      <c r="CS160" s="363"/>
      <c r="CT160" s="363"/>
      <c r="CU160" s="363"/>
      <c r="CV160" s="363"/>
      <c r="CW160" s="363"/>
      <c r="CX160" s="363"/>
      <c r="CZ160" s="414"/>
      <c r="DA160" s="414"/>
      <c r="DB160" s="414"/>
      <c r="DC160" s="414"/>
      <c r="DD160" s="414"/>
      <c r="DE160" s="414"/>
      <c r="DF160" s="414"/>
      <c r="DG160" s="414"/>
      <c r="DI160" s="414">
        <f t="shared" si="69"/>
        <v>0</v>
      </c>
      <c r="DJ160" s="414"/>
      <c r="DK160" s="414"/>
      <c r="DL160" s="414"/>
      <c r="DM160" s="414"/>
      <c r="DN160" s="414"/>
      <c r="DO160" s="414"/>
      <c r="DP160" s="414"/>
      <c r="DQ160" s="414"/>
      <c r="DS160" s="414"/>
      <c r="DT160" s="414"/>
      <c r="DU160" s="414"/>
      <c r="DV160" s="414"/>
      <c r="DW160" s="414"/>
      <c r="DX160" s="414"/>
      <c r="DY160" s="414"/>
      <c r="DZ160" s="414"/>
      <c r="EB160" s="415">
        <f t="shared" si="53"/>
        <v>186393.6521052632</v>
      </c>
      <c r="EC160" s="415">
        <f t="shared" si="54"/>
        <v>0</v>
      </c>
      <c r="ED160" s="416">
        <f t="shared" si="70"/>
        <v>186393.6521052632</v>
      </c>
    </row>
    <row r="161" spans="1:134" hidden="1" x14ac:dyDescent="0.35">
      <c r="A161" s="17">
        <v>2278</v>
      </c>
      <c r="B161" s="4">
        <v>103310</v>
      </c>
      <c r="C161" s="4" t="s">
        <v>1046</v>
      </c>
      <c r="D161" s="4" t="s">
        <v>1047</v>
      </c>
      <c r="E161" s="15" t="s">
        <v>32</v>
      </c>
      <c r="F161" s="16" t="s">
        <v>27</v>
      </c>
      <c r="G161" s="215"/>
      <c r="H161" s="363">
        <v>0</v>
      </c>
      <c r="I161" s="410"/>
      <c r="J161" s="363">
        <v>0</v>
      </c>
      <c r="K161" s="363">
        <v>0</v>
      </c>
      <c r="L161" s="363">
        <v>0</v>
      </c>
      <c r="M161" s="363">
        <v>0</v>
      </c>
      <c r="N161" s="363">
        <v>0</v>
      </c>
      <c r="O161" s="363">
        <v>0</v>
      </c>
      <c r="P161" s="215">
        <f t="shared" si="55"/>
        <v>0</v>
      </c>
      <c r="Q161" s="363">
        <f t="shared" si="56"/>
        <v>0</v>
      </c>
      <c r="R161" s="410"/>
      <c r="S161" s="363">
        <v>0</v>
      </c>
      <c r="T161" s="363">
        <v>0</v>
      </c>
      <c r="U161" s="363">
        <v>0</v>
      </c>
      <c r="V161" s="363">
        <v>0</v>
      </c>
      <c r="W161" s="363">
        <v>0</v>
      </c>
      <c r="X161" s="363">
        <v>0</v>
      </c>
      <c r="Y161" s="363">
        <f t="shared" si="57"/>
        <v>0</v>
      </c>
      <c r="Z161" s="363">
        <f t="shared" si="58"/>
        <v>0</v>
      </c>
      <c r="AA161" s="410"/>
      <c r="AB161" s="411">
        <v>0</v>
      </c>
      <c r="AC161" s="411">
        <v>0</v>
      </c>
      <c r="AD161" s="411">
        <v>0</v>
      </c>
      <c r="AE161" s="411">
        <v>0</v>
      </c>
      <c r="AF161" s="411">
        <v>0</v>
      </c>
      <c r="AG161" s="411">
        <v>0</v>
      </c>
      <c r="AH161" s="363">
        <f t="shared" si="59"/>
        <v>0</v>
      </c>
      <c r="AI161" s="411">
        <f t="shared" si="60"/>
        <v>0</v>
      </c>
      <c r="AJ161" s="410"/>
      <c r="AK161" s="411">
        <v>0</v>
      </c>
      <c r="AL161" s="411">
        <v>0</v>
      </c>
      <c r="AM161" s="411">
        <v>0</v>
      </c>
      <c r="AN161" s="410"/>
      <c r="AO161" s="411">
        <f t="shared" si="61"/>
        <v>0</v>
      </c>
      <c r="AP161" s="411">
        <f t="shared" si="61"/>
        <v>0</v>
      </c>
      <c r="AQ161" s="411">
        <f t="shared" si="61"/>
        <v>0</v>
      </c>
      <c r="AR161" s="412"/>
      <c r="AS161" s="412">
        <v>0</v>
      </c>
      <c r="AT161" s="413">
        <f t="shared" si="62"/>
        <v>0</v>
      </c>
      <c r="AU161" s="412"/>
      <c r="AV161" s="412">
        <v>0</v>
      </c>
      <c r="AW161" s="412">
        <v>0</v>
      </c>
      <c r="AX161" s="412">
        <v>0</v>
      </c>
      <c r="AY161" s="412">
        <v>0</v>
      </c>
      <c r="AZ161" s="412">
        <v>0</v>
      </c>
      <c r="BA161" s="412">
        <v>0</v>
      </c>
      <c r="BB161" s="412">
        <v>0</v>
      </c>
      <c r="BC161" s="412">
        <f t="shared" si="63"/>
        <v>0</v>
      </c>
      <c r="BE161" s="205">
        <f t="shared" si="50"/>
        <v>0</v>
      </c>
      <c r="BF161" s="205">
        <f t="shared" si="50"/>
        <v>0</v>
      </c>
      <c r="BG161" s="205">
        <f t="shared" si="50"/>
        <v>0</v>
      </c>
      <c r="BH161" s="205">
        <f t="shared" si="49"/>
        <v>0</v>
      </c>
      <c r="BI161" s="205">
        <f t="shared" si="49"/>
        <v>0</v>
      </c>
      <c r="BJ161" s="205">
        <f t="shared" si="49"/>
        <v>0</v>
      </c>
      <c r="BK161" s="205">
        <f t="shared" si="64"/>
        <v>0</v>
      </c>
      <c r="BL161" s="205">
        <f t="shared" si="65"/>
        <v>0</v>
      </c>
      <c r="BM161" s="215">
        <f t="shared" si="66"/>
        <v>0</v>
      </c>
      <c r="BN161" s="215"/>
      <c r="BO161" s="412">
        <f t="shared" si="71"/>
        <v>0</v>
      </c>
      <c r="BP161" s="412">
        <f t="shared" si="71"/>
        <v>0</v>
      </c>
      <c r="BQ161" s="412">
        <f t="shared" si="71"/>
        <v>0</v>
      </c>
      <c r="BR161" s="412">
        <f t="shared" si="71"/>
        <v>0</v>
      </c>
      <c r="BS161" s="412">
        <f t="shared" si="71"/>
        <v>0</v>
      </c>
      <c r="BT161" s="412">
        <f t="shared" si="71"/>
        <v>0</v>
      </c>
      <c r="BU161" s="412">
        <f t="shared" si="72"/>
        <v>0</v>
      </c>
      <c r="BV161" s="412">
        <f t="shared" si="67"/>
        <v>0</v>
      </c>
      <c r="BW161" s="412">
        <f t="shared" si="52"/>
        <v>0</v>
      </c>
      <c r="BX161" s="412"/>
      <c r="BY161" s="412">
        <f t="shared" si="68"/>
        <v>0</v>
      </c>
      <c r="BZ161" s="412"/>
      <c r="CA161" s="412">
        <f>IFERROR(VLOOKUP(A161,'Actuals Summer'!A:S,19,FALSE),0)</f>
        <v>0</v>
      </c>
      <c r="CC161" s="412"/>
      <c r="CD161" s="412"/>
      <c r="CE161" s="412"/>
      <c r="CF161" s="412"/>
      <c r="CG161" s="412"/>
      <c r="CH161" s="412"/>
      <c r="CI161" s="412"/>
      <c r="CJ161" s="412"/>
      <c r="CK161" s="412"/>
      <c r="CL161" s="412"/>
      <c r="CM161" s="412"/>
      <c r="CN161" s="412"/>
      <c r="CO161" s="412"/>
      <c r="CQ161" s="363"/>
      <c r="CR161" s="363"/>
      <c r="CS161" s="363"/>
      <c r="CT161" s="363"/>
      <c r="CU161" s="363"/>
      <c r="CV161" s="363"/>
      <c r="CW161" s="363"/>
      <c r="CX161" s="363"/>
      <c r="CZ161" s="414"/>
      <c r="DA161" s="414"/>
      <c r="DB161" s="414"/>
      <c r="DC161" s="414"/>
      <c r="DD161" s="414"/>
      <c r="DE161" s="414"/>
      <c r="DF161" s="414"/>
      <c r="DG161" s="414"/>
      <c r="DI161" s="414">
        <f t="shared" si="69"/>
        <v>0</v>
      </c>
      <c r="DJ161" s="414"/>
      <c r="DK161" s="414"/>
      <c r="DL161" s="414"/>
      <c r="DM161" s="414"/>
      <c r="DN161" s="414"/>
      <c r="DO161" s="414"/>
      <c r="DP161" s="414"/>
      <c r="DQ161" s="414"/>
      <c r="DS161" s="414"/>
      <c r="DT161" s="414"/>
      <c r="DU161" s="414"/>
      <c r="DV161" s="414"/>
      <c r="DW161" s="414"/>
      <c r="DX161" s="414"/>
      <c r="DY161" s="414"/>
      <c r="DZ161" s="414"/>
      <c r="EB161" s="415">
        <f t="shared" si="53"/>
        <v>0</v>
      </c>
      <c r="EC161" s="415">
        <f t="shared" si="54"/>
        <v>0</v>
      </c>
      <c r="ED161" s="416">
        <f t="shared" si="70"/>
        <v>0</v>
      </c>
    </row>
    <row r="162" spans="1:134" s="422" customFormat="1" hidden="1" x14ac:dyDescent="0.35">
      <c r="A162" s="18">
        <v>2314</v>
      </c>
      <c r="B162" s="19">
        <v>103334</v>
      </c>
      <c r="C162" s="19" t="s">
        <v>1048</v>
      </c>
      <c r="D162" s="19" t="s">
        <v>1049</v>
      </c>
      <c r="E162" s="20" t="s">
        <v>32</v>
      </c>
      <c r="F162" s="21" t="s">
        <v>49</v>
      </c>
      <c r="G162" s="417"/>
      <c r="H162" s="418">
        <v>0</v>
      </c>
      <c r="I162" s="418"/>
      <c r="J162" s="418">
        <v>0</v>
      </c>
      <c r="K162" s="418">
        <v>0</v>
      </c>
      <c r="L162" s="418">
        <v>0</v>
      </c>
      <c r="M162" s="418">
        <v>0</v>
      </c>
      <c r="N162" s="418">
        <v>0</v>
      </c>
      <c r="O162" s="418">
        <v>0</v>
      </c>
      <c r="P162" s="417">
        <f t="shared" si="55"/>
        <v>0</v>
      </c>
      <c r="Q162" s="418">
        <f t="shared" si="56"/>
        <v>0</v>
      </c>
      <c r="R162" s="418"/>
      <c r="S162" s="418">
        <v>0</v>
      </c>
      <c r="T162" s="418">
        <v>0</v>
      </c>
      <c r="U162" s="418">
        <v>0</v>
      </c>
      <c r="V162" s="418">
        <v>0</v>
      </c>
      <c r="W162" s="418">
        <v>0</v>
      </c>
      <c r="X162" s="418">
        <v>0</v>
      </c>
      <c r="Y162" s="418">
        <f t="shared" si="57"/>
        <v>0</v>
      </c>
      <c r="Z162" s="418">
        <f t="shared" si="58"/>
        <v>0</v>
      </c>
      <c r="AA162" s="418"/>
      <c r="AB162" s="419">
        <v>0</v>
      </c>
      <c r="AC162" s="419">
        <v>0</v>
      </c>
      <c r="AD162" s="419">
        <v>0</v>
      </c>
      <c r="AE162" s="419">
        <v>0</v>
      </c>
      <c r="AF162" s="419">
        <v>0</v>
      </c>
      <c r="AG162" s="419">
        <v>0</v>
      </c>
      <c r="AH162" s="418">
        <f t="shared" si="59"/>
        <v>0</v>
      </c>
      <c r="AI162" s="419">
        <f t="shared" si="60"/>
        <v>0</v>
      </c>
      <c r="AJ162" s="418"/>
      <c r="AK162" s="419">
        <v>0</v>
      </c>
      <c r="AL162" s="419">
        <v>0</v>
      </c>
      <c r="AM162" s="419">
        <v>0</v>
      </c>
      <c r="AN162" s="418"/>
      <c r="AO162" s="419">
        <f t="shared" si="61"/>
        <v>0</v>
      </c>
      <c r="AP162" s="419">
        <f t="shared" si="61"/>
        <v>0</v>
      </c>
      <c r="AQ162" s="419">
        <f t="shared" si="61"/>
        <v>0</v>
      </c>
      <c r="AR162" s="420"/>
      <c r="AS162" s="420">
        <v>0</v>
      </c>
      <c r="AT162" s="421">
        <f t="shared" si="62"/>
        <v>0</v>
      </c>
      <c r="AU162" s="420"/>
      <c r="AV162" s="420">
        <v>0</v>
      </c>
      <c r="AW162" s="420">
        <v>0</v>
      </c>
      <c r="AX162" s="420">
        <v>0</v>
      </c>
      <c r="AY162" s="420">
        <v>0</v>
      </c>
      <c r="AZ162" s="420">
        <v>0</v>
      </c>
      <c r="BA162" s="420">
        <v>0</v>
      </c>
      <c r="BB162" s="420">
        <v>0</v>
      </c>
      <c r="BC162" s="420">
        <f t="shared" si="63"/>
        <v>0</v>
      </c>
      <c r="BE162" s="214">
        <f t="shared" si="50"/>
        <v>0</v>
      </c>
      <c r="BF162" s="214">
        <f t="shared" si="50"/>
        <v>0</v>
      </c>
      <c r="BG162" s="214">
        <f t="shared" si="50"/>
        <v>0</v>
      </c>
      <c r="BH162" s="214">
        <f t="shared" si="49"/>
        <v>0</v>
      </c>
      <c r="BI162" s="214">
        <f t="shared" si="49"/>
        <v>0</v>
      </c>
      <c r="BJ162" s="214">
        <f t="shared" si="49"/>
        <v>0</v>
      </c>
      <c r="BK162" s="214">
        <f t="shared" si="64"/>
        <v>0</v>
      </c>
      <c r="BL162" s="214">
        <f t="shared" si="65"/>
        <v>0</v>
      </c>
      <c r="BM162" s="417">
        <f t="shared" si="66"/>
        <v>0</v>
      </c>
      <c r="BN162" s="417"/>
      <c r="BO162" s="420">
        <f t="shared" si="71"/>
        <v>0</v>
      </c>
      <c r="BP162" s="420">
        <f t="shared" si="71"/>
        <v>0</v>
      </c>
      <c r="BQ162" s="420">
        <f t="shared" si="71"/>
        <v>0</v>
      </c>
      <c r="BR162" s="420">
        <f t="shared" si="71"/>
        <v>0</v>
      </c>
      <c r="BS162" s="420">
        <f t="shared" si="71"/>
        <v>0</v>
      </c>
      <c r="BT162" s="420">
        <f t="shared" si="71"/>
        <v>0</v>
      </c>
      <c r="BU162" s="420">
        <f t="shared" si="72"/>
        <v>0</v>
      </c>
      <c r="BV162" s="412">
        <f t="shared" si="67"/>
        <v>0</v>
      </c>
      <c r="BW162" s="420">
        <f t="shared" si="52"/>
        <v>0</v>
      </c>
      <c r="BX162" s="420"/>
      <c r="BY162" s="412">
        <f t="shared" si="68"/>
        <v>0</v>
      </c>
      <c r="BZ162" s="420"/>
      <c r="CA162" s="412">
        <f>IFERROR(VLOOKUP(A162,'Actuals Summer'!A:S,19,FALSE),0)</f>
        <v>0</v>
      </c>
      <c r="CC162" s="412"/>
      <c r="CD162" s="412"/>
      <c r="CE162" s="412"/>
      <c r="CF162" s="412"/>
      <c r="CG162" s="412"/>
      <c r="CH162" s="412"/>
      <c r="CI162" s="412"/>
      <c r="CJ162" s="412"/>
      <c r="CK162" s="412"/>
      <c r="CL162" s="412"/>
      <c r="CM162" s="412"/>
      <c r="CN162" s="412"/>
      <c r="CO162" s="412"/>
      <c r="CP162"/>
      <c r="CQ162" s="363"/>
      <c r="CR162" s="363"/>
      <c r="CS162" s="363"/>
      <c r="CT162" s="363"/>
      <c r="CU162" s="363"/>
      <c r="CV162" s="363"/>
      <c r="CW162" s="363"/>
      <c r="CX162" s="363"/>
      <c r="CY162"/>
      <c r="CZ162" s="414"/>
      <c r="DA162" s="414"/>
      <c r="DB162" s="414"/>
      <c r="DC162" s="414"/>
      <c r="DD162" s="414"/>
      <c r="DE162" s="414"/>
      <c r="DF162" s="414"/>
      <c r="DG162" s="414"/>
      <c r="DH162"/>
      <c r="DI162" s="414">
        <f t="shared" si="69"/>
        <v>0</v>
      </c>
      <c r="DJ162" s="423"/>
      <c r="DK162" s="423"/>
      <c r="DL162" s="423"/>
      <c r="DM162" s="423"/>
      <c r="DN162" s="423"/>
      <c r="DO162" s="423"/>
      <c r="DP162" s="423"/>
      <c r="DQ162" s="423"/>
      <c r="DS162" s="423"/>
      <c r="DT162" s="423"/>
      <c r="DU162" s="423"/>
      <c r="DV162" s="423"/>
      <c r="DW162" s="423"/>
      <c r="DX162" s="423"/>
      <c r="DY162" s="423"/>
      <c r="DZ162" s="423"/>
      <c r="EB162" s="425">
        <f t="shared" si="53"/>
        <v>0</v>
      </c>
      <c r="EC162" s="425">
        <f t="shared" si="54"/>
        <v>0</v>
      </c>
      <c r="ED162" s="424">
        <f t="shared" si="70"/>
        <v>0</v>
      </c>
    </row>
    <row r="163" spans="1:134" hidden="1" x14ac:dyDescent="0.35">
      <c r="A163" s="17">
        <v>2317</v>
      </c>
      <c r="B163" s="4">
        <v>103337</v>
      </c>
      <c r="C163" s="4" t="s">
        <v>174</v>
      </c>
      <c r="D163" s="4" t="s">
        <v>175</v>
      </c>
      <c r="E163" s="15" t="s">
        <v>32</v>
      </c>
      <c r="F163" s="16" t="s">
        <v>27</v>
      </c>
      <c r="G163" s="215"/>
      <c r="H163" s="363">
        <v>0</v>
      </c>
      <c r="I163" s="410"/>
      <c r="J163" s="363">
        <v>0</v>
      </c>
      <c r="K163" s="363">
        <v>0</v>
      </c>
      <c r="L163" s="363">
        <v>79466.399999999994</v>
      </c>
      <c r="M163" s="363">
        <v>1170</v>
      </c>
      <c r="N163" s="363">
        <v>149.15789473684211</v>
      </c>
      <c r="O163" s="363">
        <v>0</v>
      </c>
      <c r="P163" s="215">
        <f t="shared" si="55"/>
        <v>80785.557894736834</v>
      </c>
      <c r="Q163" s="363">
        <f t="shared" si="56"/>
        <v>64628.446315789472</v>
      </c>
      <c r="R163" s="410"/>
      <c r="S163" s="363">
        <v>0</v>
      </c>
      <c r="T163" s="363">
        <v>0</v>
      </c>
      <c r="U163" s="363">
        <v>86088.6</v>
      </c>
      <c r="V163" s="363">
        <v>1950</v>
      </c>
      <c r="W163" s="363">
        <v>745.78947368421052</v>
      </c>
      <c r="X163" s="363">
        <v>0</v>
      </c>
      <c r="Y163" s="363">
        <f t="shared" si="57"/>
        <v>88784.389473684219</v>
      </c>
      <c r="Z163" s="363">
        <f t="shared" si="58"/>
        <v>71027.511578947378</v>
      </c>
      <c r="AA163" s="410"/>
      <c r="AB163" s="411">
        <v>0</v>
      </c>
      <c r="AC163" s="411">
        <v>0</v>
      </c>
      <c r="AD163" s="411">
        <v>70136.336842105273</v>
      </c>
      <c r="AE163" s="411">
        <v>1250.5263157894738</v>
      </c>
      <c r="AF163" s="411">
        <v>304.35457063711908</v>
      </c>
      <c r="AG163" s="411">
        <v>0</v>
      </c>
      <c r="AH163" s="363">
        <f t="shared" si="59"/>
        <v>71691.217728531876</v>
      </c>
      <c r="AI163" s="411">
        <f t="shared" si="60"/>
        <v>57352.974182825506</v>
      </c>
      <c r="AJ163" s="410"/>
      <c r="AK163" s="411">
        <v>1916.8500000000001</v>
      </c>
      <c r="AL163" s="411">
        <v>2088.4499999999998</v>
      </c>
      <c r="AM163" s="411">
        <v>1691.6210526315788</v>
      </c>
      <c r="AN163" s="410"/>
      <c r="AO163" s="411">
        <f t="shared" si="61"/>
        <v>1533.4800000000002</v>
      </c>
      <c r="AP163" s="411">
        <f t="shared" si="61"/>
        <v>1670.76</v>
      </c>
      <c r="AQ163" s="411">
        <f t="shared" si="61"/>
        <v>1353.2968421052631</v>
      </c>
      <c r="AR163" s="412"/>
      <c r="AS163" s="412">
        <v>0</v>
      </c>
      <c r="AT163" s="413">
        <f t="shared" si="62"/>
        <v>0</v>
      </c>
      <c r="AU163" s="412"/>
      <c r="AV163" s="412">
        <v>0</v>
      </c>
      <c r="AW163" s="412">
        <v>0</v>
      </c>
      <c r="AX163" s="412">
        <v>91607.1</v>
      </c>
      <c r="AY163" s="412">
        <v>2340</v>
      </c>
      <c r="AZ163" s="412">
        <v>894.94736842105272</v>
      </c>
      <c r="BA163" s="412">
        <v>0</v>
      </c>
      <c r="BB163" s="412">
        <v>2129.4</v>
      </c>
      <c r="BC163" s="412">
        <f t="shared" si="63"/>
        <v>96971.447368421053</v>
      </c>
      <c r="BE163" s="205">
        <f t="shared" si="50"/>
        <v>0</v>
      </c>
      <c r="BF163" s="205">
        <f t="shared" si="50"/>
        <v>0</v>
      </c>
      <c r="BG163" s="205">
        <f t="shared" si="50"/>
        <v>12140.700000000012</v>
      </c>
      <c r="BH163" s="205">
        <f t="shared" si="49"/>
        <v>1170</v>
      </c>
      <c r="BI163" s="205">
        <f t="shared" si="49"/>
        <v>745.78947368421063</v>
      </c>
      <c r="BJ163" s="205">
        <f t="shared" si="49"/>
        <v>0</v>
      </c>
      <c r="BK163" s="205">
        <f t="shared" si="64"/>
        <v>212.54999999999995</v>
      </c>
      <c r="BL163" s="205">
        <f t="shared" si="65"/>
        <v>14269.039473684221</v>
      </c>
      <c r="BM163" s="215">
        <f t="shared" si="66"/>
        <v>0</v>
      </c>
      <c r="BN163" s="215"/>
      <c r="BO163" s="412">
        <f t="shared" si="71"/>
        <v>0</v>
      </c>
      <c r="BP163" s="412">
        <f t="shared" si="71"/>
        <v>0</v>
      </c>
      <c r="BQ163" s="412">
        <f t="shared" si="71"/>
        <v>28033.98000000001</v>
      </c>
      <c r="BR163" s="412">
        <f t="shared" si="71"/>
        <v>1404</v>
      </c>
      <c r="BS163" s="412">
        <f t="shared" si="71"/>
        <v>775.621052631579</v>
      </c>
      <c r="BT163" s="412">
        <f t="shared" si="71"/>
        <v>0</v>
      </c>
      <c r="BU163" s="412">
        <f t="shared" si="72"/>
        <v>595.91999999999985</v>
      </c>
      <c r="BV163" s="412">
        <f t="shared" si="67"/>
        <v>30809.521052631586</v>
      </c>
      <c r="BW163" s="412">
        <f t="shared" si="52"/>
        <v>1.4551915228366852E-11</v>
      </c>
      <c r="BX163" s="412"/>
      <c r="BY163" s="412">
        <f t="shared" si="68"/>
        <v>96971.447368421053</v>
      </c>
      <c r="BZ163" s="412"/>
      <c r="CA163" s="412">
        <f>IFERROR(VLOOKUP(A163,'Actuals Summer'!A:S,19,FALSE),0)</f>
        <v>96971.447368421053</v>
      </c>
      <c r="CC163" s="412"/>
      <c r="CD163" s="412"/>
      <c r="CE163" s="412"/>
      <c r="CF163" s="412"/>
      <c r="CG163" s="412"/>
      <c r="CH163" s="412"/>
      <c r="CI163" s="412"/>
      <c r="CJ163" s="412"/>
      <c r="CK163" s="412"/>
      <c r="CL163" s="412"/>
      <c r="CM163" s="412"/>
      <c r="CN163" s="412"/>
      <c r="CO163" s="412"/>
      <c r="CQ163" s="363"/>
      <c r="CR163" s="363"/>
      <c r="CS163" s="363"/>
      <c r="CT163" s="363"/>
      <c r="CU163" s="363"/>
      <c r="CV163" s="363"/>
      <c r="CW163" s="363"/>
      <c r="CX163" s="363"/>
      <c r="CZ163" s="414"/>
      <c r="DA163" s="414"/>
      <c r="DB163" s="414"/>
      <c r="DC163" s="414"/>
      <c r="DD163" s="414"/>
      <c r="DE163" s="414"/>
      <c r="DF163" s="414"/>
      <c r="DG163" s="414"/>
      <c r="DI163" s="414">
        <f t="shared" si="69"/>
        <v>0</v>
      </c>
      <c r="DJ163" s="414"/>
      <c r="DK163" s="414"/>
      <c r="DL163" s="414"/>
      <c r="DM163" s="414"/>
      <c r="DN163" s="414"/>
      <c r="DO163" s="414"/>
      <c r="DP163" s="414"/>
      <c r="DQ163" s="414"/>
      <c r="DS163" s="414"/>
      <c r="DT163" s="414"/>
      <c r="DU163" s="414"/>
      <c r="DV163" s="414"/>
      <c r="DW163" s="414"/>
      <c r="DX163" s="414"/>
      <c r="DY163" s="414"/>
      <c r="DZ163" s="414"/>
      <c r="EB163" s="415">
        <f t="shared" si="53"/>
        <v>228375.9899722992</v>
      </c>
      <c r="EC163" s="415">
        <f t="shared" si="54"/>
        <v>0</v>
      </c>
      <c r="ED163" s="416">
        <f t="shared" si="70"/>
        <v>228375.9899722992</v>
      </c>
    </row>
    <row r="164" spans="1:134" hidden="1" x14ac:dyDescent="0.35">
      <c r="A164" s="17">
        <v>2225</v>
      </c>
      <c r="B164" s="4">
        <v>103279</v>
      </c>
      <c r="C164" s="4" t="s">
        <v>1050</v>
      </c>
      <c r="D164" s="4" t="s">
        <v>1051</v>
      </c>
      <c r="E164" s="15" t="s">
        <v>32</v>
      </c>
      <c r="F164" s="16" t="s">
        <v>27</v>
      </c>
      <c r="G164" s="215"/>
      <c r="H164" s="363">
        <v>0</v>
      </c>
      <c r="I164" s="410"/>
      <c r="J164" s="363">
        <v>0</v>
      </c>
      <c r="K164" s="363">
        <v>0</v>
      </c>
      <c r="L164" s="363">
        <v>0</v>
      </c>
      <c r="M164" s="363">
        <v>0</v>
      </c>
      <c r="N164" s="363">
        <v>0</v>
      </c>
      <c r="O164" s="363">
        <v>0</v>
      </c>
      <c r="P164" s="215">
        <f t="shared" si="55"/>
        <v>0</v>
      </c>
      <c r="Q164" s="363">
        <f t="shared" si="56"/>
        <v>0</v>
      </c>
      <c r="R164" s="410"/>
      <c r="S164" s="363">
        <v>0</v>
      </c>
      <c r="T164" s="363">
        <v>0</v>
      </c>
      <c r="U164" s="363">
        <v>0</v>
      </c>
      <c r="V164" s="363">
        <v>0</v>
      </c>
      <c r="W164" s="363">
        <v>0</v>
      </c>
      <c r="X164" s="363">
        <v>0</v>
      </c>
      <c r="Y164" s="363">
        <f t="shared" si="57"/>
        <v>0</v>
      </c>
      <c r="Z164" s="363">
        <f t="shared" si="58"/>
        <v>0</v>
      </c>
      <c r="AA164" s="410"/>
      <c r="AB164" s="411">
        <v>0</v>
      </c>
      <c r="AC164" s="411">
        <v>0</v>
      </c>
      <c r="AD164" s="411">
        <v>0</v>
      </c>
      <c r="AE164" s="411">
        <v>0</v>
      </c>
      <c r="AF164" s="411">
        <v>0</v>
      </c>
      <c r="AG164" s="411">
        <v>0</v>
      </c>
      <c r="AH164" s="363">
        <f t="shared" si="59"/>
        <v>0</v>
      </c>
      <c r="AI164" s="411">
        <f t="shared" si="60"/>
        <v>0</v>
      </c>
      <c r="AJ164" s="410"/>
      <c r="AK164" s="411">
        <v>0</v>
      </c>
      <c r="AL164" s="411">
        <v>0</v>
      </c>
      <c r="AM164" s="411">
        <v>0</v>
      </c>
      <c r="AN164" s="410"/>
      <c r="AO164" s="411">
        <f t="shared" si="61"/>
        <v>0</v>
      </c>
      <c r="AP164" s="411">
        <f t="shared" si="61"/>
        <v>0</v>
      </c>
      <c r="AQ164" s="411">
        <f t="shared" si="61"/>
        <v>0</v>
      </c>
      <c r="AR164" s="412"/>
      <c r="AS164" s="412">
        <v>0</v>
      </c>
      <c r="AT164" s="413">
        <f t="shared" si="62"/>
        <v>0</v>
      </c>
      <c r="AU164" s="412"/>
      <c r="AV164" s="412">
        <v>0</v>
      </c>
      <c r="AW164" s="412">
        <v>0</v>
      </c>
      <c r="AX164" s="412">
        <v>0</v>
      </c>
      <c r="AY164" s="412">
        <v>0</v>
      </c>
      <c r="AZ164" s="412">
        <v>0</v>
      </c>
      <c r="BA164" s="412">
        <v>0</v>
      </c>
      <c r="BB164" s="412">
        <v>0</v>
      </c>
      <c r="BC164" s="412">
        <f t="shared" si="63"/>
        <v>0</v>
      </c>
      <c r="BE164" s="205">
        <f t="shared" si="50"/>
        <v>0</v>
      </c>
      <c r="BF164" s="205">
        <f t="shared" si="50"/>
        <v>0</v>
      </c>
      <c r="BG164" s="205">
        <f t="shared" si="50"/>
        <v>0</v>
      </c>
      <c r="BH164" s="205">
        <f t="shared" si="49"/>
        <v>0</v>
      </c>
      <c r="BI164" s="205">
        <f t="shared" si="49"/>
        <v>0</v>
      </c>
      <c r="BJ164" s="205">
        <f t="shared" si="49"/>
        <v>0</v>
      </c>
      <c r="BK164" s="205">
        <f t="shared" si="64"/>
        <v>0</v>
      </c>
      <c r="BL164" s="205">
        <f t="shared" si="65"/>
        <v>0</v>
      </c>
      <c r="BM164" s="215">
        <f t="shared" si="66"/>
        <v>0</v>
      </c>
      <c r="BN164" s="215"/>
      <c r="BO164" s="412">
        <f t="shared" si="71"/>
        <v>0</v>
      </c>
      <c r="BP164" s="412">
        <f t="shared" si="71"/>
        <v>0</v>
      </c>
      <c r="BQ164" s="412">
        <f t="shared" si="71"/>
        <v>0</v>
      </c>
      <c r="BR164" s="412">
        <f t="shared" si="71"/>
        <v>0</v>
      </c>
      <c r="BS164" s="412">
        <f t="shared" si="71"/>
        <v>0</v>
      </c>
      <c r="BT164" s="412">
        <f t="shared" si="71"/>
        <v>0</v>
      </c>
      <c r="BU164" s="412">
        <f t="shared" si="72"/>
        <v>0</v>
      </c>
      <c r="BV164" s="412">
        <f t="shared" si="67"/>
        <v>0</v>
      </c>
      <c r="BW164" s="412">
        <f t="shared" si="52"/>
        <v>0</v>
      </c>
      <c r="BX164" s="412"/>
      <c r="BY164" s="412">
        <f t="shared" si="68"/>
        <v>0</v>
      </c>
      <c r="BZ164" s="412"/>
      <c r="CA164" s="412">
        <f>IFERROR(VLOOKUP(A164,'Actuals Summer'!A:S,19,FALSE),0)</f>
        <v>0</v>
      </c>
      <c r="CC164" s="412"/>
      <c r="CD164" s="412"/>
      <c r="CE164" s="412"/>
      <c r="CF164" s="412"/>
      <c r="CG164" s="412"/>
      <c r="CH164" s="412"/>
      <c r="CI164" s="412"/>
      <c r="CJ164" s="412"/>
      <c r="CK164" s="412"/>
      <c r="CL164" s="412"/>
      <c r="CM164" s="412"/>
      <c r="CN164" s="412"/>
      <c r="CO164" s="412"/>
      <c r="CQ164" s="363"/>
      <c r="CR164" s="363"/>
      <c r="CS164" s="363"/>
      <c r="CT164" s="363"/>
      <c r="CU164" s="363"/>
      <c r="CV164" s="363"/>
      <c r="CW164" s="363"/>
      <c r="CX164" s="363"/>
      <c r="CZ164" s="414"/>
      <c r="DA164" s="414"/>
      <c r="DB164" s="414"/>
      <c r="DC164" s="414"/>
      <c r="DD164" s="414"/>
      <c r="DE164" s="414"/>
      <c r="DF164" s="414"/>
      <c r="DG164" s="414"/>
      <c r="DI164" s="414">
        <f t="shared" si="69"/>
        <v>0</v>
      </c>
      <c r="DJ164" s="414"/>
      <c r="DK164" s="414"/>
      <c r="DL164" s="414"/>
      <c r="DM164" s="414"/>
      <c r="DN164" s="414"/>
      <c r="DO164" s="414"/>
      <c r="DP164" s="414"/>
      <c r="DQ164" s="414"/>
      <c r="DS164" s="414"/>
      <c r="DT164" s="414"/>
      <c r="DU164" s="414"/>
      <c r="DV164" s="414"/>
      <c r="DW164" s="414"/>
      <c r="DX164" s="414"/>
      <c r="DY164" s="414"/>
      <c r="DZ164" s="414"/>
      <c r="EB164" s="415">
        <f t="shared" si="53"/>
        <v>0</v>
      </c>
      <c r="EC164" s="415">
        <f t="shared" si="54"/>
        <v>0</v>
      </c>
      <c r="ED164" s="416">
        <f t="shared" si="70"/>
        <v>0</v>
      </c>
    </row>
    <row r="165" spans="1:134" hidden="1" x14ac:dyDescent="0.35">
      <c r="A165" s="17">
        <v>2412</v>
      </c>
      <c r="B165" s="4">
        <v>103349</v>
      </c>
      <c r="C165" s="4" t="s">
        <v>1052</v>
      </c>
      <c r="D165" s="4" t="s">
        <v>1053</v>
      </c>
      <c r="E165" s="15" t="s">
        <v>32</v>
      </c>
      <c r="F165" s="16" t="s">
        <v>27</v>
      </c>
      <c r="G165" s="215"/>
      <c r="H165" s="363">
        <v>0</v>
      </c>
      <c r="I165" s="410"/>
      <c r="J165" s="363">
        <v>0</v>
      </c>
      <c r="K165" s="363">
        <v>0</v>
      </c>
      <c r="L165" s="363">
        <v>0</v>
      </c>
      <c r="M165" s="363">
        <v>0</v>
      </c>
      <c r="N165" s="363">
        <v>0</v>
      </c>
      <c r="O165" s="363">
        <v>0</v>
      </c>
      <c r="P165" s="215">
        <f t="shared" si="55"/>
        <v>0</v>
      </c>
      <c r="Q165" s="363">
        <f t="shared" si="56"/>
        <v>0</v>
      </c>
      <c r="R165" s="410"/>
      <c r="S165" s="363">
        <v>0</v>
      </c>
      <c r="T165" s="363">
        <v>0</v>
      </c>
      <c r="U165" s="363">
        <v>0</v>
      </c>
      <c r="V165" s="363">
        <v>0</v>
      </c>
      <c r="W165" s="363">
        <v>0</v>
      </c>
      <c r="X165" s="363">
        <v>0</v>
      </c>
      <c r="Y165" s="363">
        <f t="shared" si="57"/>
        <v>0</v>
      </c>
      <c r="Z165" s="363">
        <f t="shared" si="58"/>
        <v>0</v>
      </c>
      <c r="AA165" s="410"/>
      <c r="AB165" s="411">
        <v>0</v>
      </c>
      <c r="AC165" s="411">
        <v>0</v>
      </c>
      <c r="AD165" s="411">
        <v>0</v>
      </c>
      <c r="AE165" s="411">
        <v>0</v>
      </c>
      <c r="AF165" s="411">
        <v>0</v>
      </c>
      <c r="AG165" s="411">
        <v>0</v>
      </c>
      <c r="AH165" s="363">
        <f t="shared" si="59"/>
        <v>0</v>
      </c>
      <c r="AI165" s="411">
        <f t="shared" si="60"/>
        <v>0</v>
      </c>
      <c r="AJ165" s="410"/>
      <c r="AK165" s="411">
        <v>0</v>
      </c>
      <c r="AL165" s="411">
        <v>0</v>
      </c>
      <c r="AM165" s="411">
        <v>0</v>
      </c>
      <c r="AN165" s="410"/>
      <c r="AO165" s="411">
        <f t="shared" si="61"/>
        <v>0</v>
      </c>
      <c r="AP165" s="411">
        <f t="shared" si="61"/>
        <v>0</v>
      </c>
      <c r="AQ165" s="411">
        <f t="shared" si="61"/>
        <v>0</v>
      </c>
      <c r="AR165" s="412"/>
      <c r="AS165" s="412">
        <v>0</v>
      </c>
      <c r="AT165" s="413">
        <f t="shared" si="62"/>
        <v>0</v>
      </c>
      <c r="AU165" s="412"/>
      <c r="AV165" s="412">
        <v>0</v>
      </c>
      <c r="AW165" s="412">
        <v>0</v>
      </c>
      <c r="AX165" s="412">
        <v>0</v>
      </c>
      <c r="AY165" s="412">
        <v>0</v>
      </c>
      <c r="AZ165" s="412">
        <v>0</v>
      </c>
      <c r="BA165" s="412">
        <v>0</v>
      </c>
      <c r="BB165" s="412">
        <v>0</v>
      </c>
      <c r="BC165" s="412">
        <f t="shared" si="63"/>
        <v>0</v>
      </c>
      <c r="BE165" s="205">
        <f t="shared" si="50"/>
        <v>0</v>
      </c>
      <c r="BF165" s="205">
        <f t="shared" si="50"/>
        <v>0</v>
      </c>
      <c r="BG165" s="205">
        <f t="shared" si="50"/>
        <v>0</v>
      </c>
      <c r="BH165" s="205">
        <f t="shared" si="49"/>
        <v>0</v>
      </c>
      <c r="BI165" s="205">
        <f t="shared" si="49"/>
        <v>0</v>
      </c>
      <c r="BJ165" s="205">
        <f t="shared" si="49"/>
        <v>0</v>
      </c>
      <c r="BK165" s="205">
        <f t="shared" si="64"/>
        <v>0</v>
      </c>
      <c r="BL165" s="205">
        <f t="shared" si="65"/>
        <v>0</v>
      </c>
      <c r="BM165" s="215">
        <f t="shared" si="66"/>
        <v>0</v>
      </c>
      <c r="BN165" s="215"/>
      <c r="BO165" s="412">
        <f t="shared" si="71"/>
        <v>0</v>
      </c>
      <c r="BP165" s="412">
        <f t="shared" si="71"/>
        <v>0</v>
      </c>
      <c r="BQ165" s="412">
        <f t="shared" si="71"/>
        <v>0</v>
      </c>
      <c r="BR165" s="412">
        <f t="shared" si="71"/>
        <v>0</v>
      </c>
      <c r="BS165" s="412">
        <f t="shared" si="71"/>
        <v>0</v>
      </c>
      <c r="BT165" s="412">
        <f t="shared" si="71"/>
        <v>0</v>
      </c>
      <c r="BU165" s="412">
        <f t="shared" si="72"/>
        <v>0</v>
      </c>
      <c r="BV165" s="412">
        <f t="shared" si="67"/>
        <v>0</v>
      </c>
      <c r="BW165" s="412">
        <f t="shared" si="52"/>
        <v>0</v>
      </c>
      <c r="BX165" s="412"/>
      <c r="BY165" s="412">
        <f t="shared" si="68"/>
        <v>0</v>
      </c>
      <c r="BZ165" s="412"/>
      <c r="CA165" s="412">
        <f>IFERROR(VLOOKUP(A165,'Actuals Summer'!A:S,19,FALSE),0)</f>
        <v>0</v>
      </c>
      <c r="CC165" s="412"/>
      <c r="CD165" s="412"/>
      <c r="CE165" s="412"/>
      <c r="CF165" s="412"/>
      <c r="CG165" s="412"/>
      <c r="CH165" s="412"/>
      <c r="CI165" s="412"/>
      <c r="CJ165" s="412"/>
      <c r="CK165" s="412"/>
      <c r="CL165" s="412"/>
      <c r="CM165" s="412"/>
      <c r="CN165" s="412"/>
      <c r="CO165" s="412"/>
      <c r="CQ165" s="363"/>
      <c r="CR165" s="363"/>
      <c r="CS165" s="363"/>
      <c r="CT165" s="363"/>
      <c r="CU165" s="363"/>
      <c r="CV165" s="363"/>
      <c r="CW165" s="363"/>
      <c r="CX165" s="363"/>
      <c r="CZ165" s="414"/>
      <c r="DA165" s="414"/>
      <c r="DB165" s="414"/>
      <c r="DC165" s="414"/>
      <c r="DD165" s="414"/>
      <c r="DE165" s="414"/>
      <c r="DF165" s="414"/>
      <c r="DG165" s="414"/>
      <c r="DI165" s="414">
        <f t="shared" si="69"/>
        <v>0</v>
      </c>
      <c r="DJ165" s="414"/>
      <c r="DK165" s="414"/>
      <c r="DL165" s="414"/>
      <c r="DM165" s="414"/>
      <c r="DN165" s="414"/>
      <c r="DO165" s="414"/>
      <c r="DP165" s="414"/>
      <c r="DQ165" s="414"/>
      <c r="DS165" s="414"/>
      <c r="DT165" s="414"/>
      <c r="DU165" s="414"/>
      <c r="DV165" s="414"/>
      <c r="DW165" s="414"/>
      <c r="DX165" s="414"/>
      <c r="DY165" s="414"/>
      <c r="DZ165" s="414"/>
      <c r="EB165" s="415">
        <f t="shared" si="53"/>
        <v>0</v>
      </c>
      <c r="EC165" s="415">
        <f t="shared" si="54"/>
        <v>0</v>
      </c>
      <c r="ED165" s="416">
        <f t="shared" si="70"/>
        <v>0</v>
      </c>
    </row>
    <row r="166" spans="1:134" hidden="1" x14ac:dyDescent="0.35">
      <c r="A166" s="17">
        <v>3421</v>
      </c>
      <c r="B166" s="4">
        <v>133996</v>
      </c>
      <c r="C166" s="4" t="s">
        <v>1054</v>
      </c>
      <c r="D166" s="4" t="s">
        <v>1055</v>
      </c>
      <c r="E166" s="15" t="s">
        <v>32</v>
      </c>
      <c r="F166" s="16" t="s">
        <v>27</v>
      </c>
      <c r="G166" s="215"/>
      <c r="H166" s="363">
        <v>0</v>
      </c>
      <c r="I166" s="410"/>
      <c r="J166" s="363">
        <v>0</v>
      </c>
      <c r="K166" s="363">
        <v>0</v>
      </c>
      <c r="L166" s="363">
        <v>0</v>
      </c>
      <c r="M166" s="363">
        <v>0</v>
      </c>
      <c r="N166" s="363">
        <v>0</v>
      </c>
      <c r="O166" s="363">
        <v>0</v>
      </c>
      <c r="P166" s="215">
        <f t="shared" si="55"/>
        <v>0</v>
      </c>
      <c r="Q166" s="363">
        <f t="shared" si="56"/>
        <v>0</v>
      </c>
      <c r="R166" s="410"/>
      <c r="S166" s="363">
        <v>0</v>
      </c>
      <c r="T166" s="363">
        <v>0</v>
      </c>
      <c r="U166" s="363">
        <v>0</v>
      </c>
      <c r="V166" s="363">
        <v>0</v>
      </c>
      <c r="W166" s="363">
        <v>0</v>
      </c>
      <c r="X166" s="363">
        <v>0</v>
      </c>
      <c r="Y166" s="363">
        <f t="shared" si="57"/>
        <v>0</v>
      </c>
      <c r="Z166" s="363">
        <f t="shared" si="58"/>
        <v>0</v>
      </c>
      <c r="AA166" s="410"/>
      <c r="AB166" s="411">
        <v>0</v>
      </c>
      <c r="AC166" s="411">
        <v>0</v>
      </c>
      <c r="AD166" s="411">
        <v>0</v>
      </c>
      <c r="AE166" s="411">
        <v>0</v>
      </c>
      <c r="AF166" s="411">
        <v>0</v>
      </c>
      <c r="AG166" s="411">
        <v>0</v>
      </c>
      <c r="AH166" s="363">
        <f t="shared" si="59"/>
        <v>0</v>
      </c>
      <c r="AI166" s="411">
        <f t="shared" si="60"/>
        <v>0</v>
      </c>
      <c r="AJ166" s="410"/>
      <c r="AK166" s="411">
        <v>0</v>
      </c>
      <c r="AL166" s="411">
        <v>0</v>
      </c>
      <c r="AM166" s="411">
        <v>0</v>
      </c>
      <c r="AN166" s="410"/>
      <c r="AO166" s="411">
        <f t="shared" si="61"/>
        <v>0</v>
      </c>
      <c r="AP166" s="411">
        <f t="shared" si="61"/>
        <v>0</v>
      </c>
      <c r="AQ166" s="411">
        <f t="shared" si="61"/>
        <v>0</v>
      </c>
      <c r="AR166" s="412"/>
      <c r="AS166" s="412">
        <v>0</v>
      </c>
      <c r="AT166" s="413">
        <f t="shared" si="62"/>
        <v>0</v>
      </c>
      <c r="AU166" s="412"/>
      <c r="AV166" s="412">
        <v>0</v>
      </c>
      <c r="AW166" s="412">
        <v>0</v>
      </c>
      <c r="AX166" s="412">
        <v>0</v>
      </c>
      <c r="AY166" s="412">
        <v>0</v>
      </c>
      <c r="AZ166" s="412">
        <v>0</v>
      </c>
      <c r="BA166" s="412">
        <v>0</v>
      </c>
      <c r="BB166" s="412">
        <v>0</v>
      </c>
      <c r="BC166" s="412">
        <f t="shared" si="63"/>
        <v>0</v>
      </c>
      <c r="BE166" s="205">
        <f t="shared" si="50"/>
        <v>0</v>
      </c>
      <c r="BF166" s="205">
        <f t="shared" si="50"/>
        <v>0</v>
      </c>
      <c r="BG166" s="205">
        <f t="shared" si="50"/>
        <v>0</v>
      </c>
      <c r="BH166" s="205">
        <f t="shared" si="49"/>
        <v>0</v>
      </c>
      <c r="BI166" s="205">
        <f t="shared" si="49"/>
        <v>0</v>
      </c>
      <c r="BJ166" s="205">
        <f t="shared" si="49"/>
        <v>0</v>
      </c>
      <c r="BK166" s="205">
        <f t="shared" si="64"/>
        <v>0</v>
      </c>
      <c r="BL166" s="205">
        <f t="shared" si="65"/>
        <v>0</v>
      </c>
      <c r="BM166" s="215">
        <f t="shared" si="66"/>
        <v>0</v>
      </c>
      <c r="BN166" s="215"/>
      <c r="BO166" s="412">
        <f t="shared" si="71"/>
        <v>0</v>
      </c>
      <c r="BP166" s="412">
        <f t="shared" si="71"/>
        <v>0</v>
      </c>
      <c r="BQ166" s="412">
        <f t="shared" si="71"/>
        <v>0</v>
      </c>
      <c r="BR166" s="412">
        <f t="shared" si="71"/>
        <v>0</v>
      </c>
      <c r="BS166" s="412">
        <f t="shared" si="71"/>
        <v>0</v>
      </c>
      <c r="BT166" s="412">
        <f t="shared" si="71"/>
        <v>0</v>
      </c>
      <c r="BU166" s="412">
        <f t="shared" si="72"/>
        <v>0</v>
      </c>
      <c r="BV166" s="412">
        <f t="shared" si="67"/>
        <v>0</v>
      </c>
      <c r="BW166" s="412">
        <f t="shared" si="52"/>
        <v>0</v>
      </c>
      <c r="BX166" s="412"/>
      <c r="BY166" s="412">
        <f t="shared" si="68"/>
        <v>0</v>
      </c>
      <c r="BZ166" s="412"/>
      <c r="CA166" s="412">
        <f>IFERROR(VLOOKUP(A166,'Actuals Summer'!A:S,19,FALSE),0)</f>
        <v>0</v>
      </c>
      <c r="CC166" s="412"/>
      <c r="CD166" s="412"/>
      <c r="CE166" s="412"/>
      <c r="CF166" s="412"/>
      <c r="CG166" s="412"/>
      <c r="CH166" s="412"/>
      <c r="CI166" s="412"/>
      <c r="CJ166" s="412"/>
      <c r="CK166" s="412"/>
      <c r="CL166" s="412"/>
      <c r="CM166" s="412"/>
      <c r="CN166" s="412"/>
      <c r="CO166" s="412"/>
      <c r="CQ166" s="363"/>
      <c r="CR166" s="363"/>
      <c r="CS166" s="363"/>
      <c r="CT166" s="363"/>
      <c r="CU166" s="363"/>
      <c r="CV166" s="363"/>
      <c r="CW166" s="363"/>
      <c r="CX166" s="363"/>
      <c r="CZ166" s="414"/>
      <c r="DA166" s="414"/>
      <c r="DB166" s="414"/>
      <c r="DC166" s="414"/>
      <c r="DD166" s="414"/>
      <c r="DE166" s="414"/>
      <c r="DF166" s="414"/>
      <c r="DG166" s="414"/>
      <c r="DI166" s="414">
        <f t="shared" si="69"/>
        <v>0</v>
      </c>
      <c r="DJ166" s="414"/>
      <c r="DK166" s="414"/>
      <c r="DL166" s="414"/>
      <c r="DM166" s="414"/>
      <c r="DN166" s="414"/>
      <c r="DO166" s="414"/>
      <c r="DP166" s="414"/>
      <c r="DQ166" s="414"/>
      <c r="DS166" s="414"/>
      <c r="DT166" s="414"/>
      <c r="DU166" s="414"/>
      <c r="DV166" s="414"/>
      <c r="DW166" s="414"/>
      <c r="DX166" s="414"/>
      <c r="DY166" s="414"/>
      <c r="DZ166" s="414"/>
      <c r="EB166" s="415">
        <f t="shared" si="53"/>
        <v>0</v>
      </c>
      <c r="EC166" s="415">
        <f t="shared" si="54"/>
        <v>0</v>
      </c>
      <c r="ED166" s="416">
        <f t="shared" si="70"/>
        <v>0</v>
      </c>
    </row>
    <row r="167" spans="1:134" hidden="1" x14ac:dyDescent="0.35">
      <c r="A167" s="17">
        <v>2227</v>
      </c>
      <c r="B167" s="4">
        <v>103281</v>
      </c>
      <c r="C167" s="4" t="s">
        <v>176</v>
      </c>
      <c r="D167" s="4" t="s">
        <v>177</v>
      </c>
      <c r="E167" s="15" t="s">
        <v>32</v>
      </c>
      <c r="F167" s="16" t="s">
        <v>27</v>
      </c>
      <c r="G167" s="215"/>
      <c r="H167" s="363">
        <v>0</v>
      </c>
      <c r="I167" s="410"/>
      <c r="J167" s="363">
        <v>0</v>
      </c>
      <c r="K167" s="363">
        <v>0</v>
      </c>
      <c r="L167" s="363">
        <v>68429.399999999994</v>
      </c>
      <c r="M167" s="363">
        <v>4875</v>
      </c>
      <c r="N167" s="363">
        <v>1715.3157894736842</v>
      </c>
      <c r="O167" s="363">
        <v>0</v>
      </c>
      <c r="P167" s="215">
        <f t="shared" si="55"/>
        <v>75019.715789473674</v>
      </c>
      <c r="Q167" s="363">
        <f t="shared" si="56"/>
        <v>60015.77263157894</v>
      </c>
      <c r="R167" s="410"/>
      <c r="S167" s="363">
        <v>0</v>
      </c>
      <c r="T167" s="363">
        <v>0</v>
      </c>
      <c r="U167" s="363">
        <v>27592.5</v>
      </c>
      <c r="V167" s="363">
        <v>2145</v>
      </c>
      <c r="W167" s="363">
        <v>820.36842105263156</v>
      </c>
      <c r="X167" s="363">
        <v>0</v>
      </c>
      <c r="Y167" s="363">
        <f t="shared" si="57"/>
        <v>30557.86842105263</v>
      </c>
      <c r="Z167" s="363">
        <f t="shared" si="58"/>
        <v>24446.294736842105</v>
      </c>
      <c r="AA167" s="410"/>
      <c r="AB167" s="411">
        <v>0</v>
      </c>
      <c r="AC167" s="411">
        <v>0</v>
      </c>
      <c r="AD167" s="411">
        <v>48258.947368421053</v>
      </c>
      <c r="AE167" s="411">
        <v>3183.1578947368416</v>
      </c>
      <c r="AF167" s="411">
        <v>1130.4598337950138</v>
      </c>
      <c r="AG167" s="411">
        <v>0</v>
      </c>
      <c r="AH167" s="363">
        <f t="shared" si="59"/>
        <v>52572.565096952909</v>
      </c>
      <c r="AI167" s="411">
        <f t="shared" si="60"/>
        <v>42058.05207756233</v>
      </c>
      <c r="AJ167" s="410"/>
      <c r="AK167" s="411">
        <v>2843.1</v>
      </c>
      <c r="AL167" s="411">
        <v>1109.5500000000002</v>
      </c>
      <c r="AM167" s="411">
        <v>2017.3263157894737</v>
      </c>
      <c r="AN167" s="410"/>
      <c r="AO167" s="411">
        <f t="shared" si="61"/>
        <v>2274.48</v>
      </c>
      <c r="AP167" s="411">
        <f t="shared" si="61"/>
        <v>887.64000000000021</v>
      </c>
      <c r="AQ167" s="411">
        <f t="shared" si="61"/>
        <v>1613.861052631579</v>
      </c>
      <c r="AR167" s="412"/>
      <c r="AS167" s="412">
        <v>0</v>
      </c>
      <c r="AT167" s="413">
        <f t="shared" si="62"/>
        <v>0</v>
      </c>
      <c r="AU167" s="412"/>
      <c r="AV167" s="412">
        <v>0</v>
      </c>
      <c r="AW167" s="412">
        <v>0</v>
      </c>
      <c r="AX167" s="412">
        <v>58496.1</v>
      </c>
      <c r="AY167" s="412">
        <v>5265</v>
      </c>
      <c r="AZ167" s="412">
        <v>2013.6315789473686</v>
      </c>
      <c r="BA167" s="412">
        <v>320.89</v>
      </c>
      <c r="BB167" s="412">
        <v>2207.3999999999996</v>
      </c>
      <c r="BC167" s="412">
        <f t="shared" si="63"/>
        <v>68303.021578947359</v>
      </c>
      <c r="BE167" s="205">
        <f t="shared" si="50"/>
        <v>0</v>
      </c>
      <c r="BF167" s="205">
        <f t="shared" si="50"/>
        <v>0</v>
      </c>
      <c r="BG167" s="205">
        <f t="shared" si="50"/>
        <v>-9933.2999999999956</v>
      </c>
      <c r="BH167" s="205">
        <f t="shared" si="49"/>
        <v>390</v>
      </c>
      <c r="BI167" s="205">
        <f t="shared" si="49"/>
        <v>298.31578947368439</v>
      </c>
      <c r="BJ167" s="205">
        <f t="shared" si="49"/>
        <v>320.89</v>
      </c>
      <c r="BK167" s="205">
        <f t="shared" si="64"/>
        <v>-635.70000000000027</v>
      </c>
      <c r="BL167" s="205">
        <f t="shared" si="65"/>
        <v>-9559.7942105263119</v>
      </c>
      <c r="BM167" s="215">
        <f t="shared" si="66"/>
        <v>0</v>
      </c>
      <c r="BN167" s="215"/>
      <c r="BO167" s="412">
        <f t="shared" si="71"/>
        <v>0</v>
      </c>
      <c r="BP167" s="412">
        <f t="shared" si="71"/>
        <v>0</v>
      </c>
      <c r="BQ167" s="412">
        <f t="shared" si="71"/>
        <v>3752.5800000000017</v>
      </c>
      <c r="BR167" s="412">
        <f t="shared" si="71"/>
        <v>1365</v>
      </c>
      <c r="BS167" s="412">
        <f t="shared" si="71"/>
        <v>641.37894736842122</v>
      </c>
      <c r="BT167" s="412">
        <f t="shared" si="71"/>
        <v>320.89</v>
      </c>
      <c r="BU167" s="412">
        <f t="shared" si="72"/>
        <v>-67.080000000000382</v>
      </c>
      <c r="BV167" s="412">
        <f t="shared" si="67"/>
        <v>6012.7689473684222</v>
      </c>
      <c r="BW167" s="412">
        <f t="shared" si="52"/>
        <v>1.4551915228366852E-11</v>
      </c>
      <c r="BX167" s="412"/>
      <c r="BY167" s="412">
        <f t="shared" si="68"/>
        <v>68303.021578947359</v>
      </c>
      <c r="BZ167" s="412"/>
      <c r="CA167" s="412">
        <f>IFERROR(VLOOKUP(A167,'Actuals Summer'!A:S,19,FALSE),0)</f>
        <v>68303.021578947373</v>
      </c>
      <c r="CC167" s="412"/>
      <c r="CD167" s="412"/>
      <c r="CE167" s="412"/>
      <c r="CF167" s="412"/>
      <c r="CG167" s="412"/>
      <c r="CH167" s="412"/>
      <c r="CI167" s="412"/>
      <c r="CJ167" s="412"/>
      <c r="CK167" s="412"/>
      <c r="CL167" s="412"/>
      <c r="CM167" s="412"/>
      <c r="CN167" s="412"/>
      <c r="CO167" s="412"/>
      <c r="CQ167" s="363"/>
      <c r="CR167" s="363"/>
      <c r="CS167" s="363"/>
      <c r="CT167" s="363"/>
      <c r="CU167" s="363"/>
      <c r="CV167" s="363"/>
      <c r="CW167" s="363"/>
      <c r="CX167" s="363"/>
      <c r="CZ167" s="414"/>
      <c r="DA167" s="414"/>
      <c r="DB167" s="414"/>
      <c r="DC167" s="414"/>
      <c r="DD167" s="414"/>
      <c r="DE167" s="414"/>
      <c r="DF167" s="414"/>
      <c r="DG167" s="414"/>
      <c r="DI167" s="414">
        <f t="shared" si="69"/>
        <v>0</v>
      </c>
      <c r="DJ167" s="414"/>
      <c r="DK167" s="414"/>
      <c r="DL167" s="414"/>
      <c r="DM167" s="414"/>
      <c r="DN167" s="414"/>
      <c r="DO167" s="414"/>
      <c r="DP167" s="414"/>
      <c r="DQ167" s="414"/>
      <c r="DS167" s="414"/>
      <c r="DT167" s="414"/>
      <c r="DU167" s="414"/>
      <c r="DV167" s="414"/>
      <c r="DW167" s="414"/>
      <c r="DX167" s="414"/>
      <c r="DY167" s="414"/>
      <c r="DZ167" s="414"/>
      <c r="EB167" s="415">
        <f t="shared" si="53"/>
        <v>136987.97944598336</v>
      </c>
      <c r="EC167" s="415">
        <f t="shared" si="54"/>
        <v>320.89</v>
      </c>
      <c r="ED167" s="416">
        <f t="shared" si="70"/>
        <v>137308.86944598338</v>
      </c>
    </row>
    <row r="168" spans="1:134" hidden="1" x14ac:dyDescent="0.35">
      <c r="A168" s="17">
        <v>2231</v>
      </c>
      <c r="B168" s="4">
        <v>103284</v>
      </c>
      <c r="C168" s="4" t="s">
        <v>178</v>
      </c>
      <c r="D168" s="4" t="s">
        <v>179</v>
      </c>
      <c r="E168" s="15" t="s">
        <v>32</v>
      </c>
      <c r="F168" s="16" t="s">
        <v>27</v>
      </c>
      <c r="G168" s="215"/>
      <c r="H168" s="363">
        <v>0</v>
      </c>
      <c r="I168" s="410"/>
      <c r="J168" s="363">
        <v>0</v>
      </c>
      <c r="K168" s="363">
        <v>0</v>
      </c>
      <c r="L168" s="363">
        <v>51873.9</v>
      </c>
      <c r="M168" s="363">
        <v>1755</v>
      </c>
      <c r="N168" s="363">
        <v>0</v>
      </c>
      <c r="O168" s="363">
        <v>0</v>
      </c>
      <c r="P168" s="215">
        <f t="shared" si="55"/>
        <v>53628.9</v>
      </c>
      <c r="Q168" s="363">
        <f t="shared" si="56"/>
        <v>42903.12</v>
      </c>
      <c r="R168" s="410"/>
      <c r="S168" s="363">
        <v>0</v>
      </c>
      <c r="T168" s="363">
        <v>0</v>
      </c>
      <c r="U168" s="363">
        <v>35980.619999999995</v>
      </c>
      <c r="V168" s="363">
        <v>897</v>
      </c>
      <c r="W168" s="363">
        <v>0</v>
      </c>
      <c r="X168" s="363">
        <v>0</v>
      </c>
      <c r="Y168" s="363">
        <f t="shared" si="57"/>
        <v>36877.619999999995</v>
      </c>
      <c r="Z168" s="363">
        <f t="shared" si="58"/>
        <v>29502.095999999998</v>
      </c>
      <c r="AA168" s="410"/>
      <c r="AB168" s="411">
        <v>0</v>
      </c>
      <c r="AC168" s="411">
        <v>0</v>
      </c>
      <c r="AD168" s="411">
        <v>39443.646315789476</v>
      </c>
      <c r="AE168" s="411">
        <v>795.78947368421041</v>
      </c>
      <c r="AF168" s="411">
        <v>0</v>
      </c>
      <c r="AG168" s="411">
        <v>0</v>
      </c>
      <c r="AH168" s="363">
        <f t="shared" si="59"/>
        <v>40239.43578947369</v>
      </c>
      <c r="AI168" s="411">
        <f t="shared" si="60"/>
        <v>32191.548631578953</v>
      </c>
      <c r="AJ168" s="410"/>
      <c r="AK168" s="411">
        <v>518.70000000000005</v>
      </c>
      <c r="AL168" s="411">
        <v>202.79999999999998</v>
      </c>
      <c r="AM168" s="411">
        <v>335.93684210526311</v>
      </c>
      <c r="AN168" s="410"/>
      <c r="AO168" s="411">
        <f t="shared" si="61"/>
        <v>414.96000000000004</v>
      </c>
      <c r="AP168" s="411">
        <f t="shared" si="61"/>
        <v>162.24</v>
      </c>
      <c r="AQ168" s="411">
        <f t="shared" si="61"/>
        <v>268.7494736842105</v>
      </c>
      <c r="AR168" s="412"/>
      <c r="AS168" s="412">
        <v>0</v>
      </c>
      <c r="AT168" s="413">
        <f t="shared" si="62"/>
        <v>0</v>
      </c>
      <c r="AU168" s="412"/>
      <c r="AV168" s="412">
        <v>0</v>
      </c>
      <c r="AW168" s="412">
        <v>0</v>
      </c>
      <c r="AX168" s="412">
        <v>38629.5</v>
      </c>
      <c r="AY168" s="412">
        <v>0</v>
      </c>
      <c r="AZ168" s="412">
        <v>0</v>
      </c>
      <c r="BA168" s="412">
        <v>0</v>
      </c>
      <c r="BB168" s="412">
        <v>274.95</v>
      </c>
      <c r="BC168" s="412">
        <f t="shared" si="63"/>
        <v>38904.449999999997</v>
      </c>
      <c r="BE168" s="205">
        <f t="shared" si="50"/>
        <v>0</v>
      </c>
      <c r="BF168" s="205">
        <f t="shared" si="50"/>
        <v>0</v>
      </c>
      <c r="BG168" s="205">
        <f t="shared" si="50"/>
        <v>-13244.400000000001</v>
      </c>
      <c r="BH168" s="205">
        <f t="shared" si="49"/>
        <v>-1755</v>
      </c>
      <c r="BI168" s="205">
        <f t="shared" si="49"/>
        <v>0</v>
      </c>
      <c r="BJ168" s="205">
        <f t="shared" si="49"/>
        <v>0</v>
      </c>
      <c r="BK168" s="205">
        <f t="shared" si="64"/>
        <v>-243.75000000000006</v>
      </c>
      <c r="BL168" s="205">
        <f t="shared" si="65"/>
        <v>-15243.150000000001</v>
      </c>
      <c r="BM168" s="215">
        <f t="shared" si="66"/>
        <v>0</v>
      </c>
      <c r="BN168" s="215"/>
      <c r="BO168" s="412">
        <f t="shared" si="71"/>
        <v>0</v>
      </c>
      <c r="BP168" s="412">
        <f t="shared" si="71"/>
        <v>0</v>
      </c>
      <c r="BQ168" s="412">
        <f t="shared" si="71"/>
        <v>-2869.6200000000026</v>
      </c>
      <c r="BR168" s="412">
        <f t="shared" si="71"/>
        <v>-1404</v>
      </c>
      <c r="BS168" s="412">
        <f t="shared" si="71"/>
        <v>0</v>
      </c>
      <c r="BT168" s="412">
        <f t="shared" si="71"/>
        <v>0</v>
      </c>
      <c r="BU168" s="412">
        <f t="shared" si="72"/>
        <v>-140.01000000000005</v>
      </c>
      <c r="BV168" s="412">
        <f t="shared" si="67"/>
        <v>-4413.6300000000028</v>
      </c>
      <c r="BW168" s="412">
        <f t="shared" si="52"/>
        <v>0</v>
      </c>
      <c r="BX168" s="412"/>
      <c r="BY168" s="412">
        <f t="shared" si="68"/>
        <v>38904.449999999997</v>
      </c>
      <c r="BZ168" s="412"/>
      <c r="CA168" s="412">
        <f>IFERROR(VLOOKUP(A168,'Actuals Summer'!A:S,19,FALSE),0)</f>
        <v>38904.449999999997</v>
      </c>
      <c r="CC168" s="412"/>
      <c r="CD168" s="412"/>
      <c r="CE168" s="412"/>
      <c r="CF168" s="412"/>
      <c r="CG168" s="412"/>
      <c r="CH168" s="412"/>
      <c r="CI168" s="412"/>
      <c r="CJ168" s="412"/>
      <c r="CK168" s="412"/>
      <c r="CL168" s="412"/>
      <c r="CM168" s="412"/>
      <c r="CN168" s="412"/>
      <c r="CO168" s="412"/>
      <c r="CQ168" s="363"/>
      <c r="CR168" s="363"/>
      <c r="CS168" s="363"/>
      <c r="CT168" s="363"/>
      <c r="CU168" s="363"/>
      <c r="CV168" s="363"/>
      <c r="CW168" s="363"/>
      <c r="CX168" s="363"/>
      <c r="CZ168" s="414"/>
      <c r="DA168" s="414"/>
      <c r="DB168" s="414"/>
      <c r="DC168" s="414"/>
      <c r="DD168" s="414"/>
      <c r="DE168" s="414"/>
      <c r="DF168" s="414"/>
      <c r="DG168" s="414"/>
      <c r="DI168" s="414">
        <f t="shared" si="69"/>
        <v>0</v>
      </c>
      <c r="DJ168" s="414"/>
      <c r="DK168" s="414"/>
      <c r="DL168" s="414"/>
      <c r="DM168" s="414"/>
      <c r="DN168" s="414"/>
      <c r="DO168" s="414"/>
      <c r="DP168" s="414"/>
      <c r="DQ168" s="414"/>
      <c r="DS168" s="414"/>
      <c r="DT168" s="414"/>
      <c r="DU168" s="414"/>
      <c r="DV168" s="414"/>
      <c r="DW168" s="414"/>
      <c r="DX168" s="414"/>
      <c r="DY168" s="414"/>
      <c r="DZ168" s="414"/>
      <c r="EB168" s="415">
        <f t="shared" si="53"/>
        <v>101029.08410526316</v>
      </c>
      <c r="EC168" s="415">
        <f t="shared" si="54"/>
        <v>0</v>
      </c>
      <c r="ED168" s="416">
        <f t="shared" si="70"/>
        <v>101029.08410526316</v>
      </c>
    </row>
    <row r="169" spans="1:134" hidden="1" x14ac:dyDescent="0.35">
      <c r="A169" s="17">
        <v>1001</v>
      </c>
      <c r="B169" s="4">
        <v>103120</v>
      </c>
      <c r="C169" s="4" t="s">
        <v>180</v>
      </c>
      <c r="D169" s="4" t="s">
        <v>181</v>
      </c>
      <c r="E169" s="15" t="s">
        <v>26</v>
      </c>
      <c r="F169" s="16" t="s">
        <v>27</v>
      </c>
      <c r="G169" s="215"/>
      <c r="H169" s="363">
        <v>192840.47125457475</v>
      </c>
      <c r="I169" s="410"/>
      <c r="J169" s="363">
        <v>0</v>
      </c>
      <c r="K169" s="363">
        <v>38167.35</v>
      </c>
      <c r="L169" s="363">
        <v>84984.9</v>
      </c>
      <c r="M169" s="363">
        <v>6240</v>
      </c>
      <c r="N169" s="363">
        <v>0</v>
      </c>
      <c r="O169" s="363">
        <v>641.78947368421052</v>
      </c>
      <c r="P169" s="215">
        <f t="shared" si="55"/>
        <v>130034.03947368421</v>
      </c>
      <c r="Q169" s="363">
        <f t="shared" si="56"/>
        <v>104027.23157894738</v>
      </c>
      <c r="R169" s="410"/>
      <c r="S169" s="363">
        <v>0</v>
      </c>
      <c r="T169" s="363">
        <v>41486.25</v>
      </c>
      <c r="U169" s="363">
        <v>49666.500000000007</v>
      </c>
      <c r="V169" s="363">
        <v>5460</v>
      </c>
      <c r="W169" s="363">
        <v>0</v>
      </c>
      <c r="X169" s="363">
        <v>320.89473684210526</v>
      </c>
      <c r="Y169" s="363">
        <f t="shared" si="57"/>
        <v>96933.644736842107</v>
      </c>
      <c r="Z169" s="363">
        <f t="shared" si="58"/>
        <v>77546.915789473685</v>
      </c>
      <c r="AA169" s="410"/>
      <c r="AB169" s="411">
        <v>0</v>
      </c>
      <c r="AC169" s="411">
        <v>27572.399999999998</v>
      </c>
      <c r="AD169" s="411">
        <v>60806.273684210544</v>
      </c>
      <c r="AE169" s="411">
        <v>4149.4736842105267</v>
      </c>
      <c r="AF169" s="411">
        <v>0</v>
      </c>
      <c r="AG169" s="411">
        <v>280.62049861495842</v>
      </c>
      <c r="AH169" s="363">
        <f t="shared" si="59"/>
        <v>92808.767867036033</v>
      </c>
      <c r="AI169" s="411">
        <f t="shared" si="60"/>
        <v>74247.014293628832</v>
      </c>
      <c r="AJ169" s="410"/>
      <c r="AK169" s="411">
        <v>2047.5</v>
      </c>
      <c r="AL169" s="411">
        <v>1593.1499999999999</v>
      </c>
      <c r="AM169" s="411">
        <v>1490.9684210526316</v>
      </c>
      <c r="AN169" s="410"/>
      <c r="AO169" s="411">
        <f t="shared" si="61"/>
        <v>1638</v>
      </c>
      <c r="AP169" s="411">
        <f t="shared" si="61"/>
        <v>1274.52</v>
      </c>
      <c r="AQ169" s="411">
        <f t="shared" si="61"/>
        <v>1192.7747368421053</v>
      </c>
      <c r="AR169" s="412"/>
      <c r="AS169" s="412">
        <v>197057.94851677286</v>
      </c>
      <c r="AT169" s="413">
        <f t="shared" si="62"/>
        <v>4217.4772621981101</v>
      </c>
      <c r="AU169" s="412"/>
      <c r="AV169" s="412">
        <v>0</v>
      </c>
      <c r="AW169" s="412">
        <v>38167.35</v>
      </c>
      <c r="AX169" s="412">
        <v>78362.700000000012</v>
      </c>
      <c r="AY169" s="412">
        <v>6825</v>
      </c>
      <c r="AZ169" s="412">
        <v>0</v>
      </c>
      <c r="BA169" s="412">
        <v>320.89</v>
      </c>
      <c r="BB169" s="412">
        <v>2022.1499999999999</v>
      </c>
      <c r="BC169" s="412">
        <f t="shared" si="63"/>
        <v>322756.03851677285</v>
      </c>
      <c r="BE169" s="205">
        <f t="shared" si="50"/>
        <v>0</v>
      </c>
      <c r="BF169" s="205">
        <f t="shared" si="50"/>
        <v>0</v>
      </c>
      <c r="BG169" s="205">
        <f t="shared" si="50"/>
        <v>-6622.1999999999825</v>
      </c>
      <c r="BH169" s="205">
        <f t="shared" si="49"/>
        <v>585</v>
      </c>
      <c r="BI169" s="205">
        <f t="shared" si="49"/>
        <v>0</v>
      </c>
      <c r="BJ169" s="205">
        <f t="shared" si="49"/>
        <v>-320.89947368421053</v>
      </c>
      <c r="BK169" s="205">
        <f t="shared" si="64"/>
        <v>-25.350000000000136</v>
      </c>
      <c r="BL169" s="205">
        <f t="shared" si="65"/>
        <v>-2165.9722114860833</v>
      </c>
      <c r="BM169" s="215">
        <f t="shared" si="66"/>
        <v>0</v>
      </c>
      <c r="BN169" s="215"/>
      <c r="BO169" s="412">
        <f t="shared" si="71"/>
        <v>0</v>
      </c>
      <c r="BP169" s="412">
        <f t="shared" si="71"/>
        <v>7633.4699999999975</v>
      </c>
      <c r="BQ169" s="412">
        <f t="shared" si="71"/>
        <v>10374.780000000013</v>
      </c>
      <c r="BR169" s="412">
        <f t="shared" si="71"/>
        <v>1833</v>
      </c>
      <c r="BS169" s="412">
        <f t="shared" si="71"/>
        <v>0</v>
      </c>
      <c r="BT169" s="412">
        <f t="shared" si="71"/>
        <v>-192.54157894736841</v>
      </c>
      <c r="BU169" s="412">
        <f t="shared" si="72"/>
        <v>384.14999999999986</v>
      </c>
      <c r="BV169" s="412">
        <f t="shared" si="67"/>
        <v>20032.858421052642</v>
      </c>
      <c r="BW169" s="412">
        <f t="shared" si="52"/>
        <v>-4217.4772621981101</v>
      </c>
      <c r="BX169" s="412"/>
      <c r="BY169" s="412">
        <f t="shared" si="68"/>
        <v>125698.09000000003</v>
      </c>
      <c r="BZ169" s="412"/>
      <c r="CA169" s="412">
        <f>IFERROR(VLOOKUP(A169,'Actuals Summer'!A:S,19,FALSE),0)</f>
        <v>125698.09000000001</v>
      </c>
      <c r="CC169" s="412"/>
      <c r="CD169" s="412"/>
      <c r="CE169" s="412"/>
      <c r="CF169" s="412"/>
      <c r="CG169" s="412"/>
      <c r="CH169" s="412"/>
      <c r="CI169" s="412"/>
      <c r="CJ169" s="412"/>
      <c r="CK169" s="412"/>
      <c r="CL169" s="412"/>
      <c r="CM169" s="412"/>
      <c r="CN169" s="412"/>
      <c r="CO169" s="412"/>
      <c r="CQ169" s="363"/>
      <c r="CR169" s="363"/>
      <c r="CS169" s="363"/>
      <c r="CT169" s="363"/>
      <c r="CU169" s="363"/>
      <c r="CV169" s="363"/>
      <c r="CW169" s="363"/>
      <c r="CX169" s="363"/>
      <c r="CZ169" s="414"/>
      <c r="DA169" s="414"/>
      <c r="DB169" s="414"/>
      <c r="DC169" s="414"/>
      <c r="DD169" s="414"/>
      <c r="DE169" s="414"/>
      <c r="DF169" s="414"/>
      <c r="DG169" s="414"/>
      <c r="DI169" s="414">
        <f t="shared" si="69"/>
        <v>0</v>
      </c>
      <c r="DJ169" s="414"/>
      <c r="DK169" s="414"/>
      <c r="DL169" s="414"/>
      <c r="DM169" s="414"/>
      <c r="DN169" s="414"/>
      <c r="DO169" s="414"/>
      <c r="DP169" s="414"/>
      <c r="DQ169" s="414"/>
      <c r="DS169" s="414"/>
      <c r="DT169" s="414"/>
      <c r="DU169" s="414"/>
      <c r="DV169" s="414"/>
      <c r="DW169" s="414"/>
      <c r="DX169" s="414"/>
      <c r="DY169" s="414"/>
      <c r="DZ169" s="414"/>
      <c r="EB169" s="415">
        <f t="shared" si="53"/>
        <v>476215.16114835179</v>
      </c>
      <c r="EC169" s="415">
        <f t="shared" si="54"/>
        <v>802.10218836565093</v>
      </c>
      <c r="ED169" s="416">
        <f t="shared" si="70"/>
        <v>477017.26333671744</v>
      </c>
    </row>
    <row r="170" spans="1:134" hidden="1" x14ac:dyDescent="0.35">
      <c r="A170" s="17">
        <v>2464</v>
      </c>
      <c r="B170" s="4">
        <v>103390</v>
      </c>
      <c r="C170" s="4" t="s">
        <v>1056</v>
      </c>
      <c r="D170" s="4" t="s">
        <v>1057</v>
      </c>
      <c r="E170" s="15" t="s">
        <v>32</v>
      </c>
      <c r="F170" s="16" t="s">
        <v>27</v>
      </c>
      <c r="G170" s="215"/>
      <c r="H170" s="363">
        <v>0</v>
      </c>
      <c r="I170" s="410"/>
      <c r="J170" s="363">
        <v>0</v>
      </c>
      <c r="K170" s="363">
        <v>0</v>
      </c>
      <c r="L170" s="363">
        <v>0</v>
      </c>
      <c r="M170" s="363">
        <v>0</v>
      </c>
      <c r="N170" s="363">
        <v>0</v>
      </c>
      <c r="O170" s="363">
        <v>0</v>
      </c>
      <c r="P170" s="215">
        <f t="shared" si="55"/>
        <v>0</v>
      </c>
      <c r="Q170" s="363">
        <f t="shared" si="56"/>
        <v>0</v>
      </c>
      <c r="R170" s="410"/>
      <c r="S170" s="363">
        <v>0</v>
      </c>
      <c r="T170" s="363">
        <v>0</v>
      </c>
      <c r="U170" s="363">
        <v>0</v>
      </c>
      <c r="V170" s="363">
        <v>0</v>
      </c>
      <c r="W170" s="363">
        <v>0</v>
      </c>
      <c r="X170" s="363">
        <v>0</v>
      </c>
      <c r="Y170" s="363">
        <f t="shared" si="57"/>
        <v>0</v>
      </c>
      <c r="Z170" s="363">
        <f t="shared" si="58"/>
        <v>0</v>
      </c>
      <c r="AA170" s="410"/>
      <c r="AB170" s="411">
        <v>0</v>
      </c>
      <c r="AC170" s="411">
        <v>0</v>
      </c>
      <c r="AD170" s="411">
        <v>0</v>
      </c>
      <c r="AE170" s="411">
        <v>0</v>
      </c>
      <c r="AF170" s="411">
        <v>0</v>
      </c>
      <c r="AG170" s="411">
        <v>0</v>
      </c>
      <c r="AH170" s="363">
        <f t="shared" si="59"/>
        <v>0</v>
      </c>
      <c r="AI170" s="411">
        <f t="shared" si="60"/>
        <v>0</v>
      </c>
      <c r="AJ170" s="410"/>
      <c r="AK170" s="411">
        <v>0</v>
      </c>
      <c r="AL170" s="411">
        <v>0</v>
      </c>
      <c r="AM170" s="411">
        <v>0</v>
      </c>
      <c r="AN170" s="410"/>
      <c r="AO170" s="411">
        <f t="shared" si="61"/>
        <v>0</v>
      </c>
      <c r="AP170" s="411">
        <f t="shared" si="61"/>
        <v>0</v>
      </c>
      <c r="AQ170" s="411">
        <f t="shared" si="61"/>
        <v>0</v>
      </c>
      <c r="AR170" s="412"/>
      <c r="AS170" s="412">
        <v>0</v>
      </c>
      <c r="AT170" s="413">
        <f t="shared" si="62"/>
        <v>0</v>
      </c>
      <c r="AU170" s="412"/>
      <c r="AV170" s="412">
        <v>0</v>
      </c>
      <c r="AW170" s="412">
        <v>0</v>
      </c>
      <c r="AX170" s="412">
        <v>0</v>
      </c>
      <c r="AY170" s="412">
        <v>0</v>
      </c>
      <c r="AZ170" s="412">
        <v>0</v>
      </c>
      <c r="BA170" s="412">
        <v>0</v>
      </c>
      <c r="BB170" s="412">
        <v>0</v>
      </c>
      <c r="BC170" s="412">
        <f t="shared" si="63"/>
        <v>0</v>
      </c>
      <c r="BE170" s="205">
        <f t="shared" si="50"/>
        <v>0</v>
      </c>
      <c r="BF170" s="205">
        <f t="shared" si="50"/>
        <v>0</v>
      </c>
      <c r="BG170" s="205">
        <f t="shared" si="50"/>
        <v>0</v>
      </c>
      <c r="BH170" s="205">
        <f t="shared" si="49"/>
        <v>0</v>
      </c>
      <c r="BI170" s="205">
        <f t="shared" si="49"/>
        <v>0</v>
      </c>
      <c r="BJ170" s="205">
        <f t="shared" si="49"/>
        <v>0</v>
      </c>
      <c r="BK170" s="205">
        <f t="shared" si="64"/>
        <v>0</v>
      </c>
      <c r="BL170" s="205">
        <f t="shared" si="65"/>
        <v>0</v>
      </c>
      <c r="BM170" s="215">
        <f t="shared" si="66"/>
        <v>0</v>
      </c>
      <c r="BN170" s="215"/>
      <c r="BO170" s="412">
        <f t="shared" si="71"/>
        <v>0</v>
      </c>
      <c r="BP170" s="412">
        <f t="shared" si="71"/>
        <v>0</v>
      </c>
      <c r="BQ170" s="412">
        <f t="shared" si="71"/>
        <v>0</v>
      </c>
      <c r="BR170" s="412">
        <f t="shared" si="71"/>
        <v>0</v>
      </c>
      <c r="BS170" s="412">
        <f t="shared" si="71"/>
        <v>0</v>
      </c>
      <c r="BT170" s="412">
        <f t="shared" si="71"/>
        <v>0</v>
      </c>
      <c r="BU170" s="412">
        <f t="shared" si="72"/>
        <v>0</v>
      </c>
      <c r="BV170" s="412">
        <f t="shared" si="67"/>
        <v>0</v>
      </c>
      <c r="BW170" s="412">
        <f t="shared" si="52"/>
        <v>0</v>
      </c>
      <c r="BX170" s="412"/>
      <c r="BY170" s="412">
        <f t="shared" si="68"/>
        <v>0</v>
      </c>
      <c r="BZ170" s="412"/>
      <c r="CA170" s="412">
        <f>IFERROR(VLOOKUP(A170,'Actuals Summer'!A:S,19,FALSE),0)</f>
        <v>0</v>
      </c>
      <c r="CC170" s="412"/>
      <c r="CD170" s="412"/>
      <c r="CE170" s="412"/>
      <c r="CF170" s="412"/>
      <c r="CG170" s="412"/>
      <c r="CH170" s="412"/>
      <c r="CI170" s="412"/>
      <c r="CJ170" s="412"/>
      <c r="CK170" s="412"/>
      <c r="CL170" s="412"/>
      <c r="CM170" s="412"/>
      <c r="CN170" s="412"/>
      <c r="CO170" s="412"/>
      <c r="CQ170" s="363"/>
      <c r="CR170" s="363"/>
      <c r="CS170" s="363"/>
      <c r="CT170" s="363"/>
      <c r="CU170" s="363"/>
      <c r="CV170" s="363"/>
      <c r="CW170" s="363"/>
      <c r="CX170" s="363"/>
      <c r="CZ170" s="414"/>
      <c r="DA170" s="414"/>
      <c r="DB170" s="414"/>
      <c r="DC170" s="414"/>
      <c r="DD170" s="414"/>
      <c r="DE170" s="414"/>
      <c r="DF170" s="414"/>
      <c r="DG170" s="414"/>
      <c r="DI170" s="414">
        <f t="shared" si="69"/>
        <v>0</v>
      </c>
      <c r="DJ170" s="414"/>
      <c r="DK170" s="414"/>
      <c r="DL170" s="414"/>
      <c r="DM170" s="414"/>
      <c r="DN170" s="414"/>
      <c r="DO170" s="414"/>
      <c r="DP170" s="414"/>
      <c r="DQ170" s="414"/>
      <c r="DS170" s="414"/>
      <c r="DT170" s="414"/>
      <c r="DU170" s="414"/>
      <c r="DV170" s="414"/>
      <c r="DW170" s="414"/>
      <c r="DX170" s="414"/>
      <c r="DY170" s="414"/>
      <c r="DZ170" s="414"/>
      <c r="EB170" s="415">
        <f t="shared" si="53"/>
        <v>0</v>
      </c>
      <c r="EC170" s="415">
        <f t="shared" si="54"/>
        <v>0</v>
      </c>
      <c r="ED170" s="416">
        <f t="shared" si="70"/>
        <v>0</v>
      </c>
    </row>
    <row r="171" spans="1:134" hidden="1" x14ac:dyDescent="0.35">
      <c r="A171" s="17">
        <v>2189</v>
      </c>
      <c r="B171" s="4">
        <v>103265</v>
      </c>
      <c r="C171" s="4" t="s">
        <v>182</v>
      </c>
      <c r="D171" s="4" t="s">
        <v>183</v>
      </c>
      <c r="E171" s="15" t="s">
        <v>32</v>
      </c>
      <c r="F171" s="16" t="s">
        <v>27</v>
      </c>
      <c r="G171" s="215"/>
      <c r="H171" s="363">
        <v>0</v>
      </c>
      <c r="I171" s="410"/>
      <c r="J171" s="363">
        <v>0</v>
      </c>
      <c r="K171" s="363">
        <v>0</v>
      </c>
      <c r="L171" s="363">
        <v>20970.3</v>
      </c>
      <c r="M171" s="363">
        <v>2340</v>
      </c>
      <c r="N171" s="363">
        <v>0</v>
      </c>
      <c r="O171" s="363">
        <v>0</v>
      </c>
      <c r="P171" s="215">
        <f t="shared" si="55"/>
        <v>23310.3</v>
      </c>
      <c r="Q171" s="363">
        <f t="shared" si="56"/>
        <v>18648.240000000002</v>
      </c>
      <c r="R171" s="410"/>
      <c r="S171" s="363">
        <v>0</v>
      </c>
      <c r="T171" s="363">
        <v>0</v>
      </c>
      <c r="U171" s="363">
        <v>20970.3</v>
      </c>
      <c r="V171" s="363">
        <v>2145</v>
      </c>
      <c r="W171" s="363">
        <v>0</v>
      </c>
      <c r="X171" s="363">
        <v>0</v>
      </c>
      <c r="Y171" s="363">
        <f t="shared" si="57"/>
        <v>23115.3</v>
      </c>
      <c r="Z171" s="363">
        <f t="shared" si="58"/>
        <v>18492.240000000002</v>
      </c>
      <c r="AA171" s="410"/>
      <c r="AB171" s="411">
        <v>0</v>
      </c>
      <c r="AC171" s="411">
        <v>0</v>
      </c>
      <c r="AD171" s="411">
        <v>17694.947368421053</v>
      </c>
      <c r="AE171" s="411">
        <v>1989.4736842105262</v>
      </c>
      <c r="AF171" s="411">
        <v>0</v>
      </c>
      <c r="AG171" s="411">
        <v>0</v>
      </c>
      <c r="AH171" s="363">
        <f t="shared" si="59"/>
        <v>19684.42105263158</v>
      </c>
      <c r="AI171" s="411">
        <f t="shared" si="60"/>
        <v>15747.536842105264</v>
      </c>
      <c r="AJ171" s="410"/>
      <c r="AK171" s="411">
        <v>1388.3999999999999</v>
      </c>
      <c r="AL171" s="411">
        <v>1513.1999999999998</v>
      </c>
      <c r="AM171" s="411">
        <v>1235.7473684210524</v>
      </c>
      <c r="AN171" s="410"/>
      <c r="AO171" s="411">
        <f t="shared" si="61"/>
        <v>1110.72</v>
      </c>
      <c r="AP171" s="411">
        <f t="shared" si="61"/>
        <v>1210.56</v>
      </c>
      <c r="AQ171" s="411">
        <f t="shared" si="61"/>
        <v>988.59789473684202</v>
      </c>
      <c r="AR171" s="412"/>
      <c r="AS171" s="412">
        <v>0</v>
      </c>
      <c r="AT171" s="413">
        <f t="shared" si="62"/>
        <v>0</v>
      </c>
      <c r="AU171" s="412"/>
      <c r="AV171" s="412">
        <v>0</v>
      </c>
      <c r="AW171" s="412">
        <v>0</v>
      </c>
      <c r="AX171" s="412">
        <v>29799.9</v>
      </c>
      <c r="AY171" s="412">
        <v>2535</v>
      </c>
      <c r="AZ171" s="412">
        <v>969.52631578947376</v>
      </c>
      <c r="BA171" s="412">
        <v>0</v>
      </c>
      <c r="BB171" s="412">
        <v>2012.3999999999999</v>
      </c>
      <c r="BC171" s="412">
        <f t="shared" si="63"/>
        <v>35316.826315789476</v>
      </c>
      <c r="BE171" s="205">
        <f t="shared" si="50"/>
        <v>0</v>
      </c>
      <c r="BF171" s="205">
        <f t="shared" si="50"/>
        <v>0</v>
      </c>
      <c r="BG171" s="205">
        <f t="shared" si="50"/>
        <v>8829.6000000000022</v>
      </c>
      <c r="BH171" s="205">
        <f t="shared" si="49"/>
        <v>195</v>
      </c>
      <c r="BI171" s="205">
        <f t="shared" si="49"/>
        <v>969.52631578947376</v>
      </c>
      <c r="BJ171" s="205">
        <f t="shared" si="49"/>
        <v>0</v>
      </c>
      <c r="BK171" s="205">
        <f t="shared" si="64"/>
        <v>624</v>
      </c>
      <c r="BL171" s="205">
        <f t="shared" si="65"/>
        <v>10618.126315789475</v>
      </c>
      <c r="BM171" s="215">
        <f t="shared" si="66"/>
        <v>0</v>
      </c>
      <c r="BN171" s="215"/>
      <c r="BO171" s="412">
        <f t="shared" si="71"/>
        <v>0</v>
      </c>
      <c r="BP171" s="412">
        <f t="shared" si="71"/>
        <v>0</v>
      </c>
      <c r="BQ171" s="412">
        <f t="shared" si="71"/>
        <v>13023.66</v>
      </c>
      <c r="BR171" s="412">
        <f t="shared" si="71"/>
        <v>663</v>
      </c>
      <c r="BS171" s="412">
        <f t="shared" si="71"/>
        <v>969.52631578947376</v>
      </c>
      <c r="BT171" s="412">
        <f t="shared" si="71"/>
        <v>0</v>
      </c>
      <c r="BU171" s="412">
        <f t="shared" si="72"/>
        <v>901.67999999999984</v>
      </c>
      <c r="BV171" s="412">
        <f t="shared" si="67"/>
        <v>15557.866315789473</v>
      </c>
      <c r="BW171" s="412">
        <f t="shared" si="52"/>
        <v>0</v>
      </c>
      <c r="BX171" s="412"/>
      <c r="BY171" s="412">
        <f t="shared" si="68"/>
        <v>35316.826315789476</v>
      </c>
      <c r="BZ171" s="412"/>
      <c r="CA171" s="412">
        <f>IFERROR(VLOOKUP(A171,'Actuals Summer'!A:S,19,FALSE),0)</f>
        <v>35316.826315789476</v>
      </c>
      <c r="CC171" s="412"/>
      <c r="CD171" s="412"/>
      <c r="CE171" s="412"/>
      <c r="CF171" s="412"/>
      <c r="CG171" s="412"/>
      <c r="CH171" s="412"/>
      <c r="CI171" s="412"/>
      <c r="CJ171" s="412"/>
      <c r="CK171" s="412"/>
      <c r="CL171" s="412"/>
      <c r="CM171" s="412"/>
      <c r="CN171" s="412"/>
      <c r="CO171" s="412"/>
      <c r="CQ171" s="363"/>
      <c r="CR171" s="363"/>
      <c r="CS171" s="363"/>
      <c r="CT171" s="363"/>
      <c r="CU171" s="363"/>
      <c r="CV171" s="363"/>
      <c r="CW171" s="363"/>
      <c r="CX171" s="363"/>
      <c r="CZ171" s="414"/>
      <c r="DA171" s="414"/>
      <c r="DB171" s="414"/>
      <c r="DC171" s="414"/>
      <c r="DD171" s="414"/>
      <c r="DE171" s="414"/>
      <c r="DF171" s="414"/>
      <c r="DG171" s="414"/>
      <c r="DI171" s="414">
        <f t="shared" si="69"/>
        <v>0</v>
      </c>
      <c r="DJ171" s="414"/>
      <c r="DK171" s="414"/>
      <c r="DL171" s="414"/>
      <c r="DM171" s="414"/>
      <c r="DN171" s="414"/>
      <c r="DO171" s="414"/>
      <c r="DP171" s="414"/>
      <c r="DQ171" s="414"/>
      <c r="DS171" s="414"/>
      <c r="DT171" s="414"/>
      <c r="DU171" s="414"/>
      <c r="DV171" s="414"/>
      <c r="DW171" s="414"/>
      <c r="DX171" s="414"/>
      <c r="DY171" s="414"/>
      <c r="DZ171" s="414"/>
      <c r="EB171" s="415">
        <f t="shared" si="53"/>
        <v>71755.761052631584</v>
      </c>
      <c r="EC171" s="415">
        <f t="shared" si="54"/>
        <v>0</v>
      </c>
      <c r="ED171" s="416">
        <f t="shared" si="70"/>
        <v>71755.761052631584</v>
      </c>
    </row>
    <row r="172" spans="1:134" hidden="1" x14ac:dyDescent="0.35">
      <c r="A172" s="17">
        <v>7060</v>
      </c>
      <c r="B172" s="4">
        <v>103630</v>
      </c>
      <c r="C172" s="4" t="s">
        <v>1058</v>
      </c>
      <c r="D172" s="4" t="s">
        <v>1059</v>
      </c>
      <c r="E172" s="15" t="s">
        <v>895</v>
      </c>
      <c r="F172" s="16" t="s">
        <v>27</v>
      </c>
      <c r="G172" s="215"/>
      <c r="H172" s="363">
        <v>0</v>
      </c>
      <c r="I172" s="410"/>
      <c r="J172" s="363">
        <v>0</v>
      </c>
      <c r="K172" s="363">
        <v>0</v>
      </c>
      <c r="L172" s="363">
        <v>0</v>
      </c>
      <c r="M172" s="363">
        <v>0</v>
      </c>
      <c r="N172" s="363">
        <v>0</v>
      </c>
      <c r="O172" s="363">
        <v>0</v>
      </c>
      <c r="P172" s="215">
        <f t="shared" si="55"/>
        <v>0</v>
      </c>
      <c r="Q172" s="363">
        <f t="shared" si="56"/>
        <v>0</v>
      </c>
      <c r="R172" s="410"/>
      <c r="S172" s="363">
        <v>0</v>
      </c>
      <c r="T172" s="363">
        <v>0</v>
      </c>
      <c r="U172" s="363">
        <v>0</v>
      </c>
      <c r="V172" s="363">
        <v>0</v>
      </c>
      <c r="W172" s="363">
        <v>0</v>
      </c>
      <c r="X172" s="363">
        <v>0</v>
      </c>
      <c r="Y172" s="363">
        <f t="shared" si="57"/>
        <v>0</v>
      </c>
      <c r="Z172" s="363">
        <f t="shared" si="58"/>
        <v>0</v>
      </c>
      <c r="AA172" s="410"/>
      <c r="AB172" s="411">
        <v>0</v>
      </c>
      <c r="AC172" s="411">
        <v>0</v>
      </c>
      <c r="AD172" s="411">
        <v>0</v>
      </c>
      <c r="AE172" s="411">
        <v>0</v>
      </c>
      <c r="AF172" s="411">
        <v>0</v>
      </c>
      <c r="AG172" s="411">
        <v>0</v>
      </c>
      <c r="AH172" s="363">
        <f t="shared" si="59"/>
        <v>0</v>
      </c>
      <c r="AI172" s="411">
        <f t="shared" si="60"/>
        <v>0</v>
      </c>
      <c r="AJ172" s="410"/>
      <c r="AK172" s="411">
        <v>0</v>
      </c>
      <c r="AL172" s="411">
        <v>0</v>
      </c>
      <c r="AM172" s="411">
        <v>0</v>
      </c>
      <c r="AN172" s="410"/>
      <c r="AO172" s="411">
        <f t="shared" si="61"/>
        <v>0</v>
      </c>
      <c r="AP172" s="411">
        <f t="shared" si="61"/>
        <v>0</v>
      </c>
      <c r="AQ172" s="411">
        <f t="shared" si="61"/>
        <v>0</v>
      </c>
      <c r="AR172" s="412"/>
      <c r="AS172" s="412">
        <v>0</v>
      </c>
      <c r="AT172" s="413">
        <f t="shared" si="62"/>
        <v>0</v>
      </c>
      <c r="AU172" s="412"/>
      <c r="AV172" s="412">
        <v>0</v>
      </c>
      <c r="AW172" s="412">
        <v>0</v>
      </c>
      <c r="AX172" s="412">
        <v>0</v>
      </c>
      <c r="AY172" s="412">
        <v>0</v>
      </c>
      <c r="AZ172" s="412">
        <v>0</v>
      </c>
      <c r="BA172" s="412">
        <v>0</v>
      </c>
      <c r="BB172" s="412">
        <v>0</v>
      </c>
      <c r="BC172" s="412">
        <f t="shared" si="63"/>
        <v>0</v>
      </c>
      <c r="BE172" s="205">
        <f t="shared" si="50"/>
        <v>0</v>
      </c>
      <c r="BF172" s="205">
        <f t="shared" si="50"/>
        <v>0</v>
      </c>
      <c r="BG172" s="205">
        <f t="shared" si="50"/>
        <v>0</v>
      </c>
      <c r="BH172" s="205">
        <f t="shared" si="50"/>
        <v>0</v>
      </c>
      <c r="BI172" s="205">
        <f t="shared" si="50"/>
        <v>0</v>
      </c>
      <c r="BJ172" s="205">
        <f t="shared" si="50"/>
        <v>0</v>
      </c>
      <c r="BK172" s="205">
        <f t="shared" si="64"/>
        <v>0</v>
      </c>
      <c r="BL172" s="205">
        <f t="shared" si="65"/>
        <v>0</v>
      </c>
      <c r="BM172" s="215">
        <f t="shared" si="66"/>
        <v>0</v>
      </c>
      <c r="BN172" s="215"/>
      <c r="BO172" s="412">
        <f t="shared" si="71"/>
        <v>0</v>
      </c>
      <c r="BP172" s="412">
        <f t="shared" si="71"/>
        <v>0</v>
      </c>
      <c r="BQ172" s="412">
        <f t="shared" si="71"/>
        <v>0</v>
      </c>
      <c r="BR172" s="412">
        <f t="shared" si="71"/>
        <v>0</v>
      </c>
      <c r="BS172" s="412">
        <f t="shared" si="71"/>
        <v>0</v>
      </c>
      <c r="BT172" s="412">
        <f t="shared" si="71"/>
        <v>0</v>
      </c>
      <c r="BU172" s="412">
        <f t="shared" si="72"/>
        <v>0</v>
      </c>
      <c r="BV172" s="412">
        <f t="shared" si="67"/>
        <v>0</v>
      </c>
      <c r="BW172" s="412">
        <f t="shared" si="52"/>
        <v>0</v>
      </c>
      <c r="BX172" s="412"/>
      <c r="BY172" s="412">
        <f t="shared" si="68"/>
        <v>0</v>
      </c>
      <c r="BZ172" s="412"/>
      <c r="CA172" s="412">
        <f>IFERROR(VLOOKUP(A172,'Actuals Summer'!A:S,19,FALSE),0)</f>
        <v>0</v>
      </c>
      <c r="CC172" s="412"/>
      <c r="CD172" s="412"/>
      <c r="CE172" s="412"/>
      <c r="CF172" s="412"/>
      <c r="CG172" s="412"/>
      <c r="CH172" s="412"/>
      <c r="CI172" s="412"/>
      <c r="CJ172" s="412"/>
      <c r="CK172" s="412"/>
      <c r="CL172" s="412"/>
      <c r="CM172" s="412"/>
      <c r="CN172" s="412"/>
      <c r="CO172" s="412"/>
      <c r="CQ172" s="363"/>
      <c r="CR172" s="363"/>
      <c r="CS172" s="363"/>
      <c r="CT172" s="363"/>
      <c r="CU172" s="363"/>
      <c r="CV172" s="363"/>
      <c r="CW172" s="363"/>
      <c r="CX172" s="363"/>
      <c r="CZ172" s="414"/>
      <c r="DA172" s="414"/>
      <c r="DB172" s="414"/>
      <c r="DC172" s="414"/>
      <c r="DD172" s="414"/>
      <c r="DE172" s="414"/>
      <c r="DF172" s="414"/>
      <c r="DG172" s="414"/>
      <c r="DI172" s="414">
        <f t="shared" si="69"/>
        <v>0</v>
      </c>
      <c r="DJ172" s="414"/>
      <c r="DK172" s="414"/>
      <c r="DL172" s="414"/>
      <c r="DM172" s="414"/>
      <c r="DN172" s="414"/>
      <c r="DO172" s="414"/>
      <c r="DP172" s="414"/>
      <c r="DQ172" s="414"/>
      <c r="DS172" s="414"/>
      <c r="DT172" s="414"/>
      <c r="DU172" s="414"/>
      <c r="DV172" s="414"/>
      <c r="DW172" s="414"/>
      <c r="DX172" s="414"/>
      <c r="DY172" s="414"/>
      <c r="DZ172" s="414"/>
      <c r="EB172" s="415">
        <f t="shared" si="53"/>
        <v>0</v>
      </c>
      <c r="EC172" s="415">
        <f t="shared" si="54"/>
        <v>0</v>
      </c>
      <c r="ED172" s="416">
        <f t="shared" si="70"/>
        <v>0</v>
      </c>
    </row>
    <row r="173" spans="1:134" s="422" customFormat="1" hidden="1" x14ac:dyDescent="0.35">
      <c r="A173" s="18">
        <v>3380</v>
      </c>
      <c r="B173" s="19">
        <v>103465</v>
      </c>
      <c r="C173" s="19" t="s">
        <v>1060</v>
      </c>
      <c r="D173" s="19" t="s">
        <v>1061</v>
      </c>
      <c r="E173" s="20" t="s">
        <v>32</v>
      </c>
      <c r="F173" s="21" t="s">
        <v>49</v>
      </c>
      <c r="G173" s="417"/>
      <c r="H173" s="418">
        <v>0</v>
      </c>
      <c r="I173" s="418"/>
      <c r="J173" s="418">
        <v>0</v>
      </c>
      <c r="K173" s="418">
        <v>0</v>
      </c>
      <c r="L173" s="418">
        <v>0</v>
      </c>
      <c r="M173" s="418">
        <v>0</v>
      </c>
      <c r="N173" s="418">
        <v>0</v>
      </c>
      <c r="O173" s="418">
        <v>0</v>
      </c>
      <c r="P173" s="417">
        <f t="shared" si="55"/>
        <v>0</v>
      </c>
      <c r="Q173" s="418">
        <f t="shared" si="56"/>
        <v>0</v>
      </c>
      <c r="R173" s="418"/>
      <c r="S173" s="418">
        <v>0</v>
      </c>
      <c r="T173" s="418">
        <v>0</v>
      </c>
      <c r="U173" s="418">
        <v>0</v>
      </c>
      <c r="V173" s="418">
        <v>0</v>
      </c>
      <c r="W173" s="418">
        <v>0</v>
      </c>
      <c r="X173" s="418">
        <v>0</v>
      </c>
      <c r="Y173" s="418">
        <f t="shared" si="57"/>
        <v>0</v>
      </c>
      <c r="Z173" s="418">
        <f t="shared" si="58"/>
        <v>0</v>
      </c>
      <c r="AA173" s="418"/>
      <c r="AB173" s="419">
        <v>0</v>
      </c>
      <c r="AC173" s="419">
        <v>0</v>
      </c>
      <c r="AD173" s="419">
        <v>0</v>
      </c>
      <c r="AE173" s="419">
        <v>0</v>
      </c>
      <c r="AF173" s="419">
        <v>0</v>
      </c>
      <c r="AG173" s="419">
        <v>0</v>
      </c>
      <c r="AH173" s="418">
        <f t="shared" si="59"/>
        <v>0</v>
      </c>
      <c r="AI173" s="419">
        <f t="shared" si="60"/>
        <v>0</v>
      </c>
      <c r="AJ173" s="418"/>
      <c r="AK173" s="419">
        <v>0</v>
      </c>
      <c r="AL173" s="419">
        <v>0</v>
      </c>
      <c r="AM173" s="419">
        <v>0</v>
      </c>
      <c r="AN173" s="418"/>
      <c r="AO173" s="419">
        <f t="shared" si="61"/>
        <v>0</v>
      </c>
      <c r="AP173" s="419">
        <f t="shared" si="61"/>
        <v>0</v>
      </c>
      <c r="AQ173" s="419">
        <f t="shared" si="61"/>
        <v>0</v>
      </c>
      <c r="AR173" s="420"/>
      <c r="AS173" s="420">
        <v>0</v>
      </c>
      <c r="AT173" s="421">
        <f t="shared" si="62"/>
        <v>0</v>
      </c>
      <c r="AU173" s="420"/>
      <c r="AV173" s="420">
        <v>0</v>
      </c>
      <c r="AW173" s="420">
        <v>0</v>
      </c>
      <c r="AX173" s="420">
        <v>0</v>
      </c>
      <c r="AY173" s="420">
        <v>0</v>
      </c>
      <c r="AZ173" s="420">
        <v>0</v>
      </c>
      <c r="BA173" s="420">
        <v>0</v>
      </c>
      <c r="BB173" s="420">
        <v>0</v>
      </c>
      <c r="BC173" s="420">
        <f t="shared" si="63"/>
        <v>0</v>
      </c>
      <c r="BE173" s="214">
        <f t="shared" ref="BE173:BJ207" si="73">AV173-J173</f>
        <v>0</v>
      </c>
      <c r="BF173" s="214">
        <f t="shared" si="73"/>
        <v>0</v>
      </c>
      <c r="BG173" s="214">
        <f t="shared" si="73"/>
        <v>0</v>
      </c>
      <c r="BH173" s="214">
        <f t="shared" si="73"/>
        <v>0</v>
      </c>
      <c r="BI173" s="214">
        <f t="shared" si="73"/>
        <v>0</v>
      </c>
      <c r="BJ173" s="214">
        <f t="shared" si="73"/>
        <v>0</v>
      </c>
      <c r="BK173" s="214">
        <f t="shared" si="64"/>
        <v>0</v>
      </c>
      <c r="BL173" s="214">
        <f t="shared" si="65"/>
        <v>0</v>
      </c>
      <c r="BM173" s="417">
        <f t="shared" si="66"/>
        <v>0</v>
      </c>
      <c r="BN173" s="417"/>
      <c r="BO173" s="420">
        <f t="shared" si="71"/>
        <v>0</v>
      </c>
      <c r="BP173" s="420">
        <f t="shared" si="71"/>
        <v>0</v>
      </c>
      <c r="BQ173" s="420">
        <f t="shared" si="71"/>
        <v>0</v>
      </c>
      <c r="BR173" s="420">
        <f t="shared" si="71"/>
        <v>0</v>
      </c>
      <c r="BS173" s="420">
        <f t="shared" si="71"/>
        <v>0</v>
      </c>
      <c r="BT173" s="420">
        <f t="shared" si="71"/>
        <v>0</v>
      </c>
      <c r="BU173" s="420">
        <f t="shared" si="72"/>
        <v>0</v>
      </c>
      <c r="BV173" s="412">
        <f t="shared" si="67"/>
        <v>0</v>
      </c>
      <c r="BW173" s="420">
        <f t="shared" si="52"/>
        <v>0</v>
      </c>
      <c r="BX173" s="420"/>
      <c r="BY173" s="412">
        <f t="shared" si="68"/>
        <v>0</v>
      </c>
      <c r="BZ173" s="420"/>
      <c r="CA173" s="412">
        <f>IFERROR(VLOOKUP(A173,'Actuals Summer'!A:S,19,FALSE),0)</f>
        <v>0</v>
      </c>
      <c r="CC173" s="412"/>
      <c r="CD173" s="412"/>
      <c r="CE173" s="412"/>
      <c r="CF173" s="412"/>
      <c r="CG173" s="412"/>
      <c r="CH173" s="412"/>
      <c r="CI173" s="412"/>
      <c r="CJ173" s="412"/>
      <c r="CK173" s="412"/>
      <c r="CL173" s="412"/>
      <c r="CM173" s="412"/>
      <c r="CN173" s="412"/>
      <c r="CO173" s="412"/>
      <c r="CP173"/>
      <c r="CQ173" s="363"/>
      <c r="CR173" s="363"/>
      <c r="CS173" s="363"/>
      <c r="CT173" s="363"/>
      <c r="CU173" s="363"/>
      <c r="CV173" s="363"/>
      <c r="CW173" s="363"/>
      <c r="CX173" s="363"/>
      <c r="CY173"/>
      <c r="CZ173" s="414"/>
      <c r="DA173" s="414"/>
      <c r="DB173" s="414"/>
      <c r="DC173" s="414"/>
      <c r="DD173" s="414"/>
      <c r="DE173" s="414"/>
      <c r="DF173" s="414"/>
      <c r="DG173" s="414"/>
      <c r="DH173"/>
      <c r="DI173" s="414">
        <f t="shared" si="69"/>
        <v>0</v>
      </c>
      <c r="DJ173" s="423"/>
      <c r="DK173" s="423"/>
      <c r="DL173" s="423"/>
      <c r="DM173" s="423"/>
      <c r="DN173" s="423"/>
      <c r="DO173" s="423"/>
      <c r="DP173" s="423"/>
      <c r="DQ173" s="423"/>
      <c r="DS173" s="423"/>
      <c r="DT173" s="423"/>
      <c r="DU173" s="423"/>
      <c r="DV173" s="423"/>
      <c r="DW173" s="423"/>
      <c r="DX173" s="423"/>
      <c r="DY173" s="423"/>
      <c r="DZ173" s="423"/>
      <c r="EB173" s="425">
        <f t="shared" si="53"/>
        <v>0</v>
      </c>
      <c r="EC173" s="425">
        <f t="shared" si="54"/>
        <v>0</v>
      </c>
      <c r="ED173" s="424">
        <f t="shared" si="70"/>
        <v>0</v>
      </c>
    </row>
    <row r="174" spans="1:134" hidden="1" x14ac:dyDescent="0.35">
      <c r="A174" s="17">
        <v>1019</v>
      </c>
      <c r="B174" s="4">
        <v>103132</v>
      </c>
      <c r="C174" s="4" t="s">
        <v>184</v>
      </c>
      <c r="D174" s="4" t="s">
        <v>185</v>
      </c>
      <c r="E174" s="15" t="s">
        <v>26</v>
      </c>
      <c r="F174" s="16" t="s">
        <v>27</v>
      </c>
      <c r="G174" s="215"/>
      <c r="H174" s="363">
        <v>266423.29856715724</v>
      </c>
      <c r="I174" s="410"/>
      <c r="J174" s="363">
        <v>0</v>
      </c>
      <c r="K174" s="363">
        <v>44805.15</v>
      </c>
      <c r="L174" s="363">
        <v>162243.9</v>
      </c>
      <c r="M174" s="363">
        <v>6435</v>
      </c>
      <c r="N174" s="363">
        <v>298.31578947368422</v>
      </c>
      <c r="O174" s="363">
        <v>320.89473684210526</v>
      </c>
      <c r="P174" s="215">
        <f t="shared" si="55"/>
        <v>214103.26052631577</v>
      </c>
      <c r="Q174" s="363">
        <f t="shared" si="56"/>
        <v>171282.60842105263</v>
      </c>
      <c r="R174" s="410"/>
      <c r="S174" s="363">
        <v>0</v>
      </c>
      <c r="T174" s="363">
        <v>54761.85</v>
      </c>
      <c r="U174" s="363">
        <v>77259</v>
      </c>
      <c r="V174" s="363">
        <v>6630</v>
      </c>
      <c r="W174" s="363">
        <v>223.73684210526318</v>
      </c>
      <c r="X174" s="363">
        <v>0</v>
      </c>
      <c r="Y174" s="363">
        <f t="shared" si="57"/>
        <v>138874.58684210526</v>
      </c>
      <c r="Z174" s="363">
        <f t="shared" si="58"/>
        <v>111099.66947368422</v>
      </c>
      <c r="AA174" s="410"/>
      <c r="AB174" s="411">
        <v>0</v>
      </c>
      <c r="AC174" s="411">
        <v>31442.21052631579</v>
      </c>
      <c r="AD174" s="411">
        <v>113247.66315789473</v>
      </c>
      <c r="AE174" s="411">
        <v>4888.4210526315783</v>
      </c>
      <c r="AF174" s="411">
        <v>195.65650969529085</v>
      </c>
      <c r="AG174" s="411">
        <v>187.0803324099723</v>
      </c>
      <c r="AH174" s="363">
        <f t="shared" si="59"/>
        <v>149961.03157894735</v>
      </c>
      <c r="AI174" s="411">
        <f t="shared" si="60"/>
        <v>119968.82526315789</v>
      </c>
      <c r="AJ174" s="410"/>
      <c r="AK174" s="411">
        <v>4724.8500000000004</v>
      </c>
      <c r="AL174" s="411">
        <v>3839.5499999999997</v>
      </c>
      <c r="AM174" s="411">
        <v>3450.3157894736842</v>
      </c>
      <c r="AN174" s="410"/>
      <c r="AO174" s="411">
        <f t="shared" si="61"/>
        <v>3779.8800000000006</v>
      </c>
      <c r="AP174" s="411">
        <f t="shared" si="61"/>
        <v>3071.64</v>
      </c>
      <c r="AQ174" s="411">
        <f t="shared" si="61"/>
        <v>2760.2526315789473</v>
      </c>
      <c r="AR174" s="412"/>
      <c r="AS174" s="412">
        <v>261937.07425583058</v>
      </c>
      <c r="AT174" s="413">
        <f t="shared" si="62"/>
        <v>-4486.2243113266595</v>
      </c>
      <c r="AU174" s="412"/>
      <c r="AV174" s="412">
        <v>0</v>
      </c>
      <c r="AW174" s="412">
        <v>44805.15</v>
      </c>
      <c r="AX174" s="412">
        <v>139066.20000000001</v>
      </c>
      <c r="AY174" s="412">
        <v>8385</v>
      </c>
      <c r="AZ174" s="412">
        <v>298.31578947368422</v>
      </c>
      <c r="BA174" s="412">
        <v>320.89</v>
      </c>
      <c r="BB174" s="412">
        <v>5323.4999999999991</v>
      </c>
      <c r="BC174" s="412">
        <f t="shared" si="63"/>
        <v>460136.13004530431</v>
      </c>
      <c r="BE174" s="205">
        <f t="shared" si="73"/>
        <v>0</v>
      </c>
      <c r="BF174" s="205">
        <f t="shared" si="73"/>
        <v>0</v>
      </c>
      <c r="BG174" s="205">
        <f t="shared" si="73"/>
        <v>-23177.699999999983</v>
      </c>
      <c r="BH174" s="205">
        <f t="shared" si="73"/>
        <v>1950</v>
      </c>
      <c r="BI174" s="205">
        <f t="shared" si="73"/>
        <v>0</v>
      </c>
      <c r="BJ174" s="205">
        <f t="shared" si="73"/>
        <v>-4.7368421052738086E-3</v>
      </c>
      <c r="BK174" s="205">
        <f t="shared" si="64"/>
        <v>598.64999999999873</v>
      </c>
      <c r="BL174" s="205">
        <f t="shared" si="65"/>
        <v>-25115.279048168748</v>
      </c>
      <c r="BM174" s="215">
        <f t="shared" si="66"/>
        <v>0</v>
      </c>
      <c r="BN174" s="215"/>
      <c r="BO174" s="412">
        <f t="shared" si="71"/>
        <v>0</v>
      </c>
      <c r="BP174" s="412">
        <f t="shared" si="71"/>
        <v>8961.0299999999988</v>
      </c>
      <c r="BQ174" s="412">
        <f t="shared" si="71"/>
        <v>9271.0800000000163</v>
      </c>
      <c r="BR174" s="412">
        <f t="shared" si="71"/>
        <v>3237</v>
      </c>
      <c r="BS174" s="412">
        <f t="shared" si="71"/>
        <v>59.663157894736827</v>
      </c>
      <c r="BT174" s="412">
        <f t="shared" si="71"/>
        <v>64.17421052631579</v>
      </c>
      <c r="BU174" s="412">
        <f t="shared" si="72"/>
        <v>1543.6199999999985</v>
      </c>
      <c r="BV174" s="412">
        <f t="shared" si="67"/>
        <v>23136.567368421067</v>
      </c>
      <c r="BW174" s="412">
        <f t="shared" si="52"/>
        <v>4486.2243113266013</v>
      </c>
      <c r="BX174" s="412"/>
      <c r="BY174" s="412">
        <f t="shared" si="68"/>
        <v>198199.0557894737</v>
      </c>
      <c r="BZ174" s="412"/>
      <c r="CA174" s="412">
        <f>IFERROR(VLOOKUP(A174,'Actuals Summer'!A:S,19,FALSE),0)</f>
        <v>198199.0557894737</v>
      </c>
      <c r="CC174" s="412"/>
      <c r="CD174" s="412"/>
      <c r="CE174" s="412"/>
      <c r="CF174" s="412"/>
      <c r="CG174" s="412"/>
      <c r="CH174" s="412"/>
      <c r="CI174" s="412"/>
      <c r="CJ174" s="412"/>
      <c r="CK174" s="412"/>
      <c r="CL174" s="412"/>
      <c r="CM174" s="412"/>
      <c r="CN174" s="412"/>
      <c r="CO174" s="412"/>
      <c r="CQ174" s="363"/>
      <c r="CR174" s="363"/>
      <c r="CS174" s="363"/>
      <c r="CT174" s="363"/>
      <c r="CU174" s="363"/>
      <c r="CV174" s="363"/>
      <c r="CW174" s="363"/>
      <c r="CX174" s="363"/>
      <c r="CZ174" s="414"/>
      <c r="DA174" s="414"/>
      <c r="DB174" s="414"/>
      <c r="DC174" s="414"/>
      <c r="DD174" s="414"/>
      <c r="DE174" s="414"/>
      <c r="DF174" s="414"/>
      <c r="DG174" s="414"/>
      <c r="DI174" s="414">
        <f t="shared" si="69"/>
        <v>0</v>
      </c>
      <c r="DJ174" s="414"/>
      <c r="DK174" s="414"/>
      <c r="DL174" s="414"/>
      <c r="DM174" s="414"/>
      <c r="DN174" s="414"/>
      <c r="DO174" s="414"/>
      <c r="DP174" s="414"/>
      <c r="DQ174" s="414"/>
      <c r="DS174" s="414"/>
      <c r="DT174" s="414"/>
      <c r="DU174" s="414"/>
      <c r="DV174" s="414"/>
      <c r="DW174" s="414"/>
      <c r="DX174" s="414"/>
      <c r="DY174" s="414"/>
      <c r="DZ174" s="414"/>
      <c r="EB174" s="415">
        <f t="shared" si="53"/>
        <v>696565.96314779739</v>
      </c>
      <c r="EC174" s="415">
        <f t="shared" si="54"/>
        <v>470.55426592797784</v>
      </c>
      <c r="ED174" s="416">
        <f t="shared" si="70"/>
        <v>697036.51741372538</v>
      </c>
    </row>
    <row r="175" spans="1:134" hidden="1" x14ac:dyDescent="0.35">
      <c r="A175" s="17">
        <v>2445</v>
      </c>
      <c r="B175" s="4">
        <v>103372</v>
      </c>
      <c r="C175" s="4" t="s">
        <v>1062</v>
      </c>
      <c r="D175" s="4" t="s">
        <v>1063</v>
      </c>
      <c r="E175" s="15" t="s">
        <v>32</v>
      </c>
      <c r="F175" s="16" t="s">
        <v>27</v>
      </c>
      <c r="G175" s="215"/>
      <c r="H175" s="363">
        <v>0</v>
      </c>
      <c r="I175" s="410"/>
      <c r="J175" s="363">
        <v>0</v>
      </c>
      <c r="K175" s="363">
        <v>0</v>
      </c>
      <c r="L175" s="363">
        <v>0</v>
      </c>
      <c r="M175" s="363">
        <v>0</v>
      </c>
      <c r="N175" s="363">
        <v>0</v>
      </c>
      <c r="O175" s="363">
        <v>0</v>
      </c>
      <c r="P175" s="215">
        <f t="shared" si="55"/>
        <v>0</v>
      </c>
      <c r="Q175" s="363">
        <f t="shared" si="56"/>
        <v>0</v>
      </c>
      <c r="R175" s="410"/>
      <c r="S175" s="363">
        <v>0</v>
      </c>
      <c r="T175" s="363">
        <v>0</v>
      </c>
      <c r="U175" s="363">
        <v>0</v>
      </c>
      <c r="V175" s="363">
        <v>0</v>
      </c>
      <c r="W175" s="363">
        <v>0</v>
      </c>
      <c r="X175" s="363">
        <v>0</v>
      </c>
      <c r="Y175" s="363">
        <f t="shared" si="57"/>
        <v>0</v>
      </c>
      <c r="Z175" s="363">
        <f t="shared" si="58"/>
        <v>0</v>
      </c>
      <c r="AA175" s="410"/>
      <c r="AB175" s="411">
        <v>0</v>
      </c>
      <c r="AC175" s="411">
        <v>0</v>
      </c>
      <c r="AD175" s="411">
        <v>0</v>
      </c>
      <c r="AE175" s="411">
        <v>0</v>
      </c>
      <c r="AF175" s="411">
        <v>0</v>
      </c>
      <c r="AG175" s="411">
        <v>0</v>
      </c>
      <c r="AH175" s="363">
        <f t="shared" si="59"/>
        <v>0</v>
      </c>
      <c r="AI175" s="411">
        <f t="shared" si="60"/>
        <v>0</v>
      </c>
      <c r="AJ175" s="410"/>
      <c r="AK175" s="411">
        <v>0</v>
      </c>
      <c r="AL175" s="411">
        <v>0</v>
      </c>
      <c r="AM175" s="411">
        <v>0</v>
      </c>
      <c r="AN175" s="410"/>
      <c r="AO175" s="411">
        <f t="shared" si="61"/>
        <v>0</v>
      </c>
      <c r="AP175" s="411">
        <f t="shared" si="61"/>
        <v>0</v>
      </c>
      <c r="AQ175" s="411">
        <f t="shared" si="61"/>
        <v>0</v>
      </c>
      <c r="AR175" s="412"/>
      <c r="AS175" s="412">
        <v>0</v>
      </c>
      <c r="AT175" s="413">
        <f t="shared" si="62"/>
        <v>0</v>
      </c>
      <c r="AU175" s="412"/>
      <c r="AV175" s="412">
        <v>0</v>
      </c>
      <c r="AW175" s="412">
        <v>0</v>
      </c>
      <c r="AX175" s="412">
        <v>0</v>
      </c>
      <c r="AY175" s="412">
        <v>0</v>
      </c>
      <c r="AZ175" s="412">
        <v>0</v>
      </c>
      <c r="BA175" s="412">
        <v>0</v>
      </c>
      <c r="BB175" s="412">
        <v>0</v>
      </c>
      <c r="BC175" s="412">
        <f t="shared" si="63"/>
        <v>0</v>
      </c>
      <c r="BE175" s="205">
        <f t="shared" si="73"/>
        <v>0</v>
      </c>
      <c r="BF175" s="205">
        <f t="shared" si="73"/>
        <v>0</v>
      </c>
      <c r="BG175" s="205">
        <f t="shared" si="73"/>
        <v>0</v>
      </c>
      <c r="BH175" s="205">
        <f t="shared" si="73"/>
        <v>0</v>
      </c>
      <c r="BI175" s="205">
        <f t="shared" si="73"/>
        <v>0</v>
      </c>
      <c r="BJ175" s="205">
        <f t="shared" si="73"/>
        <v>0</v>
      </c>
      <c r="BK175" s="205">
        <f t="shared" si="64"/>
        <v>0</v>
      </c>
      <c r="BL175" s="205">
        <f t="shared" si="65"/>
        <v>0</v>
      </c>
      <c r="BM175" s="215">
        <f t="shared" si="66"/>
        <v>0</v>
      </c>
      <c r="BN175" s="215"/>
      <c r="BO175" s="412">
        <f t="shared" si="71"/>
        <v>0</v>
      </c>
      <c r="BP175" s="412">
        <f t="shared" si="71"/>
        <v>0</v>
      </c>
      <c r="BQ175" s="412">
        <f t="shared" si="71"/>
        <v>0</v>
      </c>
      <c r="BR175" s="412">
        <f t="shared" si="71"/>
        <v>0</v>
      </c>
      <c r="BS175" s="412">
        <f t="shared" si="71"/>
        <v>0</v>
      </c>
      <c r="BT175" s="412">
        <f t="shared" si="71"/>
        <v>0</v>
      </c>
      <c r="BU175" s="412">
        <f t="shared" si="72"/>
        <v>0</v>
      </c>
      <c r="BV175" s="412">
        <f t="shared" si="67"/>
        <v>0</v>
      </c>
      <c r="BW175" s="412">
        <f t="shared" si="52"/>
        <v>0</v>
      </c>
      <c r="BX175" s="412"/>
      <c r="BY175" s="412">
        <f t="shared" si="68"/>
        <v>0</v>
      </c>
      <c r="BZ175" s="412"/>
      <c r="CA175" s="412">
        <f>IFERROR(VLOOKUP(A175,'Actuals Summer'!A:S,19,FALSE),0)</f>
        <v>0</v>
      </c>
      <c r="CC175" s="412"/>
      <c r="CD175" s="412"/>
      <c r="CE175" s="412"/>
      <c r="CF175" s="412"/>
      <c r="CG175" s="412"/>
      <c r="CH175" s="412"/>
      <c r="CI175" s="412"/>
      <c r="CJ175" s="412"/>
      <c r="CK175" s="412"/>
      <c r="CL175" s="412"/>
      <c r="CM175" s="412"/>
      <c r="CN175" s="412"/>
      <c r="CO175" s="412"/>
      <c r="CQ175" s="363"/>
      <c r="CR175" s="363"/>
      <c r="CS175" s="363"/>
      <c r="CT175" s="363"/>
      <c r="CU175" s="363"/>
      <c r="CV175" s="363"/>
      <c r="CW175" s="363"/>
      <c r="CX175" s="363"/>
      <c r="CZ175" s="414"/>
      <c r="DA175" s="414"/>
      <c r="DB175" s="414"/>
      <c r="DC175" s="414"/>
      <c r="DD175" s="414"/>
      <c r="DE175" s="414"/>
      <c r="DF175" s="414"/>
      <c r="DG175" s="414"/>
      <c r="DI175" s="414">
        <f t="shared" si="69"/>
        <v>0</v>
      </c>
      <c r="DJ175" s="414"/>
      <c r="DK175" s="414"/>
      <c r="DL175" s="414"/>
      <c r="DM175" s="414"/>
      <c r="DN175" s="414"/>
      <c r="DO175" s="414"/>
      <c r="DP175" s="414"/>
      <c r="DQ175" s="414"/>
      <c r="DS175" s="414"/>
      <c r="DT175" s="414"/>
      <c r="DU175" s="414"/>
      <c r="DV175" s="414"/>
      <c r="DW175" s="414"/>
      <c r="DX175" s="414"/>
      <c r="DY175" s="414"/>
      <c r="DZ175" s="414"/>
      <c r="EB175" s="415">
        <f t="shared" si="53"/>
        <v>0</v>
      </c>
      <c r="EC175" s="415">
        <f t="shared" si="54"/>
        <v>0</v>
      </c>
      <c r="ED175" s="416">
        <f t="shared" si="70"/>
        <v>0</v>
      </c>
    </row>
    <row r="176" spans="1:134" hidden="1" x14ac:dyDescent="0.35">
      <c r="A176" s="17">
        <v>2014</v>
      </c>
      <c r="B176" s="4">
        <v>103162</v>
      </c>
      <c r="C176" s="4" t="s">
        <v>186</v>
      </c>
      <c r="D176" s="4" t="s">
        <v>187</v>
      </c>
      <c r="E176" s="15" t="s">
        <v>32</v>
      </c>
      <c r="F176" s="16" t="s">
        <v>27</v>
      </c>
      <c r="G176" s="215"/>
      <c r="H176" s="363">
        <v>0</v>
      </c>
      <c r="I176" s="410"/>
      <c r="J176" s="363">
        <v>0</v>
      </c>
      <c r="K176" s="363">
        <v>0</v>
      </c>
      <c r="L176" s="363">
        <v>33111</v>
      </c>
      <c r="M176" s="363">
        <v>0</v>
      </c>
      <c r="N176" s="363">
        <v>0</v>
      </c>
      <c r="O176" s="363">
        <v>0</v>
      </c>
      <c r="P176" s="215">
        <f t="shared" si="55"/>
        <v>33111</v>
      </c>
      <c r="Q176" s="363">
        <f t="shared" si="56"/>
        <v>26488.800000000003</v>
      </c>
      <c r="R176" s="410"/>
      <c r="S176" s="363">
        <v>0</v>
      </c>
      <c r="T176" s="363">
        <v>0</v>
      </c>
      <c r="U176" s="363">
        <v>39733.200000000004</v>
      </c>
      <c r="V176" s="363">
        <v>2340</v>
      </c>
      <c r="W176" s="363">
        <v>894.94736842105272</v>
      </c>
      <c r="X176" s="363">
        <v>0</v>
      </c>
      <c r="Y176" s="363">
        <f t="shared" si="57"/>
        <v>42968.147368421058</v>
      </c>
      <c r="Z176" s="363">
        <f t="shared" si="58"/>
        <v>34374.517894736848</v>
      </c>
      <c r="AA176" s="410"/>
      <c r="AB176" s="411">
        <v>0</v>
      </c>
      <c r="AC176" s="411">
        <v>0</v>
      </c>
      <c r="AD176" s="411">
        <v>29920.547368421048</v>
      </c>
      <c r="AE176" s="411">
        <v>1080</v>
      </c>
      <c r="AF176" s="411">
        <v>413.05263157894734</v>
      </c>
      <c r="AG176" s="411">
        <v>0</v>
      </c>
      <c r="AH176" s="363">
        <f t="shared" si="59"/>
        <v>31413.599999999995</v>
      </c>
      <c r="AI176" s="411">
        <f t="shared" si="60"/>
        <v>25130.879999999997</v>
      </c>
      <c r="AJ176" s="410"/>
      <c r="AK176" s="411">
        <v>1333.7999999999997</v>
      </c>
      <c r="AL176" s="411">
        <v>1756.95</v>
      </c>
      <c r="AM176" s="411">
        <v>1214.715789473684</v>
      </c>
      <c r="AN176" s="410"/>
      <c r="AO176" s="411">
        <f t="shared" si="61"/>
        <v>1067.0399999999997</v>
      </c>
      <c r="AP176" s="411">
        <f t="shared" si="61"/>
        <v>1405.5600000000002</v>
      </c>
      <c r="AQ176" s="411">
        <f t="shared" si="61"/>
        <v>971.77263157894731</v>
      </c>
      <c r="AR176" s="412"/>
      <c r="AS176" s="412">
        <v>0</v>
      </c>
      <c r="AT176" s="413">
        <f t="shared" si="62"/>
        <v>0</v>
      </c>
      <c r="AU176" s="412"/>
      <c r="AV176" s="412">
        <v>0</v>
      </c>
      <c r="AW176" s="412">
        <v>0</v>
      </c>
      <c r="AX176" s="412">
        <v>35318.400000000001</v>
      </c>
      <c r="AY176" s="412">
        <v>3315</v>
      </c>
      <c r="AZ176" s="412">
        <v>1267.8421052631579</v>
      </c>
      <c r="BA176" s="412">
        <v>0</v>
      </c>
      <c r="BB176" s="412">
        <v>1649.7</v>
      </c>
      <c r="BC176" s="412">
        <f t="shared" si="63"/>
        <v>41550.942105263159</v>
      </c>
      <c r="BE176" s="205">
        <f t="shared" si="73"/>
        <v>0</v>
      </c>
      <c r="BF176" s="205">
        <f t="shared" si="73"/>
        <v>0</v>
      </c>
      <c r="BG176" s="205">
        <f t="shared" si="73"/>
        <v>2207.4000000000015</v>
      </c>
      <c r="BH176" s="205">
        <f t="shared" si="73"/>
        <v>3315</v>
      </c>
      <c r="BI176" s="205">
        <f t="shared" si="73"/>
        <v>1267.8421052631579</v>
      </c>
      <c r="BJ176" s="205">
        <f t="shared" si="73"/>
        <v>0</v>
      </c>
      <c r="BK176" s="205">
        <f t="shared" si="64"/>
        <v>315.90000000000032</v>
      </c>
      <c r="BL176" s="205">
        <f t="shared" si="65"/>
        <v>7106.1421052631604</v>
      </c>
      <c r="BM176" s="215">
        <f t="shared" si="66"/>
        <v>0</v>
      </c>
      <c r="BN176" s="215"/>
      <c r="BO176" s="412">
        <f t="shared" si="71"/>
        <v>0</v>
      </c>
      <c r="BP176" s="412">
        <f t="shared" si="71"/>
        <v>0</v>
      </c>
      <c r="BQ176" s="412">
        <f t="shared" si="71"/>
        <v>8829.5999999999985</v>
      </c>
      <c r="BR176" s="412">
        <f t="shared" si="71"/>
        <v>3315</v>
      </c>
      <c r="BS176" s="412">
        <f t="shared" si="71"/>
        <v>1267.8421052631579</v>
      </c>
      <c r="BT176" s="412">
        <f t="shared" si="71"/>
        <v>0</v>
      </c>
      <c r="BU176" s="412">
        <f t="shared" si="72"/>
        <v>582.66000000000031</v>
      </c>
      <c r="BV176" s="412">
        <f t="shared" si="67"/>
        <v>13995.102105263157</v>
      </c>
      <c r="BW176" s="412">
        <f t="shared" si="52"/>
        <v>0</v>
      </c>
      <c r="BX176" s="412"/>
      <c r="BY176" s="412">
        <f t="shared" si="68"/>
        <v>41550.942105263159</v>
      </c>
      <c r="BZ176" s="412"/>
      <c r="CA176" s="412">
        <f>IFERROR(VLOOKUP(A176,'Actuals Summer'!A:S,19,FALSE),0)</f>
        <v>41550.942105263159</v>
      </c>
      <c r="CC176" s="412"/>
      <c r="CD176" s="412"/>
      <c r="CE176" s="412"/>
      <c r="CF176" s="412"/>
      <c r="CG176" s="412"/>
      <c r="CH176" s="412"/>
      <c r="CI176" s="412"/>
      <c r="CJ176" s="412"/>
      <c r="CK176" s="412"/>
      <c r="CL176" s="412"/>
      <c r="CM176" s="412"/>
      <c r="CN176" s="412"/>
      <c r="CO176" s="412"/>
      <c r="CQ176" s="363"/>
      <c r="CR176" s="363"/>
      <c r="CS176" s="363"/>
      <c r="CT176" s="363"/>
      <c r="CU176" s="363"/>
      <c r="CV176" s="363"/>
      <c r="CW176" s="363"/>
      <c r="CX176" s="363"/>
      <c r="CZ176" s="414"/>
      <c r="DA176" s="414"/>
      <c r="DB176" s="414"/>
      <c r="DC176" s="414"/>
      <c r="DD176" s="414"/>
      <c r="DE176" s="414"/>
      <c r="DF176" s="414"/>
      <c r="DG176" s="414"/>
      <c r="DI176" s="414">
        <f t="shared" si="69"/>
        <v>0</v>
      </c>
      <c r="DJ176" s="414"/>
      <c r="DK176" s="414"/>
      <c r="DL176" s="414"/>
      <c r="DM176" s="414"/>
      <c r="DN176" s="414"/>
      <c r="DO176" s="414"/>
      <c r="DP176" s="414"/>
      <c r="DQ176" s="414"/>
      <c r="DS176" s="414"/>
      <c r="DT176" s="414"/>
      <c r="DU176" s="414"/>
      <c r="DV176" s="414"/>
      <c r="DW176" s="414"/>
      <c r="DX176" s="414"/>
      <c r="DY176" s="414"/>
      <c r="DZ176" s="414"/>
      <c r="EB176" s="415">
        <f t="shared" si="53"/>
        <v>103433.67263157896</v>
      </c>
      <c r="EC176" s="415">
        <f t="shared" si="54"/>
        <v>0</v>
      </c>
      <c r="ED176" s="416">
        <f t="shared" si="70"/>
        <v>103433.67263157896</v>
      </c>
    </row>
    <row r="177" spans="1:134" hidden="1" x14ac:dyDescent="0.35">
      <c r="A177" s="17">
        <v>7052</v>
      </c>
      <c r="B177" s="4">
        <v>103627</v>
      </c>
      <c r="C177" s="4" t="s">
        <v>1064</v>
      </c>
      <c r="D177" s="4" t="s">
        <v>423</v>
      </c>
      <c r="E177" s="15" t="s">
        <v>895</v>
      </c>
      <c r="F177" s="16" t="s">
        <v>27</v>
      </c>
      <c r="G177" s="215"/>
      <c r="H177" s="363">
        <v>0</v>
      </c>
      <c r="I177" s="410"/>
      <c r="J177" s="363">
        <v>0</v>
      </c>
      <c r="K177" s="363">
        <v>0</v>
      </c>
      <c r="L177" s="363">
        <v>0</v>
      </c>
      <c r="M177" s="363">
        <v>0</v>
      </c>
      <c r="N177" s="363">
        <v>0</v>
      </c>
      <c r="O177" s="363">
        <v>0</v>
      </c>
      <c r="P177" s="215">
        <f t="shared" si="55"/>
        <v>0</v>
      </c>
      <c r="Q177" s="363">
        <f t="shared" si="56"/>
        <v>0</v>
      </c>
      <c r="R177" s="410"/>
      <c r="S177" s="363">
        <v>0</v>
      </c>
      <c r="T177" s="363">
        <v>0</v>
      </c>
      <c r="U177" s="363">
        <v>0</v>
      </c>
      <c r="V177" s="363">
        <v>0</v>
      </c>
      <c r="W177" s="363">
        <v>0</v>
      </c>
      <c r="X177" s="363">
        <v>0</v>
      </c>
      <c r="Y177" s="363">
        <f t="shared" si="57"/>
        <v>0</v>
      </c>
      <c r="Z177" s="363">
        <f t="shared" si="58"/>
        <v>0</v>
      </c>
      <c r="AA177" s="410"/>
      <c r="AB177" s="411">
        <v>0</v>
      </c>
      <c r="AC177" s="411">
        <v>0</v>
      </c>
      <c r="AD177" s="411">
        <v>1056.9000000000001</v>
      </c>
      <c r="AE177" s="411">
        <v>0</v>
      </c>
      <c r="AF177" s="411">
        <v>0</v>
      </c>
      <c r="AG177" s="411">
        <v>0</v>
      </c>
      <c r="AH177" s="363">
        <f t="shared" si="59"/>
        <v>1056.9000000000001</v>
      </c>
      <c r="AI177" s="411">
        <f t="shared" si="60"/>
        <v>845.5200000000001</v>
      </c>
      <c r="AJ177" s="410"/>
      <c r="AK177" s="411">
        <v>0</v>
      </c>
      <c r="AL177" s="411">
        <v>0</v>
      </c>
      <c r="AM177" s="411">
        <v>0</v>
      </c>
      <c r="AN177" s="410"/>
      <c r="AO177" s="411">
        <f t="shared" si="61"/>
        <v>0</v>
      </c>
      <c r="AP177" s="411">
        <f t="shared" si="61"/>
        <v>0</v>
      </c>
      <c r="AQ177" s="411">
        <f t="shared" si="61"/>
        <v>0</v>
      </c>
      <c r="AR177" s="412"/>
      <c r="AS177" s="412">
        <v>0</v>
      </c>
      <c r="AT177" s="413">
        <f t="shared" si="62"/>
        <v>0</v>
      </c>
      <c r="AU177" s="412"/>
      <c r="AV177" s="412">
        <v>0</v>
      </c>
      <c r="AW177" s="412">
        <v>0</v>
      </c>
      <c r="AX177" s="412">
        <v>0</v>
      </c>
      <c r="AY177" s="412">
        <v>0</v>
      </c>
      <c r="AZ177" s="412">
        <v>0</v>
      </c>
      <c r="BA177" s="412">
        <v>0</v>
      </c>
      <c r="BB177" s="412">
        <v>0</v>
      </c>
      <c r="BC177" s="412">
        <f t="shared" si="63"/>
        <v>0</v>
      </c>
      <c r="BE177" s="205">
        <f t="shared" si="73"/>
        <v>0</v>
      </c>
      <c r="BF177" s="205">
        <f t="shared" si="73"/>
        <v>0</v>
      </c>
      <c r="BG177" s="205">
        <f t="shared" si="73"/>
        <v>0</v>
      </c>
      <c r="BH177" s="205">
        <f t="shared" si="73"/>
        <v>0</v>
      </c>
      <c r="BI177" s="205">
        <f t="shared" si="73"/>
        <v>0</v>
      </c>
      <c r="BJ177" s="205">
        <f t="shared" si="73"/>
        <v>0</v>
      </c>
      <c r="BK177" s="205">
        <f t="shared" si="64"/>
        <v>0</v>
      </c>
      <c r="BL177" s="205">
        <f t="shared" si="65"/>
        <v>0</v>
      </c>
      <c r="BM177" s="215">
        <f t="shared" si="66"/>
        <v>0</v>
      </c>
      <c r="BN177" s="215"/>
      <c r="BO177" s="412">
        <f t="shared" si="71"/>
        <v>0</v>
      </c>
      <c r="BP177" s="412">
        <f t="shared" si="71"/>
        <v>0</v>
      </c>
      <c r="BQ177" s="412">
        <f t="shared" si="71"/>
        <v>0</v>
      </c>
      <c r="BR177" s="412">
        <f t="shared" si="71"/>
        <v>0</v>
      </c>
      <c r="BS177" s="412">
        <f t="shared" si="71"/>
        <v>0</v>
      </c>
      <c r="BT177" s="412">
        <f t="shared" si="71"/>
        <v>0</v>
      </c>
      <c r="BU177" s="412">
        <f t="shared" si="72"/>
        <v>0</v>
      </c>
      <c r="BV177" s="412">
        <f t="shared" si="67"/>
        <v>0</v>
      </c>
      <c r="BW177" s="412">
        <f t="shared" si="52"/>
        <v>0</v>
      </c>
      <c r="BX177" s="412"/>
      <c r="BY177" s="412">
        <f t="shared" si="68"/>
        <v>0</v>
      </c>
      <c r="BZ177" s="412"/>
      <c r="CA177" s="412">
        <f>IFERROR(VLOOKUP(A177,'Actuals Summer'!A:S,19,FALSE),0)</f>
        <v>0</v>
      </c>
      <c r="CC177" s="412"/>
      <c r="CD177" s="412"/>
      <c r="CE177" s="412"/>
      <c r="CF177" s="412"/>
      <c r="CG177" s="412"/>
      <c r="CH177" s="412"/>
      <c r="CI177" s="412"/>
      <c r="CJ177" s="412"/>
      <c r="CK177" s="412"/>
      <c r="CL177" s="412"/>
      <c r="CM177" s="412"/>
      <c r="CN177" s="412"/>
      <c r="CO177" s="412"/>
      <c r="CQ177" s="363"/>
      <c r="CR177" s="363"/>
      <c r="CS177" s="363"/>
      <c r="CT177" s="363"/>
      <c r="CU177" s="363"/>
      <c r="CV177" s="363"/>
      <c r="CW177" s="363"/>
      <c r="CX177" s="363"/>
      <c r="CZ177" s="414"/>
      <c r="DA177" s="414"/>
      <c r="DB177" s="414"/>
      <c r="DC177" s="414"/>
      <c r="DD177" s="414"/>
      <c r="DE177" s="414"/>
      <c r="DF177" s="414"/>
      <c r="DG177" s="414"/>
      <c r="DI177" s="414">
        <f t="shared" si="69"/>
        <v>0</v>
      </c>
      <c r="DJ177" s="414"/>
      <c r="DK177" s="414"/>
      <c r="DL177" s="414"/>
      <c r="DM177" s="414"/>
      <c r="DN177" s="414"/>
      <c r="DO177" s="414"/>
      <c r="DP177" s="414"/>
      <c r="DQ177" s="414"/>
      <c r="DS177" s="414"/>
      <c r="DT177" s="414"/>
      <c r="DU177" s="414"/>
      <c r="DV177" s="414"/>
      <c r="DW177" s="414"/>
      <c r="DX177" s="414"/>
      <c r="DY177" s="414"/>
      <c r="DZ177" s="414"/>
      <c r="EB177" s="415">
        <f t="shared" si="53"/>
        <v>845.5200000000001</v>
      </c>
      <c r="EC177" s="415">
        <f t="shared" si="54"/>
        <v>0</v>
      </c>
      <c r="ED177" s="416">
        <f t="shared" si="70"/>
        <v>845.5200000000001</v>
      </c>
    </row>
    <row r="178" spans="1:134" hidden="1" x14ac:dyDescent="0.35">
      <c r="A178" s="17">
        <v>2456</v>
      </c>
      <c r="B178" s="4">
        <v>103383</v>
      </c>
      <c r="C178" s="4" t="s">
        <v>1065</v>
      </c>
      <c r="D178" s="4" t="s">
        <v>1066</v>
      </c>
      <c r="E178" s="15" t="s">
        <v>32</v>
      </c>
      <c r="F178" s="16" t="s">
        <v>27</v>
      </c>
      <c r="G178" s="215"/>
      <c r="H178" s="363">
        <v>0</v>
      </c>
      <c r="I178" s="410"/>
      <c r="J178" s="363">
        <v>0</v>
      </c>
      <c r="K178" s="363">
        <v>0</v>
      </c>
      <c r="L178" s="363">
        <v>0</v>
      </c>
      <c r="M178" s="363">
        <v>0</v>
      </c>
      <c r="N178" s="363">
        <v>0</v>
      </c>
      <c r="O178" s="363">
        <v>0</v>
      </c>
      <c r="P178" s="215">
        <f t="shared" si="55"/>
        <v>0</v>
      </c>
      <c r="Q178" s="363">
        <f t="shared" si="56"/>
        <v>0</v>
      </c>
      <c r="R178" s="410"/>
      <c r="S178" s="363">
        <v>0</v>
      </c>
      <c r="T178" s="363">
        <v>0</v>
      </c>
      <c r="U178" s="363">
        <v>0</v>
      </c>
      <c r="V178" s="363">
        <v>0</v>
      </c>
      <c r="W178" s="363">
        <v>0</v>
      </c>
      <c r="X178" s="363">
        <v>0</v>
      </c>
      <c r="Y178" s="363">
        <f t="shared" si="57"/>
        <v>0</v>
      </c>
      <c r="Z178" s="363">
        <f t="shared" si="58"/>
        <v>0</v>
      </c>
      <c r="AA178" s="410"/>
      <c r="AB178" s="411">
        <v>0</v>
      </c>
      <c r="AC178" s="411">
        <v>0</v>
      </c>
      <c r="AD178" s="411">
        <v>0</v>
      </c>
      <c r="AE178" s="411">
        <v>0</v>
      </c>
      <c r="AF178" s="411">
        <v>0</v>
      </c>
      <c r="AG178" s="411">
        <v>0</v>
      </c>
      <c r="AH178" s="363">
        <f t="shared" si="59"/>
        <v>0</v>
      </c>
      <c r="AI178" s="411">
        <f t="shared" si="60"/>
        <v>0</v>
      </c>
      <c r="AJ178" s="410"/>
      <c r="AK178" s="411">
        <v>0</v>
      </c>
      <c r="AL178" s="411">
        <v>0</v>
      </c>
      <c r="AM178" s="411">
        <v>0</v>
      </c>
      <c r="AN178" s="410"/>
      <c r="AO178" s="411">
        <f t="shared" si="61"/>
        <v>0</v>
      </c>
      <c r="AP178" s="411">
        <f t="shared" si="61"/>
        <v>0</v>
      </c>
      <c r="AQ178" s="411">
        <f t="shared" si="61"/>
        <v>0</v>
      </c>
      <c r="AR178" s="412"/>
      <c r="AS178" s="412">
        <v>0</v>
      </c>
      <c r="AT178" s="413">
        <f t="shared" si="62"/>
        <v>0</v>
      </c>
      <c r="AU178" s="412"/>
      <c r="AV178" s="412">
        <v>0</v>
      </c>
      <c r="AW178" s="412">
        <v>0</v>
      </c>
      <c r="AX178" s="412">
        <v>0</v>
      </c>
      <c r="AY178" s="412">
        <v>0</v>
      </c>
      <c r="AZ178" s="412">
        <v>0</v>
      </c>
      <c r="BA178" s="412">
        <v>0</v>
      </c>
      <c r="BB178" s="412">
        <v>0</v>
      </c>
      <c r="BC178" s="412">
        <f t="shared" si="63"/>
        <v>0</v>
      </c>
      <c r="BE178" s="205">
        <f t="shared" si="73"/>
        <v>0</v>
      </c>
      <c r="BF178" s="205">
        <f t="shared" si="73"/>
        <v>0</v>
      </c>
      <c r="BG178" s="205">
        <f t="shared" si="73"/>
        <v>0</v>
      </c>
      <c r="BH178" s="205">
        <f t="shared" si="73"/>
        <v>0</v>
      </c>
      <c r="BI178" s="205">
        <f t="shared" si="73"/>
        <v>0</v>
      </c>
      <c r="BJ178" s="205">
        <f t="shared" si="73"/>
        <v>0</v>
      </c>
      <c r="BK178" s="205">
        <f t="shared" si="64"/>
        <v>0</v>
      </c>
      <c r="BL178" s="205">
        <f t="shared" si="65"/>
        <v>0</v>
      </c>
      <c r="BM178" s="215">
        <f t="shared" si="66"/>
        <v>0</v>
      </c>
      <c r="BN178" s="215"/>
      <c r="BO178" s="412">
        <f t="shared" si="71"/>
        <v>0</v>
      </c>
      <c r="BP178" s="412">
        <f t="shared" si="71"/>
        <v>0</v>
      </c>
      <c r="BQ178" s="412">
        <f t="shared" si="71"/>
        <v>0</v>
      </c>
      <c r="BR178" s="412">
        <f t="shared" si="71"/>
        <v>0</v>
      </c>
      <c r="BS178" s="412">
        <f t="shared" si="71"/>
        <v>0</v>
      </c>
      <c r="BT178" s="412">
        <f t="shared" si="71"/>
        <v>0</v>
      </c>
      <c r="BU178" s="412">
        <f t="shared" si="72"/>
        <v>0</v>
      </c>
      <c r="BV178" s="412">
        <f t="shared" si="67"/>
        <v>0</v>
      </c>
      <c r="BW178" s="412">
        <f t="shared" si="52"/>
        <v>0</v>
      </c>
      <c r="BX178" s="412"/>
      <c r="BY178" s="412">
        <f t="shared" si="68"/>
        <v>0</v>
      </c>
      <c r="BZ178" s="412"/>
      <c r="CA178" s="412">
        <f>IFERROR(VLOOKUP(A178,'Actuals Summer'!A:S,19,FALSE),0)</f>
        <v>0</v>
      </c>
      <c r="CC178" s="412"/>
      <c r="CD178" s="412"/>
      <c r="CE178" s="412"/>
      <c r="CF178" s="412"/>
      <c r="CG178" s="412"/>
      <c r="CH178" s="412"/>
      <c r="CI178" s="412"/>
      <c r="CJ178" s="412"/>
      <c r="CK178" s="412"/>
      <c r="CL178" s="412"/>
      <c r="CM178" s="412"/>
      <c r="CN178" s="412"/>
      <c r="CO178" s="412"/>
      <c r="CQ178" s="363"/>
      <c r="CR178" s="363"/>
      <c r="CS178" s="363"/>
      <c r="CT178" s="363"/>
      <c r="CU178" s="363"/>
      <c r="CV178" s="363"/>
      <c r="CW178" s="363"/>
      <c r="CX178" s="363"/>
      <c r="CZ178" s="414"/>
      <c r="DA178" s="414"/>
      <c r="DB178" s="414"/>
      <c r="DC178" s="414"/>
      <c r="DD178" s="414"/>
      <c r="DE178" s="414"/>
      <c r="DF178" s="414"/>
      <c r="DG178" s="414"/>
      <c r="DI178" s="414">
        <f t="shared" si="69"/>
        <v>0</v>
      </c>
      <c r="DJ178" s="414"/>
      <c r="DK178" s="414"/>
      <c r="DL178" s="414"/>
      <c r="DM178" s="414"/>
      <c r="DN178" s="414"/>
      <c r="DO178" s="414"/>
      <c r="DP178" s="414"/>
      <c r="DQ178" s="414"/>
      <c r="DS178" s="414"/>
      <c r="DT178" s="414"/>
      <c r="DU178" s="414"/>
      <c r="DV178" s="414"/>
      <c r="DW178" s="414"/>
      <c r="DX178" s="414"/>
      <c r="DY178" s="414"/>
      <c r="DZ178" s="414"/>
      <c r="EB178" s="415">
        <f t="shared" si="53"/>
        <v>0</v>
      </c>
      <c r="EC178" s="415">
        <f t="shared" si="54"/>
        <v>0</v>
      </c>
      <c r="ED178" s="416">
        <f t="shared" si="70"/>
        <v>0</v>
      </c>
    </row>
    <row r="179" spans="1:134" hidden="1" x14ac:dyDescent="0.35">
      <c r="A179" s="17">
        <v>2254</v>
      </c>
      <c r="B179" s="4">
        <v>103300</v>
      </c>
      <c r="C179" s="4" t="s">
        <v>1067</v>
      </c>
      <c r="D179" s="4" t="s">
        <v>1068</v>
      </c>
      <c r="E179" s="15" t="s">
        <v>32</v>
      </c>
      <c r="F179" s="16" t="s">
        <v>27</v>
      </c>
      <c r="G179" s="215"/>
      <c r="H179" s="363">
        <v>0</v>
      </c>
      <c r="I179" s="410"/>
      <c r="J179" s="363">
        <v>0</v>
      </c>
      <c r="K179" s="363">
        <v>0</v>
      </c>
      <c r="L179" s="363">
        <v>0</v>
      </c>
      <c r="M179" s="363">
        <v>0</v>
      </c>
      <c r="N179" s="363">
        <v>0</v>
      </c>
      <c r="O179" s="363">
        <v>0</v>
      </c>
      <c r="P179" s="215">
        <f t="shared" si="55"/>
        <v>0</v>
      </c>
      <c r="Q179" s="363">
        <f t="shared" si="56"/>
        <v>0</v>
      </c>
      <c r="R179" s="410"/>
      <c r="S179" s="363">
        <v>0</v>
      </c>
      <c r="T179" s="363">
        <v>0</v>
      </c>
      <c r="U179" s="363">
        <v>0</v>
      </c>
      <c r="V179" s="363">
        <v>0</v>
      </c>
      <c r="W179" s="363">
        <v>0</v>
      </c>
      <c r="X179" s="363">
        <v>0</v>
      </c>
      <c r="Y179" s="363">
        <f t="shared" si="57"/>
        <v>0</v>
      </c>
      <c r="Z179" s="363">
        <f t="shared" si="58"/>
        <v>0</v>
      </c>
      <c r="AA179" s="410"/>
      <c r="AB179" s="411">
        <v>0</v>
      </c>
      <c r="AC179" s="411">
        <v>0</v>
      </c>
      <c r="AD179" s="411">
        <v>0</v>
      </c>
      <c r="AE179" s="411">
        <v>0</v>
      </c>
      <c r="AF179" s="411">
        <v>0</v>
      </c>
      <c r="AG179" s="411">
        <v>0</v>
      </c>
      <c r="AH179" s="363">
        <f t="shared" si="59"/>
        <v>0</v>
      </c>
      <c r="AI179" s="411">
        <f t="shared" si="60"/>
        <v>0</v>
      </c>
      <c r="AJ179" s="410"/>
      <c r="AK179" s="411">
        <v>0</v>
      </c>
      <c r="AL179" s="411">
        <v>0</v>
      </c>
      <c r="AM179" s="411">
        <v>0</v>
      </c>
      <c r="AN179" s="410"/>
      <c r="AO179" s="411">
        <f t="shared" si="61"/>
        <v>0</v>
      </c>
      <c r="AP179" s="411">
        <f t="shared" si="61"/>
        <v>0</v>
      </c>
      <c r="AQ179" s="411">
        <f t="shared" si="61"/>
        <v>0</v>
      </c>
      <c r="AR179" s="412"/>
      <c r="AS179" s="412">
        <v>0</v>
      </c>
      <c r="AT179" s="413">
        <f t="shared" si="62"/>
        <v>0</v>
      </c>
      <c r="AU179" s="412"/>
      <c r="AV179" s="412">
        <v>0</v>
      </c>
      <c r="AW179" s="412">
        <v>0</v>
      </c>
      <c r="AX179" s="412">
        <v>0</v>
      </c>
      <c r="AY179" s="412">
        <v>0</v>
      </c>
      <c r="AZ179" s="412">
        <v>0</v>
      </c>
      <c r="BA179" s="412">
        <v>0</v>
      </c>
      <c r="BB179" s="412">
        <v>0</v>
      </c>
      <c r="BC179" s="412">
        <f t="shared" si="63"/>
        <v>0</v>
      </c>
      <c r="BE179" s="205">
        <f t="shared" si="73"/>
        <v>0</v>
      </c>
      <c r="BF179" s="205">
        <f t="shared" si="73"/>
        <v>0</v>
      </c>
      <c r="BG179" s="205">
        <f t="shared" si="73"/>
        <v>0</v>
      </c>
      <c r="BH179" s="205">
        <f t="shared" si="73"/>
        <v>0</v>
      </c>
      <c r="BI179" s="205">
        <f t="shared" si="73"/>
        <v>0</v>
      </c>
      <c r="BJ179" s="205">
        <f t="shared" si="73"/>
        <v>0</v>
      </c>
      <c r="BK179" s="205">
        <f t="shared" si="64"/>
        <v>0</v>
      </c>
      <c r="BL179" s="205">
        <f t="shared" si="65"/>
        <v>0</v>
      </c>
      <c r="BM179" s="215">
        <f t="shared" si="66"/>
        <v>0</v>
      </c>
      <c r="BN179" s="215"/>
      <c r="BO179" s="412">
        <f t="shared" si="71"/>
        <v>0</v>
      </c>
      <c r="BP179" s="412">
        <f t="shared" si="71"/>
        <v>0</v>
      </c>
      <c r="BQ179" s="412">
        <f t="shared" si="71"/>
        <v>0</v>
      </c>
      <c r="BR179" s="412">
        <f t="shared" si="71"/>
        <v>0</v>
      </c>
      <c r="BS179" s="412">
        <f t="shared" si="71"/>
        <v>0</v>
      </c>
      <c r="BT179" s="412">
        <f t="shared" si="71"/>
        <v>0</v>
      </c>
      <c r="BU179" s="412">
        <f t="shared" si="72"/>
        <v>0</v>
      </c>
      <c r="BV179" s="412">
        <f t="shared" si="67"/>
        <v>0</v>
      </c>
      <c r="BW179" s="412">
        <f t="shared" si="52"/>
        <v>0</v>
      </c>
      <c r="BX179" s="412"/>
      <c r="BY179" s="412">
        <f t="shared" si="68"/>
        <v>0</v>
      </c>
      <c r="BZ179" s="412"/>
      <c r="CA179" s="412">
        <f>IFERROR(VLOOKUP(A179,'Actuals Summer'!A:S,19,FALSE),0)</f>
        <v>0</v>
      </c>
      <c r="CC179" s="412"/>
      <c r="CD179" s="412"/>
      <c r="CE179" s="412"/>
      <c r="CF179" s="412"/>
      <c r="CG179" s="412"/>
      <c r="CH179" s="412"/>
      <c r="CI179" s="412"/>
      <c r="CJ179" s="412"/>
      <c r="CK179" s="412"/>
      <c r="CL179" s="412"/>
      <c r="CM179" s="412"/>
      <c r="CN179" s="412"/>
      <c r="CO179" s="412"/>
      <c r="CQ179" s="363"/>
      <c r="CR179" s="363"/>
      <c r="CS179" s="363"/>
      <c r="CT179" s="363"/>
      <c r="CU179" s="363"/>
      <c r="CV179" s="363"/>
      <c r="CW179" s="363"/>
      <c r="CX179" s="363"/>
      <c r="CZ179" s="414"/>
      <c r="DA179" s="414"/>
      <c r="DB179" s="414"/>
      <c r="DC179" s="414"/>
      <c r="DD179" s="414"/>
      <c r="DE179" s="414"/>
      <c r="DF179" s="414"/>
      <c r="DG179" s="414"/>
      <c r="DI179" s="414">
        <f t="shared" si="69"/>
        <v>0</v>
      </c>
      <c r="DJ179" s="414"/>
      <c r="DK179" s="414"/>
      <c r="DL179" s="414"/>
      <c r="DM179" s="414"/>
      <c r="DN179" s="414"/>
      <c r="DO179" s="414"/>
      <c r="DP179" s="414"/>
      <c r="DQ179" s="414"/>
      <c r="DS179" s="414"/>
      <c r="DT179" s="414"/>
      <c r="DU179" s="414"/>
      <c r="DV179" s="414"/>
      <c r="DW179" s="414"/>
      <c r="DX179" s="414"/>
      <c r="DY179" s="414"/>
      <c r="DZ179" s="414"/>
      <c r="EB179" s="415">
        <f t="shared" si="53"/>
        <v>0</v>
      </c>
      <c r="EC179" s="415">
        <f t="shared" si="54"/>
        <v>0</v>
      </c>
      <c r="ED179" s="416">
        <f t="shared" si="70"/>
        <v>0</v>
      </c>
    </row>
    <row r="180" spans="1:134" hidden="1" x14ac:dyDescent="0.35">
      <c r="A180" s="17">
        <v>1802</v>
      </c>
      <c r="B180" s="4">
        <v>103150</v>
      </c>
      <c r="C180" s="4" t="s">
        <v>188</v>
      </c>
      <c r="D180" s="4" t="s">
        <v>189</v>
      </c>
      <c r="E180" s="15" t="s">
        <v>26</v>
      </c>
      <c r="F180" s="16" t="s">
        <v>27</v>
      </c>
      <c r="G180" s="215"/>
      <c r="H180" s="363">
        <v>203087.25491126656</v>
      </c>
      <c r="I180" s="410"/>
      <c r="J180" s="363">
        <v>0</v>
      </c>
      <c r="K180" s="363">
        <v>66378</v>
      </c>
      <c r="L180" s="363">
        <v>80570.100000000006</v>
      </c>
      <c r="M180" s="363">
        <v>10335</v>
      </c>
      <c r="N180" s="363">
        <v>3430.6315789473683</v>
      </c>
      <c r="O180" s="363">
        <v>320.89473684210526</v>
      </c>
      <c r="P180" s="215">
        <f t="shared" si="55"/>
        <v>161034.62631578947</v>
      </c>
      <c r="Q180" s="363">
        <f t="shared" si="56"/>
        <v>128827.70105263159</v>
      </c>
      <c r="R180" s="410"/>
      <c r="S180" s="363">
        <v>0</v>
      </c>
      <c r="T180" s="363">
        <v>71356.349999999991</v>
      </c>
      <c r="U180" s="363">
        <v>27592.500000000004</v>
      </c>
      <c r="V180" s="363">
        <v>7605</v>
      </c>
      <c r="W180" s="363">
        <v>2684.8421052631579</v>
      </c>
      <c r="X180" s="363">
        <v>320.89473684210526</v>
      </c>
      <c r="Y180" s="363">
        <f t="shared" si="57"/>
        <v>109559.58684210526</v>
      </c>
      <c r="Z180" s="363">
        <f t="shared" si="58"/>
        <v>87647.669473684218</v>
      </c>
      <c r="AA180" s="410"/>
      <c r="AB180" s="411">
        <v>0</v>
      </c>
      <c r="AC180" s="411">
        <v>48856.357894736844</v>
      </c>
      <c r="AD180" s="411">
        <v>51797.936842105264</v>
      </c>
      <c r="AE180" s="411">
        <v>6536.8421052631575</v>
      </c>
      <c r="AF180" s="411">
        <v>2173.961218836565</v>
      </c>
      <c r="AG180" s="411">
        <v>187.0803324099723</v>
      </c>
      <c r="AH180" s="363">
        <f t="shared" si="59"/>
        <v>109552.1783933518</v>
      </c>
      <c r="AI180" s="411">
        <f t="shared" si="60"/>
        <v>87641.742714681444</v>
      </c>
      <c r="AJ180" s="410"/>
      <c r="AK180" s="411">
        <v>6210.75</v>
      </c>
      <c r="AL180" s="411">
        <v>4418.7</v>
      </c>
      <c r="AM180" s="411">
        <v>3948.8210526315788</v>
      </c>
      <c r="AN180" s="410"/>
      <c r="AO180" s="411">
        <f t="shared" si="61"/>
        <v>4968.6000000000004</v>
      </c>
      <c r="AP180" s="411">
        <f t="shared" si="61"/>
        <v>3534.96</v>
      </c>
      <c r="AQ180" s="411">
        <f t="shared" si="61"/>
        <v>3159.0568421052631</v>
      </c>
      <c r="AR180" s="412"/>
      <c r="AS180" s="412">
        <v>202654.51162375594</v>
      </c>
      <c r="AT180" s="413">
        <f t="shared" si="62"/>
        <v>-432.74328751061694</v>
      </c>
      <c r="AU180" s="412"/>
      <c r="AV180" s="412">
        <v>0</v>
      </c>
      <c r="AW180" s="412">
        <v>67724.399999999994</v>
      </c>
      <c r="AX180" s="412">
        <v>81490.415999999997</v>
      </c>
      <c r="AY180" s="412">
        <v>10335</v>
      </c>
      <c r="AZ180" s="412">
        <v>3952.6842105263158</v>
      </c>
      <c r="BA180" s="412">
        <v>320.89</v>
      </c>
      <c r="BB180" s="412">
        <v>5926.0499999999993</v>
      </c>
      <c r="BC180" s="412">
        <f t="shared" si="63"/>
        <v>372403.95183428226</v>
      </c>
      <c r="BE180" s="205">
        <f t="shared" si="73"/>
        <v>0</v>
      </c>
      <c r="BF180" s="205">
        <f t="shared" si="73"/>
        <v>1346.3999999999942</v>
      </c>
      <c r="BG180" s="205">
        <f t="shared" si="73"/>
        <v>920.31599999999162</v>
      </c>
      <c r="BH180" s="205">
        <f t="shared" si="73"/>
        <v>0</v>
      </c>
      <c r="BI180" s="205">
        <f t="shared" si="73"/>
        <v>522.05263157894751</v>
      </c>
      <c r="BJ180" s="205">
        <f t="shared" si="73"/>
        <v>-4.7368421052738086E-3</v>
      </c>
      <c r="BK180" s="205">
        <f t="shared" si="64"/>
        <v>-284.70000000000073</v>
      </c>
      <c r="BL180" s="205">
        <f t="shared" si="65"/>
        <v>2071.3206072262105</v>
      </c>
      <c r="BM180" s="215">
        <f t="shared" si="66"/>
        <v>0</v>
      </c>
      <c r="BN180" s="215"/>
      <c r="BO180" s="412">
        <f t="shared" si="71"/>
        <v>0</v>
      </c>
      <c r="BP180" s="412">
        <f t="shared" si="71"/>
        <v>14621.999999999993</v>
      </c>
      <c r="BQ180" s="412">
        <f t="shared" si="71"/>
        <v>17034.335999999988</v>
      </c>
      <c r="BR180" s="412">
        <f t="shared" si="71"/>
        <v>2067</v>
      </c>
      <c r="BS180" s="412">
        <f t="shared" si="71"/>
        <v>1208.1789473684212</v>
      </c>
      <c r="BT180" s="412">
        <f t="shared" si="71"/>
        <v>64.17421052631579</v>
      </c>
      <c r="BU180" s="412">
        <f t="shared" si="72"/>
        <v>957.44999999999891</v>
      </c>
      <c r="BV180" s="412">
        <f t="shared" si="67"/>
        <v>35953.139157894715</v>
      </c>
      <c r="BW180" s="412">
        <f t="shared" si="52"/>
        <v>432.74328751055873</v>
      </c>
      <c r="BX180" s="412"/>
      <c r="BY180" s="412">
        <f t="shared" si="68"/>
        <v>169749.44021052631</v>
      </c>
      <c r="BZ180" s="412"/>
      <c r="CA180" s="412">
        <f>IFERROR(VLOOKUP(A180,'Actuals Summer'!A:S,19,FALSE),0)</f>
        <v>169749.44021052629</v>
      </c>
      <c r="CC180" s="412"/>
      <c r="CD180" s="412"/>
      <c r="CE180" s="412"/>
      <c r="CF180" s="412"/>
      <c r="CG180" s="412"/>
      <c r="CH180" s="412"/>
      <c r="CI180" s="412"/>
      <c r="CJ180" s="412"/>
      <c r="CK180" s="412"/>
      <c r="CL180" s="412"/>
      <c r="CM180" s="412"/>
      <c r="CN180" s="412"/>
      <c r="CO180" s="412"/>
      <c r="CQ180" s="363"/>
      <c r="CR180" s="363"/>
      <c r="CS180" s="363"/>
      <c r="CT180" s="363"/>
      <c r="CU180" s="363"/>
      <c r="CV180" s="363"/>
      <c r="CW180" s="363"/>
      <c r="CX180" s="363"/>
      <c r="CZ180" s="414"/>
      <c r="DA180" s="414"/>
      <c r="DB180" s="414"/>
      <c r="DC180" s="414"/>
      <c r="DD180" s="414"/>
      <c r="DE180" s="414"/>
      <c r="DF180" s="414"/>
      <c r="DG180" s="414"/>
      <c r="DI180" s="414">
        <f t="shared" si="69"/>
        <v>0</v>
      </c>
      <c r="DJ180" s="414"/>
      <c r="DK180" s="414"/>
      <c r="DL180" s="414"/>
      <c r="DM180" s="414"/>
      <c r="DN180" s="414"/>
      <c r="DO180" s="414"/>
      <c r="DP180" s="414"/>
      <c r="DQ180" s="414"/>
      <c r="DS180" s="414"/>
      <c r="DT180" s="414"/>
      <c r="DU180" s="414"/>
      <c r="DV180" s="414"/>
      <c r="DW180" s="414"/>
      <c r="DX180" s="414"/>
      <c r="DY180" s="414"/>
      <c r="DZ180" s="414"/>
      <c r="EB180" s="415">
        <f t="shared" si="53"/>
        <v>553660.11080935155</v>
      </c>
      <c r="EC180" s="415">
        <f t="shared" si="54"/>
        <v>727.27005540166203</v>
      </c>
      <c r="ED180" s="416">
        <f t="shared" si="70"/>
        <v>554387.38086475316</v>
      </c>
    </row>
    <row r="181" spans="1:134" hidden="1" x14ac:dyDescent="0.35">
      <c r="A181" s="17">
        <v>2079</v>
      </c>
      <c r="B181" s="4">
        <v>103200</v>
      </c>
      <c r="C181" s="4" t="s">
        <v>1069</v>
      </c>
      <c r="D181" s="4" t="s">
        <v>1070</v>
      </c>
      <c r="E181" s="15" t="s">
        <v>32</v>
      </c>
      <c r="F181" s="16" t="s">
        <v>27</v>
      </c>
      <c r="G181" s="215"/>
      <c r="H181" s="363">
        <v>0</v>
      </c>
      <c r="I181" s="410"/>
      <c r="J181" s="363">
        <v>0</v>
      </c>
      <c r="K181" s="363">
        <v>0</v>
      </c>
      <c r="L181" s="363">
        <v>0</v>
      </c>
      <c r="M181" s="363">
        <v>0</v>
      </c>
      <c r="N181" s="363">
        <v>0</v>
      </c>
      <c r="O181" s="363">
        <v>0</v>
      </c>
      <c r="P181" s="215">
        <f t="shared" si="55"/>
        <v>0</v>
      </c>
      <c r="Q181" s="363">
        <f t="shared" si="56"/>
        <v>0</v>
      </c>
      <c r="R181" s="410"/>
      <c r="S181" s="363">
        <v>0</v>
      </c>
      <c r="T181" s="363">
        <v>0</v>
      </c>
      <c r="U181" s="363">
        <v>0</v>
      </c>
      <c r="V181" s="363">
        <v>0</v>
      </c>
      <c r="W181" s="363">
        <v>0</v>
      </c>
      <c r="X181" s="363">
        <v>0</v>
      </c>
      <c r="Y181" s="363">
        <f t="shared" si="57"/>
        <v>0</v>
      </c>
      <c r="Z181" s="363">
        <f t="shared" si="58"/>
        <v>0</v>
      </c>
      <c r="AA181" s="410"/>
      <c r="AB181" s="411">
        <v>0</v>
      </c>
      <c r="AC181" s="411">
        <v>0</v>
      </c>
      <c r="AD181" s="411">
        <v>0</v>
      </c>
      <c r="AE181" s="411">
        <v>0</v>
      </c>
      <c r="AF181" s="411">
        <v>0</v>
      </c>
      <c r="AG181" s="411">
        <v>0</v>
      </c>
      <c r="AH181" s="363">
        <f t="shared" si="59"/>
        <v>0</v>
      </c>
      <c r="AI181" s="411">
        <f t="shared" si="60"/>
        <v>0</v>
      </c>
      <c r="AJ181" s="410"/>
      <c r="AK181" s="411">
        <v>0</v>
      </c>
      <c r="AL181" s="411">
        <v>0</v>
      </c>
      <c r="AM181" s="411">
        <v>0</v>
      </c>
      <c r="AN181" s="410"/>
      <c r="AO181" s="411">
        <f t="shared" si="61"/>
        <v>0</v>
      </c>
      <c r="AP181" s="411">
        <f t="shared" si="61"/>
        <v>0</v>
      </c>
      <c r="AQ181" s="411">
        <f t="shared" si="61"/>
        <v>0</v>
      </c>
      <c r="AR181" s="412"/>
      <c r="AS181" s="412">
        <v>0</v>
      </c>
      <c r="AT181" s="413">
        <f t="shared" si="62"/>
        <v>0</v>
      </c>
      <c r="AU181" s="412"/>
      <c r="AV181" s="412">
        <v>0</v>
      </c>
      <c r="AW181" s="412">
        <v>0</v>
      </c>
      <c r="AX181" s="412">
        <v>0</v>
      </c>
      <c r="AY181" s="412">
        <v>0</v>
      </c>
      <c r="AZ181" s="412">
        <v>0</v>
      </c>
      <c r="BA181" s="412">
        <v>0</v>
      </c>
      <c r="BB181" s="412">
        <v>0</v>
      </c>
      <c r="BC181" s="412">
        <f t="shared" si="63"/>
        <v>0</v>
      </c>
      <c r="BE181" s="205">
        <f t="shared" si="73"/>
        <v>0</v>
      </c>
      <c r="BF181" s="205">
        <f t="shared" si="73"/>
        <v>0</v>
      </c>
      <c r="BG181" s="205">
        <f t="shared" si="73"/>
        <v>0</v>
      </c>
      <c r="BH181" s="205">
        <f t="shared" si="73"/>
        <v>0</v>
      </c>
      <c r="BI181" s="205">
        <f t="shared" si="73"/>
        <v>0</v>
      </c>
      <c r="BJ181" s="205">
        <f t="shared" si="73"/>
        <v>0</v>
      </c>
      <c r="BK181" s="205">
        <f t="shared" si="64"/>
        <v>0</v>
      </c>
      <c r="BL181" s="205">
        <f t="shared" si="65"/>
        <v>0</v>
      </c>
      <c r="BM181" s="215">
        <f t="shared" si="66"/>
        <v>0</v>
      </c>
      <c r="BN181" s="215"/>
      <c r="BO181" s="412">
        <f t="shared" si="71"/>
        <v>0</v>
      </c>
      <c r="BP181" s="412">
        <f t="shared" si="71"/>
        <v>0</v>
      </c>
      <c r="BQ181" s="412">
        <f t="shared" si="71"/>
        <v>0</v>
      </c>
      <c r="BR181" s="412">
        <f t="shared" si="71"/>
        <v>0</v>
      </c>
      <c r="BS181" s="412">
        <f t="shared" si="71"/>
        <v>0</v>
      </c>
      <c r="BT181" s="412">
        <f t="shared" si="71"/>
        <v>0</v>
      </c>
      <c r="BU181" s="412">
        <f t="shared" si="72"/>
        <v>0</v>
      </c>
      <c r="BV181" s="412">
        <f t="shared" si="67"/>
        <v>0</v>
      </c>
      <c r="BW181" s="412">
        <f t="shared" si="52"/>
        <v>0</v>
      </c>
      <c r="BX181" s="412"/>
      <c r="BY181" s="412">
        <f t="shared" si="68"/>
        <v>0</v>
      </c>
      <c r="BZ181" s="412"/>
      <c r="CA181" s="412">
        <f>IFERROR(VLOOKUP(A181,'Actuals Summer'!A:S,19,FALSE),0)</f>
        <v>0</v>
      </c>
      <c r="CC181" s="412"/>
      <c r="CD181" s="412"/>
      <c r="CE181" s="412"/>
      <c r="CF181" s="412"/>
      <c r="CG181" s="412"/>
      <c r="CH181" s="412"/>
      <c r="CI181" s="412"/>
      <c r="CJ181" s="412"/>
      <c r="CK181" s="412"/>
      <c r="CL181" s="412"/>
      <c r="CM181" s="412"/>
      <c r="CN181" s="412"/>
      <c r="CO181" s="412"/>
      <c r="CQ181" s="363"/>
      <c r="CR181" s="363"/>
      <c r="CS181" s="363"/>
      <c r="CT181" s="363"/>
      <c r="CU181" s="363"/>
      <c r="CV181" s="363"/>
      <c r="CW181" s="363"/>
      <c r="CX181" s="363"/>
      <c r="CZ181" s="414"/>
      <c r="DA181" s="414"/>
      <c r="DB181" s="414"/>
      <c r="DC181" s="414"/>
      <c r="DD181" s="414"/>
      <c r="DE181" s="414"/>
      <c r="DF181" s="414"/>
      <c r="DG181" s="414"/>
      <c r="DI181" s="414">
        <f t="shared" si="69"/>
        <v>0</v>
      </c>
      <c r="DJ181" s="414"/>
      <c r="DK181" s="414"/>
      <c r="DL181" s="414"/>
      <c r="DM181" s="414"/>
      <c r="DN181" s="414"/>
      <c r="DO181" s="414"/>
      <c r="DP181" s="414"/>
      <c r="DQ181" s="414"/>
      <c r="DS181" s="414"/>
      <c r="DT181" s="414"/>
      <c r="DU181" s="414"/>
      <c r="DV181" s="414"/>
      <c r="DW181" s="414"/>
      <c r="DX181" s="414"/>
      <c r="DY181" s="414"/>
      <c r="DZ181" s="414"/>
      <c r="EB181" s="415">
        <f t="shared" si="53"/>
        <v>0</v>
      </c>
      <c r="EC181" s="415">
        <f t="shared" si="54"/>
        <v>0</v>
      </c>
      <c r="ED181" s="416">
        <f t="shared" si="70"/>
        <v>0</v>
      </c>
    </row>
    <row r="182" spans="1:134" hidden="1" x14ac:dyDescent="0.35">
      <c r="A182" s="17">
        <v>2091</v>
      </c>
      <c r="B182" s="4">
        <v>103208</v>
      </c>
      <c r="C182" s="4" t="s">
        <v>1071</v>
      </c>
      <c r="D182" s="4" t="s">
        <v>1072</v>
      </c>
      <c r="E182" s="15" t="s">
        <v>32</v>
      </c>
      <c r="F182" s="16" t="s">
        <v>27</v>
      </c>
      <c r="G182" s="215"/>
      <c r="H182" s="363">
        <v>0</v>
      </c>
      <c r="I182" s="410"/>
      <c r="J182" s="363">
        <v>0</v>
      </c>
      <c r="K182" s="363">
        <v>0</v>
      </c>
      <c r="L182" s="363">
        <v>0</v>
      </c>
      <c r="M182" s="363">
        <v>0</v>
      </c>
      <c r="N182" s="363">
        <v>0</v>
      </c>
      <c r="O182" s="363">
        <v>0</v>
      </c>
      <c r="P182" s="215">
        <f t="shared" si="55"/>
        <v>0</v>
      </c>
      <c r="Q182" s="363">
        <f t="shared" si="56"/>
        <v>0</v>
      </c>
      <c r="R182" s="410"/>
      <c r="S182" s="363">
        <v>0</v>
      </c>
      <c r="T182" s="363">
        <v>0</v>
      </c>
      <c r="U182" s="363">
        <v>0</v>
      </c>
      <c r="V182" s="363">
        <v>0</v>
      </c>
      <c r="W182" s="363">
        <v>0</v>
      </c>
      <c r="X182" s="363">
        <v>0</v>
      </c>
      <c r="Y182" s="363">
        <f t="shared" si="57"/>
        <v>0</v>
      </c>
      <c r="Z182" s="363">
        <f t="shared" si="58"/>
        <v>0</v>
      </c>
      <c r="AA182" s="410"/>
      <c r="AB182" s="411">
        <v>0</v>
      </c>
      <c r="AC182" s="411">
        <v>0</v>
      </c>
      <c r="AD182" s="411">
        <v>0</v>
      </c>
      <c r="AE182" s="411">
        <v>0</v>
      </c>
      <c r="AF182" s="411">
        <v>0</v>
      </c>
      <c r="AG182" s="411">
        <v>0</v>
      </c>
      <c r="AH182" s="363">
        <f t="shared" si="59"/>
        <v>0</v>
      </c>
      <c r="AI182" s="411">
        <f t="shared" si="60"/>
        <v>0</v>
      </c>
      <c r="AJ182" s="410"/>
      <c r="AK182" s="411">
        <v>0</v>
      </c>
      <c r="AL182" s="411">
        <v>0</v>
      </c>
      <c r="AM182" s="411">
        <v>0</v>
      </c>
      <c r="AN182" s="410"/>
      <c r="AO182" s="411">
        <f t="shared" si="61"/>
        <v>0</v>
      </c>
      <c r="AP182" s="411">
        <f t="shared" si="61"/>
        <v>0</v>
      </c>
      <c r="AQ182" s="411">
        <f t="shared" si="61"/>
        <v>0</v>
      </c>
      <c r="AR182" s="412"/>
      <c r="AS182" s="412">
        <v>0</v>
      </c>
      <c r="AT182" s="413">
        <f t="shared" si="62"/>
        <v>0</v>
      </c>
      <c r="AU182" s="412"/>
      <c r="AV182" s="412">
        <v>0</v>
      </c>
      <c r="AW182" s="412">
        <v>0</v>
      </c>
      <c r="AX182" s="412">
        <v>0</v>
      </c>
      <c r="AY182" s="412">
        <v>0</v>
      </c>
      <c r="AZ182" s="412">
        <v>0</v>
      </c>
      <c r="BA182" s="412">
        <v>0</v>
      </c>
      <c r="BB182" s="412">
        <v>0</v>
      </c>
      <c r="BC182" s="412">
        <f t="shared" si="63"/>
        <v>0</v>
      </c>
      <c r="BE182" s="205">
        <f t="shared" si="73"/>
        <v>0</v>
      </c>
      <c r="BF182" s="205">
        <f t="shared" si="73"/>
        <v>0</v>
      </c>
      <c r="BG182" s="205">
        <f t="shared" si="73"/>
        <v>0</v>
      </c>
      <c r="BH182" s="205">
        <f t="shared" si="73"/>
        <v>0</v>
      </c>
      <c r="BI182" s="205">
        <f t="shared" si="73"/>
        <v>0</v>
      </c>
      <c r="BJ182" s="205">
        <f t="shared" si="73"/>
        <v>0</v>
      </c>
      <c r="BK182" s="205">
        <f t="shared" si="64"/>
        <v>0</v>
      </c>
      <c r="BL182" s="205">
        <f t="shared" si="65"/>
        <v>0</v>
      </c>
      <c r="BM182" s="215">
        <f t="shared" si="66"/>
        <v>0</v>
      </c>
      <c r="BN182" s="215"/>
      <c r="BO182" s="412">
        <f t="shared" si="71"/>
        <v>0</v>
      </c>
      <c r="BP182" s="412">
        <f t="shared" si="71"/>
        <v>0</v>
      </c>
      <c r="BQ182" s="412">
        <f t="shared" si="71"/>
        <v>0</v>
      </c>
      <c r="BR182" s="412">
        <f t="shared" si="71"/>
        <v>0</v>
      </c>
      <c r="BS182" s="412">
        <f t="shared" si="71"/>
        <v>0</v>
      </c>
      <c r="BT182" s="412">
        <f t="shared" si="71"/>
        <v>0</v>
      </c>
      <c r="BU182" s="412">
        <f t="shared" si="72"/>
        <v>0</v>
      </c>
      <c r="BV182" s="412">
        <f t="shared" si="67"/>
        <v>0</v>
      </c>
      <c r="BW182" s="412">
        <f t="shared" si="52"/>
        <v>0</v>
      </c>
      <c r="BX182" s="412"/>
      <c r="BY182" s="412">
        <f t="shared" si="68"/>
        <v>0</v>
      </c>
      <c r="BZ182" s="412"/>
      <c r="CA182" s="412">
        <f>IFERROR(VLOOKUP(A182,'Actuals Summer'!A:S,19,FALSE),0)</f>
        <v>0</v>
      </c>
      <c r="CC182" s="412"/>
      <c r="CD182" s="412"/>
      <c r="CE182" s="412"/>
      <c r="CF182" s="412"/>
      <c r="CG182" s="412"/>
      <c r="CH182" s="412"/>
      <c r="CI182" s="412"/>
      <c r="CJ182" s="412"/>
      <c r="CK182" s="412"/>
      <c r="CL182" s="412"/>
      <c r="CM182" s="412"/>
      <c r="CN182" s="412"/>
      <c r="CO182" s="412"/>
      <c r="CQ182" s="363"/>
      <c r="CR182" s="363"/>
      <c r="CS182" s="363"/>
      <c r="CT182" s="363"/>
      <c r="CU182" s="363"/>
      <c r="CV182" s="363"/>
      <c r="CW182" s="363"/>
      <c r="CX182" s="363"/>
      <c r="CZ182" s="414"/>
      <c r="DA182" s="414"/>
      <c r="DB182" s="414"/>
      <c r="DC182" s="414"/>
      <c r="DD182" s="414"/>
      <c r="DE182" s="414"/>
      <c r="DF182" s="414"/>
      <c r="DG182" s="414"/>
      <c r="DI182" s="414">
        <f t="shared" si="69"/>
        <v>0</v>
      </c>
      <c r="DJ182" s="414"/>
      <c r="DK182" s="414"/>
      <c r="DL182" s="414"/>
      <c r="DM182" s="414"/>
      <c r="DN182" s="414"/>
      <c r="DO182" s="414"/>
      <c r="DP182" s="414"/>
      <c r="DQ182" s="414"/>
      <c r="DS182" s="414"/>
      <c r="DT182" s="414"/>
      <c r="DU182" s="414"/>
      <c r="DV182" s="414"/>
      <c r="DW182" s="414"/>
      <c r="DX182" s="414"/>
      <c r="DY182" s="414"/>
      <c r="DZ182" s="414"/>
      <c r="EB182" s="415">
        <f t="shared" si="53"/>
        <v>0</v>
      </c>
      <c r="EC182" s="415">
        <f t="shared" si="54"/>
        <v>0</v>
      </c>
      <c r="ED182" s="416">
        <f t="shared" si="70"/>
        <v>0</v>
      </c>
    </row>
    <row r="183" spans="1:134" hidden="1" x14ac:dyDescent="0.35">
      <c r="A183" s="17">
        <v>2477</v>
      </c>
      <c r="B183" s="4">
        <v>132261</v>
      </c>
      <c r="C183" s="4" t="s">
        <v>1073</v>
      </c>
      <c r="D183" s="4" t="s">
        <v>1074</v>
      </c>
      <c r="E183" s="15" t="s">
        <v>32</v>
      </c>
      <c r="F183" s="16" t="s">
        <v>27</v>
      </c>
      <c r="G183" s="215"/>
      <c r="H183" s="363">
        <v>0</v>
      </c>
      <c r="I183" s="410"/>
      <c r="J183" s="363">
        <v>0</v>
      </c>
      <c r="K183" s="363">
        <v>0</v>
      </c>
      <c r="L183" s="363">
        <v>0</v>
      </c>
      <c r="M183" s="363">
        <v>0</v>
      </c>
      <c r="N183" s="363">
        <v>0</v>
      </c>
      <c r="O183" s="363">
        <v>0</v>
      </c>
      <c r="P183" s="215">
        <f t="shared" si="55"/>
        <v>0</v>
      </c>
      <c r="Q183" s="363">
        <f t="shared" si="56"/>
        <v>0</v>
      </c>
      <c r="R183" s="410"/>
      <c r="S183" s="363">
        <v>0</v>
      </c>
      <c r="T183" s="363">
        <v>0</v>
      </c>
      <c r="U183" s="363">
        <v>0</v>
      </c>
      <c r="V183" s="363">
        <v>0</v>
      </c>
      <c r="W183" s="363">
        <v>0</v>
      </c>
      <c r="X183" s="363">
        <v>0</v>
      </c>
      <c r="Y183" s="363">
        <f t="shared" si="57"/>
        <v>0</v>
      </c>
      <c r="Z183" s="363">
        <f t="shared" si="58"/>
        <v>0</v>
      </c>
      <c r="AA183" s="410"/>
      <c r="AB183" s="411">
        <v>0</v>
      </c>
      <c r="AC183" s="411">
        <v>0</v>
      </c>
      <c r="AD183" s="411">
        <v>0</v>
      </c>
      <c r="AE183" s="411">
        <v>0</v>
      </c>
      <c r="AF183" s="411">
        <v>0</v>
      </c>
      <c r="AG183" s="411">
        <v>0</v>
      </c>
      <c r="AH183" s="363">
        <f t="shared" si="59"/>
        <v>0</v>
      </c>
      <c r="AI183" s="411">
        <f t="shared" si="60"/>
        <v>0</v>
      </c>
      <c r="AJ183" s="410"/>
      <c r="AK183" s="411">
        <v>0</v>
      </c>
      <c r="AL183" s="411">
        <v>0</v>
      </c>
      <c r="AM183" s="411">
        <v>0</v>
      </c>
      <c r="AN183" s="410"/>
      <c r="AO183" s="411">
        <f t="shared" si="61"/>
        <v>0</v>
      </c>
      <c r="AP183" s="411">
        <f t="shared" si="61"/>
        <v>0</v>
      </c>
      <c r="AQ183" s="411">
        <f t="shared" si="61"/>
        <v>0</v>
      </c>
      <c r="AR183" s="412"/>
      <c r="AS183" s="412">
        <v>0</v>
      </c>
      <c r="AT183" s="413">
        <f t="shared" si="62"/>
        <v>0</v>
      </c>
      <c r="AU183" s="412"/>
      <c r="AV183" s="412">
        <v>0</v>
      </c>
      <c r="AW183" s="412">
        <v>0</v>
      </c>
      <c r="AX183" s="412">
        <v>0</v>
      </c>
      <c r="AY183" s="412">
        <v>0</v>
      </c>
      <c r="AZ183" s="412">
        <v>0</v>
      </c>
      <c r="BA183" s="412">
        <v>0</v>
      </c>
      <c r="BB183" s="412">
        <v>0</v>
      </c>
      <c r="BC183" s="412">
        <f t="shared" si="63"/>
        <v>0</v>
      </c>
      <c r="BE183" s="205">
        <f t="shared" si="73"/>
        <v>0</v>
      </c>
      <c r="BF183" s="205">
        <f t="shared" si="73"/>
        <v>0</v>
      </c>
      <c r="BG183" s="205">
        <f t="shared" si="73"/>
        <v>0</v>
      </c>
      <c r="BH183" s="205">
        <f t="shared" si="73"/>
        <v>0</v>
      </c>
      <c r="BI183" s="205">
        <f t="shared" si="73"/>
        <v>0</v>
      </c>
      <c r="BJ183" s="205">
        <f t="shared" si="73"/>
        <v>0</v>
      </c>
      <c r="BK183" s="205">
        <f t="shared" si="64"/>
        <v>0</v>
      </c>
      <c r="BL183" s="205">
        <f t="shared" si="65"/>
        <v>0</v>
      </c>
      <c r="BM183" s="215">
        <f t="shared" si="66"/>
        <v>0</v>
      </c>
      <c r="BN183" s="215"/>
      <c r="BO183" s="412">
        <f t="shared" si="71"/>
        <v>0</v>
      </c>
      <c r="BP183" s="412">
        <f t="shared" si="71"/>
        <v>0</v>
      </c>
      <c r="BQ183" s="412">
        <f t="shared" si="71"/>
        <v>0</v>
      </c>
      <c r="BR183" s="412">
        <f t="shared" si="71"/>
        <v>0</v>
      </c>
      <c r="BS183" s="412">
        <f t="shared" si="71"/>
        <v>0</v>
      </c>
      <c r="BT183" s="412">
        <f t="shared" si="71"/>
        <v>0</v>
      </c>
      <c r="BU183" s="412">
        <f t="shared" si="72"/>
        <v>0</v>
      </c>
      <c r="BV183" s="412">
        <f t="shared" si="67"/>
        <v>0</v>
      </c>
      <c r="BW183" s="412">
        <f t="shared" si="52"/>
        <v>0</v>
      </c>
      <c r="BX183" s="412"/>
      <c r="BY183" s="412">
        <f t="shared" si="68"/>
        <v>0</v>
      </c>
      <c r="BZ183" s="412"/>
      <c r="CA183" s="412">
        <f>IFERROR(VLOOKUP(A183,'Actuals Summer'!A:S,19,FALSE),0)</f>
        <v>0</v>
      </c>
      <c r="CC183" s="412"/>
      <c r="CD183" s="412"/>
      <c r="CE183" s="412"/>
      <c r="CF183" s="412"/>
      <c r="CG183" s="412"/>
      <c r="CH183" s="412"/>
      <c r="CI183" s="412"/>
      <c r="CJ183" s="412"/>
      <c r="CK183" s="412"/>
      <c r="CL183" s="412"/>
      <c r="CM183" s="412"/>
      <c r="CN183" s="412"/>
      <c r="CO183" s="412"/>
      <c r="CQ183" s="363"/>
      <c r="CR183" s="363"/>
      <c r="CS183" s="363"/>
      <c r="CT183" s="363"/>
      <c r="CU183" s="363"/>
      <c r="CV183" s="363"/>
      <c r="CW183" s="363"/>
      <c r="CX183" s="363"/>
      <c r="CZ183" s="414"/>
      <c r="DA183" s="414"/>
      <c r="DB183" s="414"/>
      <c r="DC183" s="414"/>
      <c r="DD183" s="414"/>
      <c r="DE183" s="414"/>
      <c r="DF183" s="414"/>
      <c r="DG183" s="414"/>
      <c r="DI183" s="414">
        <f t="shared" si="69"/>
        <v>0</v>
      </c>
      <c r="DJ183" s="414"/>
      <c r="DK183" s="414"/>
      <c r="DL183" s="414"/>
      <c r="DM183" s="414"/>
      <c r="DN183" s="414"/>
      <c r="DO183" s="414"/>
      <c r="DP183" s="414"/>
      <c r="DQ183" s="414"/>
      <c r="DS183" s="414"/>
      <c r="DT183" s="414"/>
      <c r="DU183" s="414"/>
      <c r="DV183" s="414"/>
      <c r="DW183" s="414"/>
      <c r="DX183" s="414"/>
      <c r="DY183" s="414"/>
      <c r="DZ183" s="414"/>
      <c r="EB183" s="415">
        <f t="shared" si="53"/>
        <v>0</v>
      </c>
      <c r="EC183" s="415">
        <f t="shared" si="54"/>
        <v>0</v>
      </c>
      <c r="ED183" s="416">
        <f t="shared" si="70"/>
        <v>0</v>
      </c>
    </row>
    <row r="184" spans="1:134" hidden="1" x14ac:dyDescent="0.35">
      <c r="A184" s="17">
        <v>3436</v>
      </c>
      <c r="B184" s="4">
        <v>136440</v>
      </c>
      <c r="C184" s="4" t="s">
        <v>1075</v>
      </c>
      <c r="D184" s="4" t="s">
        <v>1076</v>
      </c>
      <c r="E184" s="15" t="s">
        <v>32</v>
      </c>
      <c r="F184" s="16" t="s">
        <v>27</v>
      </c>
      <c r="G184" s="215"/>
      <c r="H184" s="363">
        <v>0</v>
      </c>
      <c r="I184" s="410"/>
      <c r="J184" s="363">
        <v>0</v>
      </c>
      <c r="K184" s="363">
        <v>0</v>
      </c>
      <c r="L184" s="363">
        <v>0</v>
      </c>
      <c r="M184" s="363">
        <v>0</v>
      </c>
      <c r="N184" s="363">
        <v>0</v>
      </c>
      <c r="O184" s="363">
        <v>0</v>
      </c>
      <c r="P184" s="215">
        <f t="shared" si="55"/>
        <v>0</v>
      </c>
      <c r="Q184" s="363">
        <f t="shared" si="56"/>
        <v>0</v>
      </c>
      <c r="R184" s="410"/>
      <c r="S184" s="363">
        <v>0</v>
      </c>
      <c r="T184" s="363">
        <v>0</v>
      </c>
      <c r="U184" s="363">
        <v>0</v>
      </c>
      <c r="V184" s="363">
        <v>0</v>
      </c>
      <c r="W184" s="363">
        <v>0</v>
      </c>
      <c r="X184" s="363">
        <v>0</v>
      </c>
      <c r="Y184" s="363">
        <f t="shared" si="57"/>
        <v>0</v>
      </c>
      <c r="Z184" s="363">
        <f t="shared" si="58"/>
        <v>0</v>
      </c>
      <c r="AA184" s="410"/>
      <c r="AB184" s="411">
        <v>0</v>
      </c>
      <c r="AC184" s="411">
        <v>0</v>
      </c>
      <c r="AD184" s="411">
        <v>0</v>
      </c>
      <c r="AE184" s="411">
        <v>0</v>
      </c>
      <c r="AF184" s="411">
        <v>0</v>
      </c>
      <c r="AG184" s="411">
        <v>0</v>
      </c>
      <c r="AH184" s="363">
        <f t="shared" si="59"/>
        <v>0</v>
      </c>
      <c r="AI184" s="411">
        <f t="shared" si="60"/>
        <v>0</v>
      </c>
      <c r="AJ184" s="410"/>
      <c r="AK184" s="411">
        <v>0</v>
      </c>
      <c r="AL184" s="411">
        <v>0</v>
      </c>
      <c r="AM184" s="411">
        <v>0</v>
      </c>
      <c r="AN184" s="410"/>
      <c r="AO184" s="411">
        <f t="shared" si="61"/>
        <v>0</v>
      </c>
      <c r="AP184" s="411">
        <f t="shared" si="61"/>
        <v>0</v>
      </c>
      <c r="AQ184" s="411">
        <f t="shared" si="61"/>
        <v>0</v>
      </c>
      <c r="AR184" s="412"/>
      <c r="AS184" s="412">
        <v>0</v>
      </c>
      <c r="AT184" s="413">
        <f t="shared" si="62"/>
        <v>0</v>
      </c>
      <c r="AU184" s="412"/>
      <c r="AV184" s="412">
        <v>0</v>
      </c>
      <c r="AW184" s="412">
        <v>0</v>
      </c>
      <c r="AX184" s="412">
        <v>0</v>
      </c>
      <c r="AY184" s="412">
        <v>0</v>
      </c>
      <c r="AZ184" s="412">
        <v>0</v>
      </c>
      <c r="BA184" s="412">
        <v>0</v>
      </c>
      <c r="BB184" s="412">
        <v>0</v>
      </c>
      <c r="BC184" s="412">
        <f t="shared" si="63"/>
        <v>0</v>
      </c>
      <c r="BE184" s="205">
        <f t="shared" si="73"/>
        <v>0</v>
      </c>
      <c r="BF184" s="205">
        <f t="shared" si="73"/>
        <v>0</v>
      </c>
      <c r="BG184" s="205">
        <f t="shared" si="73"/>
        <v>0</v>
      </c>
      <c r="BH184" s="205">
        <f t="shared" si="73"/>
        <v>0</v>
      </c>
      <c r="BI184" s="205">
        <f t="shared" si="73"/>
        <v>0</v>
      </c>
      <c r="BJ184" s="205">
        <f t="shared" si="73"/>
        <v>0</v>
      </c>
      <c r="BK184" s="205">
        <f t="shared" si="64"/>
        <v>0</v>
      </c>
      <c r="BL184" s="205">
        <f t="shared" si="65"/>
        <v>0</v>
      </c>
      <c r="BM184" s="215">
        <f t="shared" si="66"/>
        <v>0</v>
      </c>
      <c r="BN184" s="215"/>
      <c r="BO184" s="412">
        <f t="shared" si="71"/>
        <v>0</v>
      </c>
      <c r="BP184" s="412">
        <f t="shared" si="71"/>
        <v>0</v>
      </c>
      <c r="BQ184" s="412">
        <f t="shared" si="71"/>
        <v>0</v>
      </c>
      <c r="BR184" s="412">
        <f t="shared" si="71"/>
        <v>0</v>
      </c>
      <c r="BS184" s="412">
        <f t="shared" si="71"/>
        <v>0</v>
      </c>
      <c r="BT184" s="412">
        <f t="shared" si="71"/>
        <v>0</v>
      </c>
      <c r="BU184" s="412">
        <f t="shared" si="72"/>
        <v>0</v>
      </c>
      <c r="BV184" s="412">
        <f t="shared" si="67"/>
        <v>0</v>
      </c>
      <c r="BW184" s="412">
        <f t="shared" si="52"/>
        <v>0</v>
      </c>
      <c r="BX184" s="412"/>
      <c r="BY184" s="412">
        <f t="shared" si="68"/>
        <v>0</v>
      </c>
      <c r="BZ184" s="412"/>
      <c r="CA184" s="412">
        <f>IFERROR(VLOOKUP(A184,'Actuals Summer'!A:S,19,FALSE),0)</f>
        <v>0</v>
      </c>
      <c r="CC184" s="412"/>
      <c r="CD184" s="412"/>
      <c r="CE184" s="412"/>
      <c r="CF184" s="412"/>
      <c r="CG184" s="412"/>
      <c r="CH184" s="412"/>
      <c r="CI184" s="412"/>
      <c r="CJ184" s="412"/>
      <c r="CK184" s="412"/>
      <c r="CL184" s="412"/>
      <c r="CM184" s="412"/>
      <c r="CN184" s="412"/>
      <c r="CO184" s="412"/>
      <c r="CQ184" s="363"/>
      <c r="CR184" s="363"/>
      <c r="CS184" s="363"/>
      <c r="CT184" s="363"/>
      <c r="CU184" s="363"/>
      <c r="CV184" s="363"/>
      <c r="CW184" s="363"/>
      <c r="CX184" s="363"/>
      <c r="CZ184" s="414"/>
      <c r="DA184" s="414"/>
      <c r="DB184" s="414"/>
      <c r="DC184" s="414"/>
      <c r="DD184" s="414"/>
      <c r="DE184" s="414"/>
      <c r="DF184" s="414"/>
      <c r="DG184" s="414"/>
      <c r="DI184" s="414">
        <f t="shared" si="69"/>
        <v>0</v>
      </c>
      <c r="DJ184" s="414"/>
      <c r="DK184" s="414"/>
      <c r="DL184" s="414"/>
      <c r="DM184" s="414"/>
      <c r="DN184" s="414"/>
      <c r="DO184" s="414"/>
      <c r="DP184" s="414"/>
      <c r="DQ184" s="414"/>
      <c r="DS184" s="414"/>
      <c r="DT184" s="414"/>
      <c r="DU184" s="414"/>
      <c r="DV184" s="414"/>
      <c r="DW184" s="414"/>
      <c r="DX184" s="414"/>
      <c r="DY184" s="414"/>
      <c r="DZ184" s="414"/>
      <c r="EB184" s="415">
        <f t="shared" si="53"/>
        <v>0</v>
      </c>
      <c r="EC184" s="415">
        <f t="shared" si="54"/>
        <v>0</v>
      </c>
      <c r="ED184" s="416">
        <f t="shared" si="70"/>
        <v>0</v>
      </c>
    </row>
    <row r="185" spans="1:134" hidden="1" x14ac:dyDescent="0.35">
      <c r="A185" s="17">
        <v>2474</v>
      </c>
      <c r="B185" s="4">
        <v>131672</v>
      </c>
      <c r="C185" s="4" t="s">
        <v>1077</v>
      </c>
      <c r="D185" s="4" t="s">
        <v>1078</v>
      </c>
      <c r="E185" s="15" t="s">
        <v>32</v>
      </c>
      <c r="F185" s="16" t="s">
        <v>27</v>
      </c>
      <c r="G185" s="215"/>
      <c r="H185" s="363">
        <v>0</v>
      </c>
      <c r="I185" s="410"/>
      <c r="J185" s="363">
        <v>0</v>
      </c>
      <c r="K185" s="363">
        <v>0</v>
      </c>
      <c r="L185" s="363">
        <v>0</v>
      </c>
      <c r="M185" s="363">
        <v>0</v>
      </c>
      <c r="N185" s="363">
        <v>0</v>
      </c>
      <c r="O185" s="363">
        <v>0</v>
      </c>
      <c r="P185" s="215">
        <f t="shared" si="55"/>
        <v>0</v>
      </c>
      <c r="Q185" s="363">
        <f t="shared" si="56"/>
        <v>0</v>
      </c>
      <c r="R185" s="410"/>
      <c r="S185" s="363">
        <v>0</v>
      </c>
      <c r="T185" s="363">
        <v>0</v>
      </c>
      <c r="U185" s="363">
        <v>0</v>
      </c>
      <c r="V185" s="363">
        <v>0</v>
      </c>
      <c r="W185" s="363">
        <v>0</v>
      </c>
      <c r="X185" s="363">
        <v>0</v>
      </c>
      <c r="Y185" s="363">
        <f t="shared" si="57"/>
        <v>0</v>
      </c>
      <c r="Z185" s="363">
        <f t="shared" si="58"/>
        <v>0</v>
      </c>
      <c r="AA185" s="410"/>
      <c r="AB185" s="411">
        <v>0</v>
      </c>
      <c r="AC185" s="411">
        <v>0</v>
      </c>
      <c r="AD185" s="411">
        <v>0</v>
      </c>
      <c r="AE185" s="411">
        <v>0</v>
      </c>
      <c r="AF185" s="411">
        <v>0</v>
      </c>
      <c r="AG185" s="411">
        <v>0</v>
      </c>
      <c r="AH185" s="363">
        <f t="shared" si="59"/>
        <v>0</v>
      </c>
      <c r="AI185" s="411">
        <f t="shared" si="60"/>
        <v>0</v>
      </c>
      <c r="AJ185" s="410"/>
      <c r="AK185" s="411">
        <v>0</v>
      </c>
      <c r="AL185" s="411">
        <v>0</v>
      </c>
      <c r="AM185" s="411">
        <v>0</v>
      </c>
      <c r="AN185" s="410"/>
      <c r="AO185" s="411">
        <f t="shared" si="61"/>
        <v>0</v>
      </c>
      <c r="AP185" s="411">
        <f t="shared" si="61"/>
        <v>0</v>
      </c>
      <c r="AQ185" s="411">
        <f t="shared" si="61"/>
        <v>0</v>
      </c>
      <c r="AR185" s="412"/>
      <c r="AS185" s="412">
        <v>0</v>
      </c>
      <c r="AT185" s="413">
        <f t="shared" si="62"/>
        <v>0</v>
      </c>
      <c r="AU185" s="412"/>
      <c r="AV185" s="412">
        <v>0</v>
      </c>
      <c r="AW185" s="412">
        <v>0</v>
      </c>
      <c r="AX185" s="412">
        <v>0</v>
      </c>
      <c r="AY185" s="412">
        <v>0</v>
      </c>
      <c r="AZ185" s="412">
        <v>0</v>
      </c>
      <c r="BA185" s="412">
        <v>0</v>
      </c>
      <c r="BB185" s="412">
        <v>0</v>
      </c>
      <c r="BC185" s="412">
        <f t="shared" si="63"/>
        <v>0</v>
      </c>
      <c r="BE185" s="205">
        <f t="shared" si="73"/>
        <v>0</v>
      </c>
      <c r="BF185" s="205">
        <f t="shared" si="73"/>
        <v>0</v>
      </c>
      <c r="BG185" s="205">
        <f t="shared" si="73"/>
        <v>0</v>
      </c>
      <c r="BH185" s="205">
        <f t="shared" si="73"/>
        <v>0</v>
      </c>
      <c r="BI185" s="205">
        <f t="shared" si="73"/>
        <v>0</v>
      </c>
      <c r="BJ185" s="205">
        <f t="shared" si="73"/>
        <v>0</v>
      </c>
      <c r="BK185" s="205">
        <f t="shared" si="64"/>
        <v>0</v>
      </c>
      <c r="BL185" s="205">
        <f t="shared" si="65"/>
        <v>0</v>
      </c>
      <c r="BM185" s="215">
        <f t="shared" si="66"/>
        <v>0</v>
      </c>
      <c r="BN185" s="215"/>
      <c r="BO185" s="412">
        <f t="shared" si="71"/>
        <v>0</v>
      </c>
      <c r="BP185" s="412">
        <f t="shared" si="71"/>
        <v>0</v>
      </c>
      <c r="BQ185" s="412">
        <f t="shared" si="71"/>
        <v>0</v>
      </c>
      <c r="BR185" s="412">
        <f t="shared" si="71"/>
        <v>0</v>
      </c>
      <c r="BS185" s="412">
        <f t="shared" si="71"/>
        <v>0</v>
      </c>
      <c r="BT185" s="412">
        <f t="shared" si="71"/>
        <v>0</v>
      </c>
      <c r="BU185" s="412">
        <f t="shared" si="72"/>
        <v>0</v>
      </c>
      <c r="BV185" s="412">
        <f t="shared" si="67"/>
        <v>0</v>
      </c>
      <c r="BW185" s="412">
        <f t="shared" si="52"/>
        <v>0</v>
      </c>
      <c r="BX185" s="412"/>
      <c r="BY185" s="412">
        <f t="shared" si="68"/>
        <v>0</v>
      </c>
      <c r="BZ185" s="412"/>
      <c r="CA185" s="412">
        <f>IFERROR(VLOOKUP(A185,'Actuals Summer'!A:S,19,FALSE),0)</f>
        <v>0</v>
      </c>
      <c r="CC185" s="412"/>
      <c r="CD185" s="412"/>
      <c r="CE185" s="412"/>
      <c r="CF185" s="412"/>
      <c r="CG185" s="412"/>
      <c r="CH185" s="412"/>
      <c r="CI185" s="412"/>
      <c r="CJ185" s="412"/>
      <c r="CK185" s="412"/>
      <c r="CL185" s="412"/>
      <c r="CM185" s="412"/>
      <c r="CN185" s="412"/>
      <c r="CO185" s="412"/>
      <c r="CQ185" s="363"/>
      <c r="CR185" s="363"/>
      <c r="CS185" s="363"/>
      <c r="CT185" s="363"/>
      <c r="CU185" s="363"/>
      <c r="CV185" s="363"/>
      <c r="CW185" s="363"/>
      <c r="CX185" s="363"/>
      <c r="CZ185" s="414"/>
      <c r="DA185" s="414"/>
      <c r="DB185" s="414"/>
      <c r="DC185" s="414"/>
      <c r="DD185" s="414"/>
      <c r="DE185" s="414"/>
      <c r="DF185" s="414"/>
      <c r="DG185" s="414"/>
      <c r="DI185" s="414">
        <f t="shared" si="69"/>
        <v>0</v>
      </c>
      <c r="DJ185" s="414"/>
      <c r="DK185" s="414"/>
      <c r="DL185" s="414"/>
      <c r="DM185" s="414"/>
      <c r="DN185" s="414"/>
      <c r="DO185" s="414"/>
      <c r="DP185" s="414"/>
      <c r="DQ185" s="414"/>
      <c r="DS185" s="414"/>
      <c r="DT185" s="414"/>
      <c r="DU185" s="414"/>
      <c r="DV185" s="414"/>
      <c r="DW185" s="414"/>
      <c r="DX185" s="414"/>
      <c r="DY185" s="414"/>
      <c r="DZ185" s="414"/>
      <c r="EB185" s="415">
        <f t="shared" si="53"/>
        <v>0</v>
      </c>
      <c r="EC185" s="415">
        <f t="shared" si="54"/>
        <v>0</v>
      </c>
      <c r="ED185" s="416">
        <f t="shared" si="70"/>
        <v>0</v>
      </c>
    </row>
    <row r="186" spans="1:134" hidden="1" x14ac:dyDescent="0.35">
      <c r="A186" s="17">
        <v>3352</v>
      </c>
      <c r="B186" s="4">
        <v>103444</v>
      </c>
      <c r="C186" s="4" t="s">
        <v>190</v>
      </c>
      <c r="D186" s="4" t="s">
        <v>191</v>
      </c>
      <c r="E186" s="15" t="s">
        <v>32</v>
      </c>
      <c r="F186" s="16" t="s">
        <v>27</v>
      </c>
      <c r="G186" s="215"/>
      <c r="H186" s="363">
        <v>0</v>
      </c>
      <c r="I186" s="410"/>
      <c r="J186" s="363">
        <v>0</v>
      </c>
      <c r="K186" s="363">
        <v>0</v>
      </c>
      <c r="L186" s="363">
        <v>26488.799999999999</v>
      </c>
      <c r="M186" s="363">
        <v>585</v>
      </c>
      <c r="N186" s="363">
        <v>223.73684210526318</v>
      </c>
      <c r="O186" s="363">
        <v>0</v>
      </c>
      <c r="P186" s="215">
        <f t="shared" si="55"/>
        <v>27297.536842105263</v>
      </c>
      <c r="Q186" s="363">
        <f t="shared" si="56"/>
        <v>21838.029473684212</v>
      </c>
      <c r="R186" s="410"/>
      <c r="S186" s="363">
        <v>0</v>
      </c>
      <c r="T186" s="363">
        <v>0</v>
      </c>
      <c r="U186" s="363">
        <v>8829.6</v>
      </c>
      <c r="V186" s="363">
        <v>0</v>
      </c>
      <c r="W186" s="363">
        <v>0</v>
      </c>
      <c r="X186" s="363">
        <v>0</v>
      </c>
      <c r="Y186" s="363">
        <f t="shared" si="57"/>
        <v>8829.6</v>
      </c>
      <c r="Z186" s="363">
        <f t="shared" si="58"/>
        <v>7063.68</v>
      </c>
      <c r="AA186" s="410"/>
      <c r="AB186" s="411">
        <v>0</v>
      </c>
      <c r="AC186" s="411">
        <v>0</v>
      </c>
      <c r="AD186" s="411">
        <v>17694.947368421053</v>
      </c>
      <c r="AE186" s="411">
        <v>511.57894736842104</v>
      </c>
      <c r="AF186" s="411">
        <v>195.65650969529085</v>
      </c>
      <c r="AG186" s="411">
        <v>0</v>
      </c>
      <c r="AH186" s="363">
        <f t="shared" si="59"/>
        <v>18402.182825484764</v>
      </c>
      <c r="AI186" s="411">
        <f t="shared" si="60"/>
        <v>14721.746260387812</v>
      </c>
      <c r="AJ186" s="410"/>
      <c r="AK186" s="411">
        <v>232.04999999999998</v>
      </c>
      <c r="AL186" s="411">
        <v>113.1</v>
      </c>
      <c r="AM186" s="411">
        <v>151.76842105263157</v>
      </c>
      <c r="AN186" s="410"/>
      <c r="AO186" s="411">
        <f t="shared" si="61"/>
        <v>185.64</v>
      </c>
      <c r="AP186" s="411">
        <f t="shared" si="61"/>
        <v>90.48</v>
      </c>
      <c r="AQ186" s="411">
        <f t="shared" si="61"/>
        <v>121.41473684210526</v>
      </c>
      <c r="AR186" s="412"/>
      <c r="AS186" s="412">
        <v>0</v>
      </c>
      <c r="AT186" s="413">
        <f t="shared" si="62"/>
        <v>0</v>
      </c>
      <c r="AU186" s="412"/>
      <c r="AV186" s="412">
        <v>0</v>
      </c>
      <c r="AW186" s="412">
        <v>0</v>
      </c>
      <c r="AX186" s="412">
        <v>7725.9000000000005</v>
      </c>
      <c r="AY186" s="412">
        <v>0</v>
      </c>
      <c r="AZ186" s="412">
        <v>0</v>
      </c>
      <c r="BA186" s="412">
        <v>0</v>
      </c>
      <c r="BB186" s="412">
        <v>0</v>
      </c>
      <c r="BC186" s="412">
        <f t="shared" si="63"/>
        <v>7725.9000000000005</v>
      </c>
      <c r="BE186" s="205">
        <f t="shared" si="73"/>
        <v>0</v>
      </c>
      <c r="BF186" s="205">
        <f t="shared" si="73"/>
        <v>0</v>
      </c>
      <c r="BG186" s="205">
        <f t="shared" si="73"/>
        <v>-18762.899999999998</v>
      </c>
      <c r="BH186" s="205">
        <f t="shared" si="73"/>
        <v>-585</v>
      </c>
      <c r="BI186" s="205">
        <f t="shared" si="73"/>
        <v>-223.73684210526318</v>
      </c>
      <c r="BJ186" s="205">
        <f t="shared" si="73"/>
        <v>0</v>
      </c>
      <c r="BK186" s="205">
        <f t="shared" si="64"/>
        <v>-232.04999999999998</v>
      </c>
      <c r="BL186" s="205">
        <f t="shared" si="65"/>
        <v>-19803.68684210526</v>
      </c>
      <c r="BM186" s="215">
        <f t="shared" si="66"/>
        <v>0</v>
      </c>
      <c r="BN186" s="215"/>
      <c r="BO186" s="412">
        <f t="shared" si="71"/>
        <v>0</v>
      </c>
      <c r="BP186" s="412">
        <f t="shared" si="71"/>
        <v>0</v>
      </c>
      <c r="BQ186" s="412">
        <f t="shared" si="71"/>
        <v>-13465.14</v>
      </c>
      <c r="BR186" s="412">
        <f t="shared" si="71"/>
        <v>-468</v>
      </c>
      <c r="BS186" s="412">
        <f t="shared" si="71"/>
        <v>-178.98947368421057</v>
      </c>
      <c r="BT186" s="412">
        <f t="shared" si="71"/>
        <v>0</v>
      </c>
      <c r="BU186" s="412">
        <f t="shared" si="72"/>
        <v>-185.64</v>
      </c>
      <c r="BV186" s="412">
        <f t="shared" si="67"/>
        <v>-14297.76947368421</v>
      </c>
      <c r="BW186" s="412">
        <f t="shared" si="52"/>
        <v>9.0949470177292824E-13</v>
      </c>
      <c r="BX186" s="412"/>
      <c r="BY186" s="412">
        <f t="shared" si="68"/>
        <v>7725.9000000000024</v>
      </c>
      <c r="BZ186" s="412"/>
      <c r="CA186" s="412">
        <f>IFERROR(VLOOKUP(A186,'Actuals Summer'!A:S,19,FALSE),0)</f>
        <v>7725.9000000000005</v>
      </c>
      <c r="CC186" s="412"/>
      <c r="CD186" s="412"/>
      <c r="CE186" s="412"/>
      <c r="CF186" s="412"/>
      <c r="CG186" s="412"/>
      <c r="CH186" s="412"/>
      <c r="CI186" s="412"/>
      <c r="CJ186" s="412"/>
      <c r="CK186" s="412"/>
      <c r="CL186" s="412"/>
      <c r="CM186" s="412"/>
      <c r="CN186" s="412"/>
      <c r="CO186" s="412"/>
      <c r="CQ186" s="363"/>
      <c r="CR186" s="363"/>
      <c r="CS186" s="363"/>
      <c r="CT186" s="363"/>
      <c r="CU186" s="363"/>
      <c r="CV186" s="363"/>
      <c r="CW186" s="363"/>
      <c r="CX186" s="363"/>
      <c r="CZ186" s="414"/>
      <c r="DA186" s="414"/>
      <c r="DB186" s="414"/>
      <c r="DC186" s="414"/>
      <c r="DD186" s="414"/>
      <c r="DE186" s="414"/>
      <c r="DF186" s="414"/>
      <c r="DG186" s="414"/>
      <c r="DI186" s="414">
        <f t="shared" si="69"/>
        <v>0</v>
      </c>
      <c r="DJ186" s="414"/>
      <c r="DK186" s="414"/>
      <c r="DL186" s="414"/>
      <c r="DM186" s="414"/>
      <c r="DN186" s="414"/>
      <c r="DO186" s="414"/>
      <c r="DP186" s="414"/>
      <c r="DQ186" s="414"/>
      <c r="DS186" s="414"/>
      <c r="DT186" s="414"/>
      <c r="DU186" s="414"/>
      <c r="DV186" s="414"/>
      <c r="DW186" s="414"/>
      <c r="DX186" s="414"/>
      <c r="DY186" s="414"/>
      <c r="DZ186" s="414"/>
      <c r="EB186" s="415">
        <f t="shared" si="53"/>
        <v>29723.220997229917</v>
      </c>
      <c r="EC186" s="415">
        <f t="shared" si="54"/>
        <v>0</v>
      </c>
      <c r="ED186" s="416">
        <f t="shared" si="70"/>
        <v>29723.220997229917</v>
      </c>
    </row>
    <row r="187" spans="1:134" hidden="1" x14ac:dyDescent="0.35">
      <c r="A187" s="17">
        <v>2005</v>
      </c>
      <c r="B187" s="4">
        <v>134098</v>
      </c>
      <c r="C187" s="4" t="s">
        <v>192</v>
      </c>
      <c r="D187" s="4" t="s">
        <v>193</v>
      </c>
      <c r="E187" s="15" t="s">
        <v>32</v>
      </c>
      <c r="F187" s="16" t="s">
        <v>27</v>
      </c>
      <c r="G187" s="215"/>
      <c r="H187" s="363">
        <v>0</v>
      </c>
      <c r="I187" s="410"/>
      <c r="J187" s="363">
        <v>0</v>
      </c>
      <c r="K187" s="363">
        <v>0</v>
      </c>
      <c r="L187" s="363">
        <v>40262.976000000002</v>
      </c>
      <c r="M187" s="363">
        <v>1755</v>
      </c>
      <c r="N187" s="363">
        <v>671.21052631578948</v>
      </c>
      <c r="O187" s="363">
        <v>0</v>
      </c>
      <c r="P187" s="215">
        <f t="shared" si="55"/>
        <v>42689.186526315789</v>
      </c>
      <c r="Q187" s="363">
        <f t="shared" si="56"/>
        <v>34151.349221052631</v>
      </c>
      <c r="R187" s="410"/>
      <c r="S187" s="363">
        <v>0</v>
      </c>
      <c r="T187" s="363">
        <v>0</v>
      </c>
      <c r="U187" s="363">
        <v>46039.006000000001</v>
      </c>
      <c r="V187" s="363">
        <v>1170</v>
      </c>
      <c r="W187" s="363">
        <v>447.47368421052636</v>
      </c>
      <c r="X187" s="363">
        <v>0</v>
      </c>
      <c r="Y187" s="363">
        <f t="shared" si="57"/>
        <v>47656.479684210528</v>
      </c>
      <c r="Z187" s="363">
        <f t="shared" si="58"/>
        <v>38125.183747368421</v>
      </c>
      <c r="AA187" s="410"/>
      <c r="AB187" s="411">
        <v>0</v>
      </c>
      <c r="AC187" s="411">
        <v>0</v>
      </c>
      <c r="AD187" s="411">
        <v>36571.702736842104</v>
      </c>
      <c r="AE187" s="411">
        <v>1364.2105263157894</v>
      </c>
      <c r="AF187" s="411">
        <v>521.7506925207756</v>
      </c>
      <c r="AG187" s="411">
        <v>0</v>
      </c>
      <c r="AH187" s="363">
        <f t="shared" si="59"/>
        <v>38457.663955678669</v>
      </c>
      <c r="AI187" s="411">
        <f t="shared" si="60"/>
        <v>30766.131164542938</v>
      </c>
      <c r="AJ187" s="410"/>
      <c r="AK187" s="411">
        <v>150.15</v>
      </c>
      <c r="AL187" s="411">
        <v>134.55000000000001</v>
      </c>
      <c r="AM187" s="411">
        <v>126.75789473684208</v>
      </c>
      <c r="AN187" s="410"/>
      <c r="AO187" s="411">
        <f t="shared" si="61"/>
        <v>120.12</v>
      </c>
      <c r="AP187" s="411">
        <f t="shared" si="61"/>
        <v>107.64000000000001</v>
      </c>
      <c r="AQ187" s="411">
        <f t="shared" si="61"/>
        <v>101.40631578947367</v>
      </c>
      <c r="AR187" s="412"/>
      <c r="AS187" s="412">
        <v>0</v>
      </c>
      <c r="AT187" s="413">
        <f t="shared" si="62"/>
        <v>0</v>
      </c>
      <c r="AU187" s="412"/>
      <c r="AV187" s="412">
        <v>0</v>
      </c>
      <c r="AW187" s="412">
        <v>0</v>
      </c>
      <c r="AX187" s="412">
        <v>46465.77</v>
      </c>
      <c r="AY187" s="412">
        <v>1560</v>
      </c>
      <c r="AZ187" s="412">
        <v>596.63157894736844</v>
      </c>
      <c r="BA187" s="412">
        <v>0</v>
      </c>
      <c r="BB187" s="412">
        <v>191.1</v>
      </c>
      <c r="BC187" s="412">
        <f t="shared" si="63"/>
        <v>48813.501578947362</v>
      </c>
      <c r="BE187" s="205">
        <f t="shared" si="73"/>
        <v>0</v>
      </c>
      <c r="BF187" s="205">
        <f t="shared" si="73"/>
        <v>0</v>
      </c>
      <c r="BG187" s="205">
        <f t="shared" si="73"/>
        <v>6202.7939999999944</v>
      </c>
      <c r="BH187" s="205">
        <f t="shared" si="73"/>
        <v>-195</v>
      </c>
      <c r="BI187" s="205">
        <f t="shared" si="73"/>
        <v>-74.578947368421041</v>
      </c>
      <c r="BJ187" s="205">
        <f t="shared" si="73"/>
        <v>0</v>
      </c>
      <c r="BK187" s="205">
        <f t="shared" si="64"/>
        <v>40.949999999999989</v>
      </c>
      <c r="BL187" s="205">
        <f t="shared" si="65"/>
        <v>5974.1650526315734</v>
      </c>
      <c r="BM187" s="215">
        <f t="shared" si="66"/>
        <v>0</v>
      </c>
      <c r="BN187" s="215"/>
      <c r="BO187" s="412">
        <f t="shared" ref="BO187:BT207" si="74">AV187-(J187*80%)</f>
        <v>0</v>
      </c>
      <c r="BP187" s="412">
        <f t="shared" si="74"/>
        <v>0</v>
      </c>
      <c r="BQ187" s="412">
        <f t="shared" si="74"/>
        <v>14255.389199999994</v>
      </c>
      <c r="BR187" s="412">
        <f t="shared" si="74"/>
        <v>156</v>
      </c>
      <c r="BS187" s="412">
        <f t="shared" si="74"/>
        <v>59.663157894736855</v>
      </c>
      <c r="BT187" s="412">
        <f t="shared" si="74"/>
        <v>0</v>
      </c>
      <c r="BU187" s="412">
        <f t="shared" si="72"/>
        <v>70.97999999999999</v>
      </c>
      <c r="BV187" s="412">
        <f t="shared" si="67"/>
        <v>14542.03235789473</v>
      </c>
      <c r="BW187" s="412">
        <f t="shared" si="52"/>
        <v>0</v>
      </c>
      <c r="BX187" s="412"/>
      <c r="BY187" s="412">
        <f t="shared" si="68"/>
        <v>48813.501578947362</v>
      </c>
      <c r="BZ187" s="412"/>
      <c r="CA187" s="412">
        <f>IFERROR(VLOOKUP(A187,'Actuals Summer'!A:S,19,FALSE),0)</f>
        <v>48813.501578947362</v>
      </c>
      <c r="CC187" s="412"/>
      <c r="CD187" s="412"/>
      <c r="CE187" s="412"/>
      <c r="CF187" s="412"/>
      <c r="CG187" s="412"/>
      <c r="CH187" s="412"/>
      <c r="CI187" s="412"/>
      <c r="CJ187" s="412"/>
      <c r="CK187" s="412"/>
      <c r="CL187" s="412"/>
      <c r="CM187" s="412"/>
      <c r="CN187" s="412"/>
      <c r="CO187" s="412"/>
      <c r="CQ187" s="363"/>
      <c r="CR187" s="363"/>
      <c r="CS187" s="363"/>
      <c r="CT187" s="363"/>
      <c r="CU187" s="363"/>
      <c r="CV187" s="363"/>
      <c r="CW187" s="363"/>
      <c r="CX187" s="363"/>
      <c r="CZ187" s="414"/>
      <c r="DA187" s="414"/>
      <c r="DB187" s="414"/>
      <c r="DC187" s="414"/>
      <c r="DD187" s="414"/>
      <c r="DE187" s="414"/>
      <c r="DF187" s="414"/>
      <c r="DG187" s="414"/>
      <c r="DI187" s="414">
        <f t="shared" si="69"/>
        <v>0</v>
      </c>
      <c r="DJ187" s="414"/>
      <c r="DK187" s="414"/>
      <c r="DL187" s="414"/>
      <c r="DM187" s="414"/>
      <c r="DN187" s="414"/>
      <c r="DO187" s="414"/>
      <c r="DP187" s="414"/>
      <c r="DQ187" s="414"/>
      <c r="DS187" s="414"/>
      <c r="DT187" s="414"/>
      <c r="DU187" s="414"/>
      <c r="DV187" s="414"/>
      <c r="DW187" s="414"/>
      <c r="DX187" s="414"/>
      <c r="DY187" s="414"/>
      <c r="DZ187" s="414"/>
      <c r="EB187" s="415">
        <f t="shared" si="53"/>
        <v>117913.86280664819</v>
      </c>
      <c r="EC187" s="415">
        <f t="shared" si="54"/>
        <v>0</v>
      </c>
      <c r="ED187" s="416">
        <f t="shared" si="70"/>
        <v>117913.86280664819</v>
      </c>
    </row>
    <row r="188" spans="1:134" hidden="1" x14ac:dyDescent="0.35">
      <c r="A188" s="17">
        <v>1024</v>
      </c>
      <c r="B188" s="4">
        <v>103137</v>
      </c>
      <c r="C188" s="4" t="s">
        <v>194</v>
      </c>
      <c r="D188" s="4" t="s">
        <v>195</v>
      </c>
      <c r="E188" s="15" t="s">
        <v>26</v>
      </c>
      <c r="F188" s="16" t="s">
        <v>27</v>
      </c>
      <c r="G188" s="215"/>
      <c r="H188" s="363">
        <v>207290.77731782084</v>
      </c>
      <c r="I188" s="410"/>
      <c r="J188" s="363">
        <v>0</v>
      </c>
      <c r="K188" s="363">
        <v>43145.7</v>
      </c>
      <c r="L188" s="363">
        <v>81673.8</v>
      </c>
      <c r="M188" s="363">
        <v>8775</v>
      </c>
      <c r="N188" s="363">
        <v>3356.0526315789475</v>
      </c>
      <c r="O188" s="363">
        <v>0</v>
      </c>
      <c r="P188" s="215">
        <f t="shared" si="55"/>
        <v>136950.55263157896</v>
      </c>
      <c r="Q188" s="363">
        <f t="shared" si="56"/>
        <v>109560.44210526318</v>
      </c>
      <c r="R188" s="410"/>
      <c r="S188" s="363">
        <v>0</v>
      </c>
      <c r="T188" s="363">
        <v>66378</v>
      </c>
      <c r="U188" s="363">
        <v>48562.8</v>
      </c>
      <c r="V188" s="363">
        <v>8580</v>
      </c>
      <c r="W188" s="363">
        <v>3281.4736842105262</v>
      </c>
      <c r="X188" s="363">
        <v>0</v>
      </c>
      <c r="Y188" s="363">
        <f t="shared" si="57"/>
        <v>126802.27368421052</v>
      </c>
      <c r="Z188" s="363">
        <f t="shared" si="58"/>
        <v>101441.81894736842</v>
      </c>
      <c r="AA188" s="410"/>
      <c r="AB188" s="411">
        <v>0</v>
      </c>
      <c r="AC188" s="411">
        <v>38698.105263157893</v>
      </c>
      <c r="AD188" s="411">
        <v>59519.368421052641</v>
      </c>
      <c r="AE188" s="411">
        <v>6707.3684210526317</v>
      </c>
      <c r="AF188" s="411">
        <v>2565.2742382271467</v>
      </c>
      <c r="AG188" s="411">
        <v>0</v>
      </c>
      <c r="AH188" s="363">
        <f t="shared" si="59"/>
        <v>107490.11634349031</v>
      </c>
      <c r="AI188" s="411">
        <f t="shared" si="60"/>
        <v>85992.093074792254</v>
      </c>
      <c r="AJ188" s="410"/>
      <c r="AK188" s="411">
        <v>6002.1</v>
      </c>
      <c r="AL188" s="411">
        <v>4843.7999999999993</v>
      </c>
      <c r="AM188" s="411">
        <v>4358.6526315789479</v>
      </c>
      <c r="AN188" s="410"/>
      <c r="AO188" s="411">
        <f t="shared" si="61"/>
        <v>4801.68</v>
      </c>
      <c r="AP188" s="411">
        <f t="shared" si="61"/>
        <v>3875.0399999999995</v>
      </c>
      <c r="AQ188" s="411">
        <f t="shared" si="61"/>
        <v>3486.9221052631583</v>
      </c>
      <c r="AR188" s="412"/>
      <c r="AS188" s="412">
        <v>212980.19602382425</v>
      </c>
      <c r="AT188" s="413">
        <f t="shared" si="62"/>
        <v>5689.4187060034019</v>
      </c>
      <c r="AU188" s="412"/>
      <c r="AV188" s="412">
        <v>0</v>
      </c>
      <c r="AW188" s="412">
        <v>43145.7</v>
      </c>
      <c r="AX188" s="412">
        <v>76892.232000000004</v>
      </c>
      <c r="AY188" s="412">
        <v>11310</v>
      </c>
      <c r="AZ188" s="412">
        <v>3878.105263157895</v>
      </c>
      <c r="BA188" s="412">
        <v>320.89</v>
      </c>
      <c r="BB188" s="412">
        <v>5826.6</v>
      </c>
      <c r="BC188" s="412">
        <f t="shared" si="63"/>
        <v>354353.72328698216</v>
      </c>
      <c r="BE188" s="205">
        <f t="shared" si="73"/>
        <v>0</v>
      </c>
      <c r="BF188" s="205">
        <f t="shared" si="73"/>
        <v>0</v>
      </c>
      <c r="BG188" s="205">
        <f t="shared" si="73"/>
        <v>-4781.5679999999993</v>
      </c>
      <c r="BH188" s="205">
        <f t="shared" si="73"/>
        <v>2535</v>
      </c>
      <c r="BI188" s="205">
        <f t="shared" si="73"/>
        <v>522.05263157894751</v>
      </c>
      <c r="BJ188" s="205">
        <f t="shared" si="73"/>
        <v>320.89</v>
      </c>
      <c r="BK188" s="205">
        <f t="shared" si="64"/>
        <v>-175.5</v>
      </c>
      <c r="BL188" s="205">
        <f t="shared" si="65"/>
        <v>4110.2933375823504</v>
      </c>
      <c r="BM188" s="215">
        <f t="shared" si="66"/>
        <v>0</v>
      </c>
      <c r="BN188" s="215"/>
      <c r="BO188" s="412">
        <f t="shared" si="74"/>
        <v>0</v>
      </c>
      <c r="BP188" s="412">
        <f t="shared" si="74"/>
        <v>8629.14</v>
      </c>
      <c r="BQ188" s="412">
        <f t="shared" si="74"/>
        <v>11553.191999999995</v>
      </c>
      <c r="BR188" s="412">
        <f t="shared" si="74"/>
        <v>4290</v>
      </c>
      <c r="BS188" s="412">
        <f t="shared" si="74"/>
        <v>1193.2631578947367</v>
      </c>
      <c r="BT188" s="412">
        <f t="shared" si="74"/>
        <v>320.89</v>
      </c>
      <c r="BU188" s="412">
        <f t="shared" si="72"/>
        <v>1024.92</v>
      </c>
      <c r="BV188" s="412">
        <f t="shared" si="67"/>
        <v>27011.405157894733</v>
      </c>
      <c r="BW188" s="412">
        <f t="shared" si="52"/>
        <v>-5689.4187060034019</v>
      </c>
      <c r="BX188" s="412"/>
      <c r="BY188" s="412">
        <f t="shared" si="68"/>
        <v>141373.52726315791</v>
      </c>
      <c r="BZ188" s="412"/>
      <c r="CA188" s="412">
        <f>IFERROR(VLOOKUP(A188,'Actuals Summer'!A:S,19,FALSE),0)</f>
        <v>141373.52726315791</v>
      </c>
      <c r="CC188" s="412"/>
      <c r="CD188" s="412"/>
      <c r="CE188" s="412"/>
      <c r="CF188" s="412"/>
      <c r="CG188" s="412"/>
      <c r="CH188" s="412"/>
      <c r="CI188" s="412"/>
      <c r="CJ188" s="412"/>
      <c r="CK188" s="412"/>
      <c r="CL188" s="412"/>
      <c r="CM188" s="412"/>
      <c r="CN188" s="412"/>
      <c r="CO188" s="412"/>
      <c r="CQ188" s="363"/>
      <c r="CR188" s="363"/>
      <c r="CS188" s="363"/>
      <c r="CT188" s="363"/>
      <c r="CU188" s="363"/>
      <c r="CV188" s="363"/>
      <c r="CW188" s="363"/>
      <c r="CX188" s="363"/>
      <c r="CZ188" s="414"/>
      <c r="DA188" s="414"/>
      <c r="DB188" s="414"/>
      <c r="DC188" s="414"/>
      <c r="DD188" s="414"/>
      <c r="DE188" s="414"/>
      <c r="DF188" s="414"/>
      <c r="DG188" s="414"/>
      <c r="DI188" s="414">
        <f t="shared" si="69"/>
        <v>0</v>
      </c>
      <c r="DJ188" s="414"/>
      <c r="DK188" s="414"/>
      <c r="DL188" s="414"/>
      <c r="DM188" s="414"/>
      <c r="DN188" s="414"/>
      <c r="DO188" s="414"/>
      <c r="DP188" s="414"/>
      <c r="DQ188" s="414"/>
      <c r="DS188" s="414"/>
      <c r="DT188" s="414"/>
      <c r="DU188" s="414"/>
      <c r="DV188" s="414"/>
      <c r="DW188" s="414"/>
      <c r="DX188" s="414"/>
      <c r="DY188" s="414"/>
      <c r="DZ188" s="414"/>
      <c r="EB188" s="415">
        <f t="shared" si="53"/>
        <v>548828.707414406</v>
      </c>
      <c r="EC188" s="415">
        <f t="shared" si="54"/>
        <v>320.89</v>
      </c>
      <c r="ED188" s="416">
        <f t="shared" si="70"/>
        <v>549149.59741440602</v>
      </c>
    </row>
    <row r="189" spans="1:134" hidden="1" x14ac:dyDescent="0.35">
      <c r="A189" s="17">
        <v>2004</v>
      </c>
      <c r="B189" s="4">
        <v>134094</v>
      </c>
      <c r="C189" s="4" t="s">
        <v>196</v>
      </c>
      <c r="D189" s="4" t="s">
        <v>197</v>
      </c>
      <c r="E189" s="15" t="s">
        <v>32</v>
      </c>
      <c r="F189" s="16" t="s">
        <v>27</v>
      </c>
      <c r="G189" s="215"/>
      <c r="H189" s="363">
        <v>0</v>
      </c>
      <c r="I189" s="410"/>
      <c r="J189" s="363">
        <v>0</v>
      </c>
      <c r="K189" s="363">
        <v>0</v>
      </c>
      <c r="L189" s="363">
        <v>16555.5</v>
      </c>
      <c r="M189" s="363">
        <v>975</v>
      </c>
      <c r="N189" s="363">
        <v>0</v>
      </c>
      <c r="O189" s="363">
        <v>0</v>
      </c>
      <c r="P189" s="215">
        <f t="shared" si="55"/>
        <v>17530.5</v>
      </c>
      <c r="Q189" s="363">
        <f t="shared" si="56"/>
        <v>14024.400000000001</v>
      </c>
      <c r="R189" s="410"/>
      <c r="S189" s="363">
        <v>0</v>
      </c>
      <c r="T189" s="363">
        <v>0</v>
      </c>
      <c r="U189" s="363">
        <v>16555.5</v>
      </c>
      <c r="V189" s="363">
        <v>1170</v>
      </c>
      <c r="W189" s="363">
        <v>0</v>
      </c>
      <c r="X189" s="363">
        <v>0</v>
      </c>
      <c r="Y189" s="363">
        <f t="shared" si="57"/>
        <v>17725.5</v>
      </c>
      <c r="Z189" s="363">
        <f t="shared" si="58"/>
        <v>14180.400000000001</v>
      </c>
      <c r="AA189" s="410"/>
      <c r="AB189" s="411">
        <v>0</v>
      </c>
      <c r="AC189" s="411">
        <v>0</v>
      </c>
      <c r="AD189" s="411">
        <v>14477.684210526317</v>
      </c>
      <c r="AE189" s="411">
        <v>852.63157894736844</v>
      </c>
      <c r="AF189" s="411">
        <v>0</v>
      </c>
      <c r="AG189" s="411">
        <v>0</v>
      </c>
      <c r="AH189" s="363">
        <f t="shared" si="59"/>
        <v>15330.315789473685</v>
      </c>
      <c r="AI189" s="411">
        <f t="shared" si="60"/>
        <v>12264.252631578949</v>
      </c>
      <c r="AJ189" s="410"/>
      <c r="AK189" s="411">
        <v>181.35</v>
      </c>
      <c r="AL189" s="411">
        <v>347.1</v>
      </c>
      <c r="AM189" s="411">
        <v>206.90526315789475</v>
      </c>
      <c r="AN189" s="410"/>
      <c r="AO189" s="411">
        <f t="shared" si="61"/>
        <v>145.08000000000001</v>
      </c>
      <c r="AP189" s="411">
        <f t="shared" si="61"/>
        <v>277.68</v>
      </c>
      <c r="AQ189" s="411">
        <f t="shared" si="61"/>
        <v>165.52421052631581</v>
      </c>
      <c r="AR189" s="412"/>
      <c r="AS189" s="412">
        <v>0</v>
      </c>
      <c r="AT189" s="413">
        <f t="shared" si="62"/>
        <v>0</v>
      </c>
      <c r="AU189" s="412"/>
      <c r="AV189" s="412">
        <v>0</v>
      </c>
      <c r="AW189" s="412">
        <v>0</v>
      </c>
      <c r="AX189" s="412">
        <v>17659.2</v>
      </c>
      <c r="AY189" s="412">
        <v>1365</v>
      </c>
      <c r="AZ189" s="412">
        <v>0</v>
      </c>
      <c r="BA189" s="412">
        <v>0</v>
      </c>
      <c r="BB189" s="412">
        <v>362.7</v>
      </c>
      <c r="BC189" s="412">
        <f t="shared" si="63"/>
        <v>19386.900000000001</v>
      </c>
      <c r="BE189" s="205">
        <f t="shared" si="73"/>
        <v>0</v>
      </c>
      <c r="BF189" s="205">
        <f t="shared" si="73"/>
        <v>0</v>
      </c>
      <c r="BG189" s="205">
        <f t="shared" si="73"/>
        <v>1103.7000000000007</v>
      </c>
      <c r="BH189" s="205">
        <f t="shared" si="73"/>
        <v>390</v>
      </c>
      <c r="BI189" s="205">
        <f t="shared" si="73"/>
        <v>0</v>
      </c>
      <c r="BJ189" s="205">
        <f t="shared" si="73"/>
        <v>0</v>
      </c>
      <c r="BK189" s="205">
        <f t="shared" si="64"/>
        <v>181.35</v>
      </c>
      <c r="BL189" s="205">
        <f t="shared" si="65"/>
        <v>1675.0500000000006</v>
      </c>
      <c r="BM189" s="215">
        <f t="shared" si="66"/>
        <v>0</v>
      </c>
      <c r="BN189" s="215"/>
      <c r="BO189" s="412">
        <f t="shared" si="74"/>
        <v>0</v>
      </c>
      <c r="BP189" s="412">
        <f t="shared" si="74"/>
        <v>0</v>
      </c>
      <c r="BQ189" s="412">
        <f t="shared" si="74"/>
        <v>4414.7999999999993</v>
      </c>
      <c r="BR189" s="412">
        <f t="shared" si="74"/>
        <v>585</v>
      </c>
      <c r="BS189" s="412">
        <f t="shared" si="74"/>
        <v>0</v>
      </c>
      <c r="BT189" s="412">
        <f t="shared" si="74"/>
        <v>0</v>
      </c>
      <c r="BU189" s="412">
        <f t="shared" si="72"/>
        <v>217.61999999999998</v>
      </c>
      <c r="BV189" s="412">
        <f t="shared" si="67"/>
        <v>5217.4199999999992</v>
      </c>
      <c r="BW189" s="412">
        <f t="shared" si="52"/>
        <v>0</v>
      </c>
      <c r="BX189" s="412"/>
      <c r="BY189" s="412">
        <f t="shared" si="68"/>
        <v>19386.900000000001</v>
      </c>
      <c r="BZ189" s="412"/>
      <c r="CA189" s="412">
        <f>IFERROR(VLOOKUP(A189,'Actuals Summer'!A:S,19,FALSE),0)</f>
        <v>19386.900000000001</v>
      </c>
      <c r="CC189" s="412"/>
      <c r="CD189" s="412"/>
      <c r="CE189" s="412"/>
      <c r="CF189" s="412"/>
      <c r="CG189" s="412"/>
      <c r="CH189" s="412"/>
      <c r="CI189" s="412"/>
      <c r="CJ189" s="412"/>
      <c r="CK189" s="412"/>
      <c r="CL189" s="412"/>
      <c r="CM189" s="412"/>
      <c r="CN189" s="412"/>
      <c r="CO189" s="412"/>
      <c r="CQ189" s="363"/>
      <c r="CR189" s="363"/>
      <c r="CS189" s="363"/>
      <c r="CT189" s="363"/>
      <c r="CU189" s="363"/>
      <c r="CV189" s="363"/>
      <c r="CW189" s="363"/>
      <c r="CX189" s="363"/>
      <c r="CZ189" s="414"/>
      <c r="DA189" s="414"/>
      <c r="DB189" s="414"/>
      <c r="DC189" s="414"/>
      <c r="DD189" s="414"/>
      <c r="DE189" s="414"/>
      <c r="DF189" s="414"/>
      <c r="DG189" s="414"/>
      <c r="DI189" s="414">
        <f t="shared" si="69"/>
        <v>0</v>
      </c>
      <c r="DJ189" s="414"/>
      <c r="DK189" s="414"/>
      <c r="DL189" s="414"/>
      <c r="DM189" s="414"/>
      <c r="DN189" s="414"/>
      <c r="DO189" s="414"/>
      <c r="DP189" s="414"/>
      <c r="DQ189" s="414"/>
      <c r="DS189" s="414"/>
      <c r="DT189" s="414"/>
      <c r="DU189" s="414"/>
      <c r="DV189" s="414"/>
      <c r="DW189" s="414"/>
      <c r="DX189" s="414"/>
      <c r="DY189" s="414"/>
      <c r="DZ189" s="414"/>
      <c r="EB189" s="415">
        <f t="shared" si="53"/>
        <v>46274.756842105271</v>
      </c>
      <c r="EC189" s="415">
        <f t="shared" si="54"/>
        <v>0</v>
      </c>
      <c r="ED189" s="416">
        <f t="shared" si="70"/>
        <v>46274.756842105271</v>
      </c>
    </row>
    <row r="190" spans="1:134" s="422" customFormat="1" hidden="1" x14ac:dyDescent="0.35">
      <c r="A190" s="18">
        <v>3431</v>
      </c>
      <c r="B190" s="19">
        <v>134774</v>
      </c>
      <c r="C190" s="19" t="s">
        <v>198</v>
      </c>
      <c r="D190" s="19" t="s">
        <v>199</v>
      </c>
      <c r="E190" s="20" t="s">
        <v>32</v>
      </c>
      <c r="F190" s="21" t="s">
        <v>49</v>
      </c>
      <c r="G190" s="417"/>
      <c r="H190" s="418">
        <v>0</v>
      </c>
      <c r="I190" s="418"/>
      <c r="J190" s="418">
        <v>0</v>
      </c>
      <c r="K190" s="418">
        <v>0</v>
      </c>
      <c r="L190" s="418">
        <v>82777.5</v>
      </c>
      <c r="M190" s="418">
        <v>1365</v>
      </c>
      <c r="N190" s="418">
        <v>0</v>
      </c>
      <c r="O190" s="418">
        <v>0</v>
      </c>
      <c r="P190" s="417">
        <f t="shared" si="55"/>
        <v>84142.5</v>
      </c>
      <c r="Q190" s="418">
        <f t="shared" si="56"/>
        <v>67314</v>
      </c>
      <c r="R190" s="418"/>
      <c r="S190" s="418"/>
      <c r="T190" s="418"/>
      <c r="U190" s="418"/>
      <c r="V190" s="418"/>
      <c r="W190" s="418"/>
      <c r="X190" s="418"/>
      <c r="Y190" s="418"/>
      <c r="Z190" s="418"/>
      <c r="AA190" s="418"/>
      <c r="AB190" s="419"/>
      <c r="AC190" s="419"/>
      <c r="AD190" s="419"/>
      <c r="AE190" s="419"/>
      <c r="AF190" s="419"/>
      <c r="AG190" s="419"/>
      <c r="AH190" s="418"/>
      <c r="AI190" s="419"/>
      <c r="AJ190" s="418"/>
      <c r="AK190" s="419">
        <v>1023.75</v>
      </c>
      <c r="AL190" s="419"/>
      <c r="AM190" s="419"/>
      <c r="AN190" s="418"/>
      <c r="AO190" s="419">
        <f t="shared" si="61"/>
        <v>819</v>
      </c>
      <c r="AP190" s="419">
        <f t="shared" si="61"/>
        <v>0</v>
      </c>
      <c r="AQ190" s="419">
        <f t="shared" si="61"/>
        <v>0</v>
      </c>
      <c r="AR190" s="420"/>
      <c r="AS190" s="420">
        <v>0</v>
      </c>
      <c r="AT190" s="421">
        <f t="shared" si="62"/>
        <v>0</v>
      </c>
      <c r="AU190" s="420"/>
      <c r="AV190" s="420">
        <v>0</v>
      </c>
      <c r="AW190" s="420">
        <v>0</v>
      </c>
      <c r="AX190" s="420">
        <v>80570.100000000006</v>
      </c>
      <c r="AY190" s="420">
        <v>780</v>
      </c>
      <c r="AZ190" s="420">
        <v>298.31578947368422</v>
      </c>
      <c r="BA190" s="420">
        <v>320.89</v>
      </c>
      <c r="BB190" s="420">
        <v>698.09999999999991</v>
      </c>
      <c r="BC190" s="420">
        <f t="shared" si="63"/>
        <v>82667.405789473691</v>
      </c>
      <c r="BE190" s="214">
        <f t="shared" si="73"/>
        <v>0</v>
      </c>
      <c r="BF190" s="214">
        <f t="shared" si="73"/>
        <v>0</v>
      </c>
      <c r="BG190" s="214">
        <f t="shared" si="73"/>
        <v>-2207.3999999999942</v>
      </c>
      <c r="BH190" s="214">
        <f t="shared" si="73"/>
        <v>-585</v>
      </c>
      <c r="BI190" s="214">
        <f t="shared" si="73"/>
        <v>298.31578947368422</v>
      </c>
      <c r="BJ190" s="214">
        <f t="shared" si="73"/>
        <v>320.89</v>
      </c>
      <c r="BK190" s="214">
        <f t="shared" si="64"/>
        <v>-325.65000000000009</v>
      </c>
      <c r="BL190" s="214">
        <f t="shared" si="65"/>
        <v>-2498.8442105263102</v>
      </c>
      <c r="BM190" s="417">
        <f t="shared" si="66"/>
        <v>0</v>
      </c>
      <c r="BN190" s="417"/>
      <c r="BO190" s="420">
        <f t="shared" si="74"/>
        <v>0</v>
      </c>
      <c r="BP190" s="420">
        <f t="shared" si="74"/>
        <v>0</v>
      </c>
      <c r="BQ190" s="420">
        <f t="shared" si="74"/>
        <v>14348.100000000006</v>
      </c>
      <c r="BR190" s="420">
        <f t="shared" si="74"/>
        <v>-312</v>
      </c>
      <c r="BS190" s="420">
        <f t="shared" si="74"/>
        <v>298.31578947368422</v>
      </c>
      <c r="BT190" s="420">
        <f t="shared" si="74"/>
        <v>320.89</v>
      </c>
      <c r="BU190" s="420">
        <f t="shared" si="72"/>
        <v>-120.90000000000009</v>
      </c>
      <c r="BV190" s="412">
        <f t="shared" si="67"/>
        <v>14534.405789473691</v>
      </c>
      <c r="BW190" s="420">
        <f t="shared" si="52"/>
        <v>0</v>
      </c>
      <c r="BX190" s="420"/>
      <c r="BY190" s="412">
        <f t="shared" si="68"/>
        <v>82667.405789473691</v>
      </c>
      <c r="BZ190" s="420"/>
      <c r="CA190" s="412">
        <f>IFERROR(VLOOKUP(A190,'Actuals Summer'!A:S,19,FALSE),0)</f>
        <v>82667.405789473691</v>
      </c>
      <c r="CC190" s="412"/>
      <c r="CD190" s="412"/>
      <c r="CE190" s="412"/>
      <c r="CF190" s="412"/>
      <c r="CG190" s="412"/>
      <c r="CH190" s="412"/>
      <c r="CI190" s="412"/>
      <c r="CJ190" s="412"/>
      <c r="CK190" s="412"/>
      <c r="CL190" s="412"/>
      <c r="CM190" s="412"/>
      <c r="CN190" s="412"/>
      <c r="CO190" s="412"/>
      <c r="CP190"/>
      <c r="CQ190" s="363"/>
      <c r="CR190" s="363"/>
      <c r="CS190" s="363"/>
      <c r="CT190" s="363"/>
      <c r="CU190" s="363"/>
      <c r="CV190" s="363"/>
      <c r="CW190" s="363"/>
      <c r="CX190" s="363"/>
      <c r="CY190"/>
      <c r="CZ190" s="414"/>
      <c r="DA190" s="414"/>
      <c r="DB190" s="414"/>
      <c r="DC190" s="414"/>
      <c r="DD190" s="414"/>
      <c r="DE190" s="414"/>
      <c r="DF190" s="414"/>
      <c r="DG190" s="414"/>
      <c r="DH190"/>
      <c r="DI190" s="414">
        <f t="shared" si="69"/>
        <v>0</v>
      </c>
      <c r="DJ190" s="423"/>
      <c r="DK190" s="423"/>
      <c r="DL190" s="423"/>
      <c r="DM190" s="423"/>
      <c r="DN190" s="423"/>
      <c r="DO190" s="423"/>
      <c r="DP190" s="423"/>
      <c r="DQ190" s="423"/>
      <c r="DS190" s="423"/>
      <c r="DT190" s="423"/>
      <c r="DU190" s="423"/>
      <c r="DV190" s="423"/>
      <c r="DW190" s="423"/>
      <c r="DX190" s="423"/>
      <c r="DY190" s="423"/>
      <c r="DZ190" s="423"/>
      <c r="EB190" s="425">
        <f t="shared" si="53"/>
        <v>82346.515789473691</v>
      </c>
      <c r="EC190" s="425">
        <f t="shared" si="54"/>
        <v>320.89</v>
      </c>
      <c r="ED190" s="424">
        <f t="shared" si="70"/>
        <v>82667.405789473691</v>
      </c>
    </row>
    <row r="191" spans="1:134" hidden="1" x14ac:dyDescent="0.35">
      <c r="A191" s="17">
        <v>1028</v>
      </c>
      <c r="B191" s="4">
        <v>103141</v>
      </c>
      <c r="C191" s="4" t="s">
        <v>200</v>
      </c>
      <c r="D191" s="4" t="s">
        <v>201</v>
      </c>
      <c r="E191" s="15" t="s">
        <v>26</v>
      </c>
      <c r="F191" s="16" t="s">
        <v>27</v>
      </c>
      <c r="G191" s="215"/>
      <c r="H191" s="363">
        <v>203311.90064820071</v>
      </c>
      <c r="I191" s="410"/>
      <c r="J191" s="363">
        <v>0</v>
      </c>
      <c r="K191" s="363">
        <v>41486.25</v>
      </c>
      <c r="L191" s="363">
        <v>79466.400000000009</v>
      </c>
      <c r="M191" s="363">
        <v>9945</v>
      </c>
      <c r="N191" s="363">
        <v>1939.0526315789475</v>
      </c>
      <c r="O191" s="363">
        <v>1283.578947368421</v>
      </c>
      <c r="P191" s="215">
        <f t="shared" si="55"/>
        <v>134120.28157894738</v>
      </c>
      <c r="Q191" s="363">
        <f t="shared" si="56"/>
        <v>107296.22526315792</v>
      </c>
      <c r="R191" s="410"/>
      <c r="S191" s="363">
        <v>0</v>
      </c>
      <c r="T191" s="363">
        <v>54761.85</v>
      </c>
      <c r="U191" s="363">
        <v>44148.000000000007</v>
      </c>
      <c r="V191" s="363">
        <v>4680</v>
      </c>
      <c r="W191" s="363">
        <v>1044.1052631578948</v>
      </c>
      <c r="X191" s="363">
        <v>1604.4736842105262</v>
      </c>
      <c r="Y191" s="363">
        <f t="shared" si="57"/>
        <v>106238.42894736842</v>
      </c>
      <c r="Z191" s="363">
        <f t="shared" si="58"/>
        <v>84990.743157894743</v>
      </c>
      <c r="AA191" s="410"/>
      <c r="AB191" s="411">
        <v>0</v>
      </c>
      <c r="AC191" s="411">
        <v>39665.557894736841</v>
      </c>
      <c r="AD191" s="411">
        <v>53728.294736842101</v>
      </c>
      <c r="AE191" s="411">
        <v>6536.8421052631575</v>
      </c>
      <c r="AF191" s="411">
        <v>1282.6371191135734</v>
      </c>
      <c r="AG191" s="411">
        <v>841.86149584487532</v>
      </c>
      <c r="AH191" s="363">
        <f t="shared" si="59"/>
        <v>102055.19335180055</v>
      </c>
      <c r="AI191" s="411">
        <f t="shared" si="60"/>
        <v>81644.154681440443</v>
      </c>
      <c r="AJ191" s="410"/>
      <c r="AK191" s="411">
        <v>7778.5499999999993</v>
      </c>
      <c r="AL191" s="411">
        <v>5604.2999999999993</v>
      </c>
      <c r="AM191" s="411">
        <v>5284.0421052631573</v>
      </c>
      <c r="AN191" s="410"/>
      <c r="AO191" s="411">
        <f t="shared" si="61"/>
        <v>6222.84</v>
      </c>
      <c r="AP191" s="411">
        <f t="shared" si="61"/>
        <v>4483.4399999999996</v>
      </c>
      <c r="AQ191" s="411">
        <f t="shared" si="61"/>
        <v>4227.233684210526</v>
      </c>
      <c r="AR191" s="412"/>
      <c r="AS191" s="412">
        <v>209251.10676641593</v>
      </c>
      <c r="AT191" s="413">
        <f t="shared" si="62"/>
        <v>5939.2061182152247</v>
      </c>
      <c r="AU191" s="412"/>
      <c r="AV191" s="412">
        <v>0</v>
      </c>
      <c r="AW191" s="412">
        <v>41486.25</v>
      </c>
      <c r="AX191" s="412">
        <v>83881.200000000012</v>
      </c>
      <c r="AY191" s="412">
        <v>14430</v>
      </c>
      <c r="AZ191" s="412">
        <v>1939.0526315789475</v>
      </c>
      <c r="BA191" s="412">
        <v>1925.34</v>
      </c>
      <c r="BB191" s="412">
        <v>8901.75</v>
      </c>
      <c r="BC191" s="412">
        <f t="shared" si="63"/>
        <v>361814.6993979949</v>
      </c>
      <c r="BE191" s="205">
        <f t="shared" si="73"/>
        <v>0</v>
      </c>
      <c r="BF191" s="205">
        <f t="shared" si="73"/>
        <v>0</v>
      </c>
      <c r="BG191" s="205">
        <f t="shared" si="73"/>
        <v>4414.8000000000029</v>
      </c>
      <c r="BH191" s="205">
        <f t="shared" si="73"/>
        <v>4485</v>
      </c>
      <c r="BI191" s="205">
        <f t="shared" si="73"/>
        <v>0</v>
      </c>
      <c r="BJ191" s="205">
        <f t="shared" si="73"/>
        <v>641.76105263157888</v>
      </c>
      <c r="BK191" s="205">
        <f t="shared" si="64"/>
        <v>1123.2000000000007</v>
      </c>
      <c r="BL191" s="205">
        <f t="shared" si="65"/>
        <v>16603.967170846809</v>
      </c>
      <c r="BM191" s="215">
        <f t="shared" si="66"/>
        <v>0</v>
      </c>
      <c r="BN191" s="215"/>
      <c r="BO191" s="412">
        <f t="shared" si="74"/>
        <v>0</v>
      </c>
      <c r="BP191" s="412">
        <f t="shared" si="74"/>
        <v>8297.25</v>
      </c>
      <c r="BQ191" s="412">
        <f t="shared" si="74"/>
        <v>20308.080000000002</v>
      </c>
      <c r="BR191" s="412">
        <f t="shared" si="74"/>
        <v>6474</v>
      </c>
      <c r="BS191" s="412">
        <f t="shared" si="74"/>
        <v>387.8105263157895</v>
      </c>
      <c r="BT191" s="412">
        <f t="shared" si="74"/>
        <v>898.47684210526313</v>
      </c>
      <c r="BU191" s="412">
        <f t="shared" si="72"/>
        <v>2678.91</v>
      </c>
      <c r="BV191" s="412">
        <f t="shared" si="67"/>
        <v>39044.527368421055</v>
      </c>
      <c r="BW191" s="412">
        <f t="shared" si="52"/>
        <v>-5939.2061182152247</v>
      </c>
      <c r="BX191" s="412"/>
      <c r="BY191" s="412">
        <f t="shared" si="68"/>
        <v>152563.59263157897</v>
      </c>
      <c r="BZ191" s="412"/>
      <c r="CA191" s="412">
        <f>IFERROR(VLOOKUP(A191,'Actuals Summer'!A:S,19,FALSE),0)</f>
        <v>152563.59263157897</v>
      </c>
      <c r="CC191" s="412"/>
      <c r="CD191" s="412"/>
      <c r="CE191" s="412"/>
      <c r="CF191" s="412"/>
      <c r="CG191" s="412"/>
      <c r="CH191" s="412"/>
      <c r="CI191" s="412"/>
      <c r="CJ191" s="412"/>
      <c r="CK191" s="412"/>
      <c r="CL191" s="412"/>
      <c r="CM191" s="412"/>
      <c r="CN191" s="412"/>
      <c r="CO191" s="412"/>
      <c r="CQ191" s="363"/>
      <c r="CR191" s="363"/>
      <c r="CS191" s="363"/>
      <c r="CT191" s="363"/>
      <c r="CU191" s="363"/>
      <c r="CV191" s="363"/>
      <c r="CW191" s="363"/>
      <c r="CX191" s="363"/>
      <c r="CZ191" s="414"/>
      <c r="DA191" s="414"/>
      <c r="DB191" s="414"/>
      <c r="DC191" s="414"/>
      <c r="DD191" s="414"/>
      <c r="DE191" s="414"/>
      <c r="DF191" s="414"/>
      <c r="DG191" s="414"/>
      <c r="DI191" s="414">
        <f t="shared" si="69"/>
        <v>0</v>
      </c>
      <c r="DJ191" s="414"/>
      <c r="DK191" s="414"/>
      <c r="DL191" s="414"/>
      <c r="DM191" s="414"/>
      <c r="DN191" s="414"/>
      <c r="DO191" s="414"/>
      <c r="DP191" s="414"/>
      <c r="DQ191" s="414"/>
      <c r="DS191" s="414"/>
      <c r="DT191" s="414"/>
      <c r="DU191" s="414"/>
      <c r="DV191" s="414"/>
      <c r="DW191" s="414"/>
      <c r="DX191" s="414"/>
      <c r="DY191" s="414"/>
      <c r="DZ191" s="414"/>
      <c r="EB191" s="415">
        <f t="shared" si="53"/>
        <v>533277.86277749634</v>
      </c>
      <c r="EC191" s="415">
        <f t="shared" si="54"/>
        <v>3882.4081440443215</v>
      </c>
      <c r="ED191" s="416">
        <f t="shared" si="70"/>
        <v>537160.27092154068</v>
      </c>
    </row>
    <row r="192" spans="1:134" hidden="1" x14ac:dyDescent="0.35">
      <c r="A192" s="17">
        <v>2150</v>
      </c>
      <c r="B192" s="4">
        <v>103241</v>
      </c>
      <c r="C192" s="4" t="s">
        <v>202</v>
      </c>
      <c r="D192" s="4" t="s">
        <v>203</v>
      </c>
      <c r="E192" s="15" t="s">
        <v>32</v>
      </c>
      <c r="F192" s="16" t="s">
        <v>27</v>
      </c>
      <c r="G192" s="215"/>
      <c r="H192" s="363">
        <v>0</v>
      </c>
      <c r="I192" s="410"/>
      <c r="J192" s="363">
        <v>0</v>
      </c>
      <c r="K192" s="363">
        <v>0</v>
      </c>
      <c r="L192" s="363">
        <v>27592.5</v>
      </c>
      <c r="M192" s="363">
        <v>0</v>
      </c>
      <c r="N192" s="363">
        <v>0</v>
      </c>
      <c r="O192" s="363">
        <v>0</v>
      </c>
      <c r="P192" s="215">
        <f t="shared" si="55"/>
        <v>27592.5</v>
      </c>
      <c r="Q192" s="363">
        <f t="shared" si="56"/>
        <v>22074</v>
      </c>
      <c r="R192" s="410"/>
      <c r="S192" s="363">
        <v>0</v>
      </c>
      <c r="T192" s="363">
        <v>0</v>
      </c>
      <c r="U192" s="363">
        <v>13244.4</v>
      </c>
      <c r="V192" s="363">
        <v>390</v>
      </c>
      <c r="W192" s="363">
        <v>149.15789473684211</v>
      </c>
      <c r="X192" s="363">
        <v>0</v>
      </c>
      <c r="Y192" s="363">
        <f t="shared" si="57"/>
        <v>13783.557894736841</v>
      </c>
      <c r="Z192" s="363">
        <f t="shared" si="58"/>
        <v>11026.846315789473</v>
      </c>
      <c r="AA192" s="410"/>
      <c r="AB192" s="411">
        <v>0</v>
      </c>
      <c r="AC192" s="411">
        <v>0</v>
      </c>
      <c r="AD192" s="411">
        <v>19947.031578947368</v>
      </c>
      <c r="AE192" s="411">
        <v>625.26315789473688</v>
      </c>
      <c r="AF192" s="411">
        <v>239.13573407202216</v>
      </c>
      <c r="AG192" s="411">
        <v>0</v>
      </c>
      <c r="AH192" s="363">
        <f t="shared" si="59"/>
        <v>20811.430470914125</v>
      </c>
      <c r="AI192" s="411">
        <f t="shared" si="60"/>
        <v>16649.144376731299</v>
      </c>
      <c r="AJ192" s="410"/>
      <c r="AK192" s="411">
        <v>815.09999999999991</v>
      </c>
      <c r="AL192" s="411">
        <v>473.84999999999997</v>
      </c>
      <c r="AM192" s="411">
        <v>613.3263157894736</v>
      </c>
      <c r="AN192" s="410"/>
      <c r="AO192" s="411">
        <f t="shared" si="61"/>
        <v>652.07999999999993</v>
      </c>
      <c r="AP192" s="411">
        <f t="shared" si="61"/>
        <v>379.08</v>
      </c>
      <c r="AQ192" s="411">
        <f t="shared" si="61"/>
        <v>490.66105263157891</v>
      </c>
      <c r="AR192" s="412"/>
      <c r="AS192" s="412">
        <v>0</v>
      </c>
      <c r="AT192" s="413">
        <f t="shared" si="62"/>
        <v>0</v>
      </c>
      <c r="AU192" s="412"/>
      <c r="AV192" s="412">
        <v>0</v>
      </c>
      <c r="AW192" s="412">
        <v>0</v>
      </c>
      <c r="AX192" s="412">
        <v>12140.7</v>
      </c>
      <c r="AY192" s="412">
        <v>585</v>
      </c>
      <c r="AZ192" s="412">
        <v>223.73684210526318</v>
      </c>
      <c r="BA192" s="412">
        <v>0</v>
      </c>
      <c r="BB192" s="412">
        <v>473.84999999999997</v>
      </c>
      <c r="BC192" s="412">
        <f t="shared" si="63"/>
        <v>13423.286842105264</v>
      </c>
      <c r="BE192" s="205">
        <f t="shared" si="73"/>
        <v>0</v>
      </c>
      <c r="BF192" s="205">
        <f t="shared" si="73"/>
        <v>0</v>
      </c>
      <c r="BG192" s="205">
        <f t="shared" si="73"/>
        <v>-15451.8</v>
      </c>
      <c r="BH192" s="205">
        <f t="shared" si="73"/>
        <v>585</v>
      </c>
      <c r="BI192" s="205">
        <f t="shared" si="73"/>
        <v>223.73684210526318</v>
      </c>
      <c r="BJ192" s="205">
        <f t="shared" si="73"/>
        <v>0</v>
      </c>
      <c r="BK192" s="205">
        <f t="shared" si="64"/>
        <v>-341.24999999999994</v>
      </c>
      <c r="BL192" s="205">
        <f t="shared" si="65"/>
        <v>-14984.313157894736</v>
      </c>
      <c r="BM192" s="215">
        <f t="shared" si="66"/>
        <v>0</v>
      </c>
      <c r="BN192" s="215"/>
      <c r="BO192" s="412">
        <f t="shared" si="74"/>
        <v>0</v>
      </c>
      <c r="BP192" s="412">
        <f t="shared" si="74"/>
        <v>0</v>
      </c>
      <c r="BQ192" s="412">
        <f t="shared" si="74"/>
        <v>-9933.2999999999993</v>
      </c>
      <c r="BR192" s="412">
        <f t="shared" si="74"/>
        <v>585</v>
      </c>
      <c r="BS192" s="412">
        <f t="shared" si="74"/>
        <v>223.73684210526318</v>
      </c>
      <c r="BT192" s="412">
        <f t="shared" si="74"/>
        <v>0</v>
      </c>
      <c r="BU192" s="412">
        <f t="shared" si="72"/>
        <v>-178.22999999999996</v>
      </c>
      <c r="BV192" s="412">
        <f t="shared" si="67"/>
        <v>-9302.7931578947355</v>
      </c>
      <c r="BW192" s="412">
        <f t="shared" si="52"/>
        <v>1.8189894035458565E-12</v>
      </c>
      <c r="BX192" s="412"/>
      <c r="BY192" s="412">
        <f t="shared" si="68"/>
        <v>13423.286842105264</v>
      </c>
      <c r="BZ192" s="412"/>
      <c r="CA192" s="412">
        <f>IFERROR(VLOOKUP(A192,'Actuals Summer'!A:S,19,FALSE),0)</f>
        <v>13423.286842105264</v>
      </c>
      <c r="CC192" s="412"/>
      <c r="CD192" s="412"/>
      <c r="CE192" s="412"/>
      <c r="CF192" s="412"/>
      <c r="CG192" s="412"/>
      <c r="CH192" s="412"/>
      <c r="CI192" s="412"/>
      <c r="CJ192" s="412"/>
      <c r="CK192" s="412"/>
      <c r="CL192" s="412"/>
      <c r="CM192" s="412"/>
      <c r="CN192" s="412"/>
      <c r="CO192" s="412"/>
      <c r="CQ192" s="363"/>
      <c r="CR192" s="363"/>
      <c r="CS192" s="363"/>
      <c r="CT192" s="363"/>
      <c r="CU192" s="363"/>
      <c r="CV192" s="363"/>
      <c r="CW192" s="363"/>
      <c r="CX192" s="363"/>
      <c r="CZ192" s="414"/>
      <c r="DA192" s="414"/>
      <c r="DB192" s="414"/>
      <c r="DC192" s="414"/>
      <c r="DD192" s="414"/>
      <c r="DE192" s="414"/>
      <c r="DF192" s="414"/>
      <c r="DG192" s="414"/>
      <c r="DI192" s="414">
        <f t="shared" si="69"/>
        <v>0</v>
      </c>
      <c r="DJ192" s="414"/>
      <c r="DK192" s="414"/>
      <c r="DL192" s="414"/>
      <c r="DM192" s="414"/>
      <c r="DN192" s="414"/>
      <c r="DO192" s="414"/>
      <c r="DP192" s="414"/>
      <c r="DQ192" s="414"/>
      <c r="DS192" s="414"/>
      <c r="DT192" s="414"/>
      <c r="DU192" s="414"/>
      <c r="DV192" s="414"/>
      <c r="DW192" s="414"/>
      <c r="DX192" s="414"/>
      <c r="DY192" s="414"/>
      <c r="DZ192" s="414"/>
      <c r="EB192" s="415">
        <f t="shared" si="53"/>
        <v>41969.018587257618</v>
      </c>
      <c r="EC192" s="415">
        <f t="shared" si="54"/>
        <v>0</v>
      </c>
      <c r="ED192" s="416">
        <f t="shared" si="70"/>
        <v>41969.018587257618</v>
      </c>
    </row>
    <row r="193" spans="1:134" hidden="1" x14ac:dyDescent="0.35">
      <c r="A193" s="17">
        <v>2425</v>
      </c>
      <c r="B193" s="4">
        <v>103356</v>
      </c>
      <c r="C193" s="4" t="s">
        <v>1079</v>
      </c>
      <c r="D193" s="4" t="s">
        <v>1080</v>
      </c>
      <c r="E193" s="15" t="s">
        <v>32</v>
      </c>
      <c r="F193" s="16" t="s">
        <v>27</v>
      </c>
      <c r="G193" s="215"/>
      <c r="H193" s="363">
        <v>0</v>
      </c>
      <c r="I193" s="410"/>
      <c r="J193" s="363">
        <v>0</v>
      </c>
      <c r="K193" s="363">
        <v>0</v>
      </c>
      <c r="L193" s="363">
        <v>0</v>
      </c>
      <c r="M193" s="363">
        <v>0</v>
      </c>
      <c r="N193" s="363">
        <v>0</v>
      </c>
      <c r="O193" s="363">
        <v>0</v>
      </c>
      <c r="P193" s="215">
        <f t="shared" si="55"/>
        <v>0</v>
      </c>
      <c r="Q193" s="363">
        <f t="shared" si="56"/>
        <v>0</v>
      </c>
      <c r="R193" s="410"/>
      <c r="S193" s="363">
        <v>0</v>
      </c>
      <c r="T193" s="363">
        <v>0</v>
      </c>
      <c r="U193" s="363">
        <v>0</v>
      </c>
      <c r="V193" s="363">
        <v>0</v>
      </c>
      <c r="W193" s="363">
        <v>0</v>
      </c>
      <c r="X193" s="363">
        <v>0</v>
      </c>
      <c r="Y193" s="363">
        <f t="shared" si="57"/>
        <v>0</v>
      </c>
      <c r="Z193" s="363">
        <f t="shared" si="58"/>
        <v>0</v>
      </c>
      <c r="AA193" s="410"/>
      <c r="AB193" s="411">
        <v>0</v>
      </c>
      <c r="AC193" s="411">
        <v>0</v>
      </c>
      <c r="AD193" s="411">
        <v>0</v>
      </c>
      <c r="AE193" s="411">
        <v>0</v>
      </c>
      <c r="AF193" s="411">
        <v>0</v>
      </c>
      <c r="AG193" s="411">
        <v>0</v>
      </c>
      <c r="AH193" s="363">
        <f t="shared" si="59"/>
        <v>0</v>
      </c>
      <c r="AI193" s="411">
        <f t="shared" si="60"/>
        <v>0</v>
      </c>
      <c r="AJ193" s="410"/>
      <c r="AK193" s="411">
        <v>0</v>
      </c>
      <c r="AL193" s="411">
        <v>0</v>
      </c>
      <c r="AM193" s="411">
        <v>0</v>
      </c>
      <c r="AN193" s="410"/>
      <c r="AO193" s="411">
        <f t="shared" si="61"/>
        <v>0</v>
      </c>
      <c r="AP193" s="411">
        <f t="shared" si="61"/>
        <v>0</v>
      </c>
      <c r="AQ193" s="411">
        <f t="shared" si="61"/>
        <v>0</v>
      </c>
      <c r="AR193" s="412"/>
      <c r="AS193" s="412">
        <v>0</v>
      </c>
      <c r="AT193" s="413">
        <f t="shared" si="62"/>
        <v>0</v>
      </c>
      <c r="AU193" s="412"/>
      <c r="AV193" s="412">
        <v>0</v>
      </c>
      <c r="AW193" s="412">
        <v>0</v>
      </c>
      <c r="AX193" s="412">
        <v>0</v>
      </c>
      <c r="AY193" s="412">
        <v>0</v>
      </c>
      <c r="AZ193" s="412">
        <v>0</v>
      </c>
      <c r="BA193" s="412">
        <v>0</v>
      </c>
      <c r="BB193" s="412">
        <v>0</v>
      </c>
      <c r="BC193" s="412">
        <f t="shared" si="63"/>
        <v>0</v>
      </c>
      <c r="BE193" s="205">
        <f t="shared" si="73"/>
        <v>0</v>
      </c>
      <c r="BF193" s="205">
        <f t="shared" si="73"/>
        <v>0</v>
      </c>
      <c r="BG193" s="205">
        <f t="shared" si="73"/>
        <v>0</v>
      </c>
      <c r="BH193" s="205">
        <f t="shared" si="73"/>
        <v>0</v>
      </c>
      <c r="BI193" s="205">
        <f t="shared" si="73"/>
        <v>0</v>
      </c>
      <c r="BJ193" s="205">
        <f t="shared" si="73"/>
        <v>0</v>
      </c>
      <c r="BK193" s="205">
        <f t="shared" si="64"/>
        <v>0</v>
      </c>
      <c r="BL193" s="205">
        <f t="shared" si="65"/>
        <v>0</v>
      </c>
      <c r="BM193" s="215">
        <f t="shared" si="66"/>
        <v>0</v>
      </c>
      <c r="BN193" s="215"/>
      <c r="BO193" s="412">
        <f t="shared" si="74"/>
        <v>0</v>
      </c>
      <c r="BP193" s="412">
        <f t="shared" si="74"/>
        <v>0</v>
      </c>
      <c r="BQ193" s="412">
        <f t="shared" si="74"/>
        <v>0</v>
      </c>
      <c r="BR193" s="412">
        <f t="shared" si="74"/>
        <v>0</v>
      </c>
      <c r="BS193" s="412">
        <f t="shared" si="74"/>
        <v>0</v>
      </c>
      <c r="BT193" s="412">
        <f t="shared" si="74"/>
        <v>0</v>
      </c>
      <c r="BU193" s="412">
        <f t="shared" si="72"/>
        <v>0</v>
      </c>
      <c r="BV193" s="412">
        <f t="shared" si="67"/>
        <v>0</v>
      </c>
      <c r="BW193" s="412">
        <f t="shared" si="52"/>
        <v>0</v>
      </c>
      <c r="BX193" s="412"/>
      <c r="BY193" s="412">
        <f t="shared" si="68"/>
        <v>0</v>
      </c>
      <c r="BZ193" s="412"/>
      <c r="CA193" s="412">
        <f>IFERROR(VLOOKUP(A193,'Actuals Summer'!A:S,19,FALSE),0)</f>
        <v>0</v>
      </c>
      <c r="CC193" s="412"/>
      <c r="CD193" s="412"/>
      <c r="CE193" s="412"/>
      <c r="CF193" s="412"/>
      <c r="CG193" s="412"/>
      <c r="CH193" s="412"/>
      <c r="CI193" s="412"/>
      <c r="CJ193" s="412"/>
      <c r="CK193" s="412"/>
      <c r="CL193" s="412"/>
      <c r="CM193" s="412"/>
      <c r="CN193" s="412"/>
      <c r="CO193" s="412"/>
      <c r="CQ193" s="363"/>
      <c r="CR193" s="363"/>
      <c r="CS193" s="363"/>
      <c r="CT193" s="363"/>
      <c r="CU193" s="363"/>
      <c r="CV193" s="363"/>
      <c r="CW193" s="363"/>
      <c r="CX193" s="363"/>
      <c r="CZ193" s="414"/>
      <c r="DA193" s="414"/>
      <c r="DB193" s="414"/>
      <c r="DC193" s="414"/>
      <c r="DD193" s="414"/>
      <c r="DE193" s="414"/>
      <c r="DF193" s="414"/>
      <c r="DG193" s="414"/>
      <c r="DI193" s="414">
        <f t="shared" si="69"/>
        <v>0</v>
      </c>
      <c r="DJ193" s="414"/>
      <c r="DK193" s="414"/>
      <c r="DL193" s="414"/>
      <c r="DM193" s="414"/>
      <c r="DN193" s="414"/>
      <c r="DO193" s="414"/>
      <c r="DP193" s="414"/>
      <c r="DQ193" s="414"/>
      <c r="DS193" s="414"/>
      <c r="DT193" s="414"/>
      <c r="DU193" s="414"/>
      <c r="DV193" s="414"/>
      <c r="DW193" s="414"/>
      <c r="DX193" s="414"/>
      <c r="DY193" s="414"/>
      <c r="DZ193" s="414"/>
      <c r="EB193" s="415">
        <f t="shared" si="53"/>
        <v>0</v>
      </c>
      <c r="EC193" s="415">
        <f t="shared" si="54"/>
        <v>0</v>
      </c>
      <c r="ED193" s="416">
        <f t="shared" si="70"/>
        <v>0</v>
      </c>
    </row>
    <row r="194" spans="1:134" hidden="1" x14ac:dyDescent="0.35">
      <c r="A194" s="17">
        <v>7034</v>
      </c>
      <c r="B194" s="4">
        <v>103614</v>
      </c>
      <c r="C194" s="4" t="s">
        <v>1081</v>
      </c>
      <c r="D194" s="4" t="s">
        <v>382</v>
      </c>
      <c r="E194" s="15" t="s">
        <v>895</v>
      </c>
      <c r="F194" s="16" t="s">
        <v>27</v>
      </c>
      <c r="G194" s="215"/>
      <c r="H194" s="363">
        <v>0</v>
      </c>
      <c r="I194" s="410"/>
      <c r="J194" s="363">
        <v>0</v>
      </c>
      <c r="K194" s="363">
        <v>0</v>
      </c>
      <c r="L194" s="363">
        <v>0</v>
      </c>
      <c r="M194" s="363">
        <v>0</v>
      </c>
      <c r="N194" s="363">
        <v>0</v>
      </c>
      <c r="O194" s="363">
        <v>0</v>
      </c>
      <c r="P194" s="215">
        <f t="shared" si="55"/>
        <v>0</v>
      </c>
      <c r="Q194" s="363">
        <f t="shared" si="56"/>
        <v>0</v>
      </c>
      <c r="R194" s="410"/>
      <c r="S194" s="363">
        <v>0</v>
      </c>
      <c r="T194" s="363">
        <v>0</v>
      </c>
      <c r="U194" s="363">
        <v>0</v>
      </c>
      <c r="V194" s="363">
        <v>0</v>
      </c>
      <c r="W194" s="363">
        <v>0</v>
      </c>
      <c r="X194" s="363">
        <v>0</v>
      </c>
      <c r="Y194" s="363">
        <f t="shared" si="57"/>
        <v>0</v>
      </c>
      <c r="Z194" s="363">
        <f t="shared" si="58"/>
        <v>0</v>
      </c>
      <c r="AA194" s="410"/>
      <c r="AB194" s="411">
        <v>0</v>
      </c>
      <c r="AC194" s="411">
        <v>0</v>
      </c>
      <c r="AD194" s="411">
        <v>4146.3</v>
      </c>
      <c r="AE194" s="411">
        <v>265.20000000000005</v>
      </c>
      <c r="AF194" s="411">
        <v>0</v>
      </c>
      <c r="AG194" s="411">
        <v>0</v>
      </c>
      <c r="AH194" s="363">
        <f t="shared" si="59"/>
        <v>4411.5</v>
      </c>
      <c r="AI194" s="411">
        <f t="shared" si="60"/>
        <v>3529.2000000000003</v>
      </c>
      <c r="AJ194" s="410"/>
      <c r="AK194" s="411">
        <v>0</v>
      </c>
      <c r="AL194" s="411">
        <v>0</v>
      </c>
      <c r="AM194" s="411">
        <v>0</v>
      </c>
      <c r="AN194" s="410"/>
      <c r="AO194" s="411">
        <f t="shared" si="61"/>
        <v>0</v>
      </c>
      <c r="AP194" s="411">
        <f t="shared" si="61"/>
        <v>0</v>
      </c>
      <c r="AQ194" s="411">
        <f t="shared" si="61"/>
        <v>0</v>
      </c>
      <c r="AR194" s="412"/>
      <c r="AS194" s="412">
        <v>0</v>
      </c>
      <c r="AT194" s="413">
        <f t="shared" si="62"/>
        <v>0</v>
      </c>
      <c r="AU194" s="412"/>
      <c r="AV194" s="412">
        <v>0</v>
      </c>
      <c r="AW194" s="412">
        <v>0</v>
      </c>
      <c r="AX194" s="412">
        <v>0</v>
      </c>
      <c r="AY194" s="412">
        <v>0</v>
      </c>
      <c r="AZ194" s="412">
        <v>0</v>
      </c>
      <c r="BA194" s="412">
        <v>0</v>
      </c>
      <c r="BB194" s="412">
        <v>0</v>
      </c>
      <c r="BC194" s="412">
        <f t="shared" si="63"/>
        <v>0</v>
      </c>
      <c r="BE194" s="205">
        <f t="shared" si="73"/>
        <v>0</v>
      </c>
      <c r="BF194" s="205">
        <f t="shared" si="73"/>
        <v>0</v>
      </c>
      <c r="BG194" s="205">
        <f t="shared" si="73"/>
        <v>0</v>
      </c>
      <c r="BH194" s="205">
        <f t="shared" si="73"/>
        <v>0</v>
      </c>
      <c r="BI194" s="205">
        <f t="shared" si="73"/>
        <v>0</v>
      </c>
      <c r="BJ194" s="205">
        <f t="shared" si="73"/>
        <v>0</v>
      </c>
      <c r="BK194" s="205">
        <f t="shared" si="64"/>
        <v>0</v>
      </c>
      <c r="BL194" s="205">
        <f t="shared" si="65"/>
        <v>0</v>
      </c>
      <c r="BM194" s="215">
        <f t="shared" si="66"/>
        <v>0</v>
      </c>
      <c r="BN194" s="215"/>
      <c r="BO194" s="412">
        <f t="shared" si="74"/>
        <v>0</v>
      </c>
      <c r="BP194" s="412">
        <f t="shared" si="74"/>
        <v>0</v>
      </c>
      <c r="BQ194" s="412">
        <f t="shared" si="74"/>
        <v>0</v>
      </c>
      <c r="BR194" s="412">
        <f t="shared" si="74"/>
        <v>0</v>
      </c>
      <c r="BS194" s="412">
        <f t="shared" si="74"/>
        <v>0</v>
      </c>
      <c r="BT194" s="412">
        <f t="shared" si="74"/>
        <v>0</v>
      </c>
      <c r="BU194" s="412">
        <f t="shared" si="72"/>
        <v>0</v>
      </c>
      <c r="BV194" s="412">
        <f t="shared" si="67"/>
        <v>0</v>
      </c>
      <c r="BW194" s="412">
        <f t="shared" si="52"/>
        <v>0</v>
      </c>
      <c r="BX194" s="412"/>
      <c r="BY194" s="412">
        <f t="shared" si="68"/>
        <v>0</v>
      </c>
      <c r="BZ194" s="412"/>
      <c r="CA194" s="412">
        <f>IFERROR(VLOOKUP(A194,'Actuals Summer'!A:S,19,FALSE),0)</f>
        <v>0</v>
      </c>
      <c r="CC194" s="412"/>
      <c r="CD194" s="412"/>
      <c r="CE194" s="412"/>
      <c r="CF194" s="412"/>
      <c r="CG194" s="412"/>
      <c r="CH194" s="412"/>
      <c r="CI194" s="412"/>
      <c r="CJ194" s="412"/>
      <c r="CK194" s="412"/>
      <c r="CL194" s="412"/>
      <c r="CM194" s="412"/>
      <c r="CN194" s="412"/>
      <c r="CO194" s="412"/>
      <c r="CQ194" s="363"/>
      <c r="CR194" s="363"/>
      <c r="CS194" s="363"/>
      <c r="CT194" s="363"/>
      <c r="CU194" s="363"/>
      <c r="CV194" s="363"/>
      <c r="CW194" s="363"/>
      <c r="CX194" s="363"/>
      <c r="CZ194" s="414"/>
      <c r="DA194" s="414"/>
      <c r="DB194" s="414"/>
      <c r="DC194" s="414"/>
      <c r="DD194" s="414"/>
      <c r="DE194" s="414"/>
      <c r="DF194" s="414"/>
      <c r="DG194" s="414"/>
      <c r="DI194" s="414">
        <f t="shared" si="69"/>
        <v>0</v>
      </c>
      <c r="DJ194" s="414"/>
      <c r="DK194" s="414"/>
      <c r="DL194" s="414"/>
      <c r="DM194" s="414"/>
      <c r="DN194" s="414"/>
      <c r="DO194" s="414"/>
      <c r="DP194" s="414"/>
      <c r="DQ194" s="414"/>
      <c r="DS194" s="414"/>
      <c r="DT194" s="414"/>
      <c r="DU194" s="414"/>
      <c r="DV194" s="414"/>
      <c r="DW194" s="414"/>
      <c r="DX194" s="414"/>
      <c r="DY194" s="414"/>
      <c r="DZ194" s="414"/>
      <c r="EB194" s="415">
        <f t="shared" si="53"/>
        <v>3529.2000000000003</v>
      </c>
      <c r="EC194" s="415">
        <f t="shared" si="54"/>
        <v>0</v>
      </c>
      <c r="ED194" s="416">
        <f t="shared" si="70"/>
        <v>3529.2000000000003</v>
      </c>
    </row>
    <row r="195" spans="1:134" hidden="1" x14ac:dyDescent="0.35">
      <c r="A195" s="17">
        <v>2157</v>
      </c>
      <c r="B195" s="4">
        <v>103246</v>
      </c>
      <c r="C195" s="4" t="s">
        <v>204</v>
      </c>
      <c r="D195" s="4" t="s">
        <v>205</v>
      </c>
      <c r="E195" s="15" t="s">
        <v>32</v>
      </c>
      <c r="F195" s="16" t="s">
        <v>27</v>
      </c>
      <c r="G195" s="215"/>
      <c r="H195" s="363">
        <v>0</v>
      </c>
      <c r="I195" s="410"/>
      <c r="J195" s="363">
        <v>0</v>
      </c>
      <c r="K195" s="363">
        <v>0</v>
      </c>
      <c r="L195" s="363">
        <v>43044.3</v>
      </c>
      <c r="M195" s="363">
        <v>0</v>
      </c>
      <c r="N195" s="363">
        <v>0</v>
      </c>
      <c r="O195" s="363">
        <v>0</v>
      </c>
      <c r="P195" s="215">
        <f t="shared" si="55"/>
        <v>43044.3</v>
      </c>
      <c r="Q195" s="363">
        <f t="shared" si="56"/>
        <v>34435.440000000002</v>
      </c>
      <c r="R195" s="410"/>
      <c r="S195" s="363">
        <v>0</v>
      </c>
      <c r="T195" s="363">
        <v>0</v>
      </c>
      <c r="U195" s="363">
        <v>28696.200000000004</v>
      </c>
      <c r="V195" s="363">
        <v>0</v>
      </c>
      <c r="W195" s="363">
        <v>0</v>
      </c>
      <c r="X195" s="363">
        <v>0</v>
      </c>
      <c r="Y195" s="363">
        <f t="shared" si="57"/>
        <v>28696.200000000004</v>
      </c>
      <c r="Z195" s="363">
        <f t="shared" si="58"/>
        <v>22956.960000000006</v>
      </c>
      <c r="AA195" s="410"/>
      <c r="AB195" s="411">
        <v>0</v>
      </c>
      <c r="AC195" s="411">
        <v>0</v>
      </c>
      <c r="AD195" s="411">
        <v>33781.263157894733</v>
      </c>
      <c r="AE195" s="411">
        <v>284.21052631578948</v>
      </c>
      <c r="AF195" s="411">
        <v>108.69806094182825</v>
      </c>
      <c r="AG195" s="411">
        <v>0</v>
      </c>
      <c r="AH195" s="363">
        <f t="shared" si="59"/>
        <v>34174.171745152351</v>
      </c>
      <c r="AI195" s="411">
        <f t="shared" si="60"/>
        <v>27339.337396121882</v>
      </c>
      <c r="AJ195" s="410"/>
      <c r="AK195" s="411">
        <v>150.15</v>
      </c>
      <c r="AL195" s="411">
        <v>0</v>
      </c>
      <c r="AM195" s="411">
        <v>87.536842105263162</v>
      </c>
      <c r="AN195" s="410"/>
      <c r="AO195" s="411">
        <f t="shared" si="61"/>
        <v>120.12</v>
      </c>
      <c r="AP195" s="411">
        <f t="shared" si="61"/>
        <v>0</v>
      </c>
      <c r="AQ195" s="411">
        <f t="shared" si="61"/>
        <v>70.029473684210529</v>
      </c>
      <c r="AR195" s="412"/>
      <c r="AS195" s="412">
        <v>0</v>
      </c>
      <c r="AT195" s="413">
        <f t="shared" si="62"/>
        <v>0</v>
      </c>
      <c r="AU195" s="412"/>
      <c r="AV195" s="412">
        <v>0</v>
      </c>
      <c r="AW195" s="412">
        <v>0</v>
      </c>
      <c r="AX195" s="412">
        <v>30903.599999999999</v>
      </c>
      <c r="AY195" s="412">
        <v>0</v>
      </c>
      <c r="AZ195" s="412">
        <v>0</v>
      </c>
      <c r="BA195" s="412">
        <v>0</v>
      </c>
      <c r="BB195" s="412">
        <v>118.95</v>
      </c>
      <c r="BC195" s="412">
        <f t="shared" si="63"/>
        <v>31022.55</v>
      </c>
      <c r="BE195" s="205">
        <f t="shared" si="73"/>
        <v>0</v>
      </c>
      <c r="BF195" s="205">
        <f t="shared" si="73"/>
        <v>0</v>
      </c>
      <c r="BG195" s="205">
        <f t="shared" si="73"/>
        <v>-12140.700000000004</v>
      </c>
      <c r="BH195" s="205">
        <f t="shared" si="73"/>
        <v>0</v>
      </c>
      <c r="BI195" s="205">
        <f t="shared" si="73"/>
        <v>0</v>
      </c>
      <c r="BJ195" s="205">
        <f t="shared" si="73"/>
        <v>0</v>
      </c>
      <c r="BK195" s="205">
        <f t="shared" si="64"/>
        <v>-31.200000000000003</v>
      </c>
      <c r="BL195" s="205">
        <f t="shared" si="65"/>
        <v>-12171.900000000005</v>
      </c>
      <c r="BM195" s="215">
        <f t="shared" si="66"/>
        <v>0</v>
      </c>
      <c r="BN195" s="215"/>
      <c r="BO195" s="412">
        <f t="shared" si="74"/>
        <v>0</v>
      </c>
      <c r="BP195" s="412">
        <f t="shared" si="74"/>
        <v>0</v>
      </c>
      <c r="BQ195" s="412">
        <f t="shared" si="74"/>
        <v>-3531.8400000000038</v>
      </c>
      <c r="BR195" s="412">
        <f t="shared" si="74"/>
        <v>0</v>
      </c>
      <c r="BS195" s="412">
        <f t="shared" si="74"/>
        <v>0</v>
      </c>
      <c r="BT195" s="412">
        <f t="shared" si="74"/>
        <v>0</v>
      </c>
      <c r="BU195" s="412">
        <f t="shared" si="72"/>
        <v>-1.1700000000000017</v>
      </c>
      <c r="BV195" s="412">
        <f t="shared" si="67"/>
        <v>-3533.0100000000039</v>
      </c>
      <c r="BW195" s="412">
        <f t="shared" si="52"/>
        <v>3.637978807091713E-12</v>
      </c>
      <c r="BX195" s="412"/>
      <c r="BY195" s="412">
        <f t="shared" si="68"/>
        <v>31022.55</v>
      </c>
      <c r="BZ195" s="412"/>
      <c r="CA195" s="412">
        <f>IFERROR(VLOOKUP(A195,'Actuals Summer'!A:S,19,FALSE),0)</f>
        <v>31022.55</v>
      </c>
      <c r="CC195" s="412"/>
      <c r="CD195" s="412"/>
      <c r="CE195" s="412"/>
      <c r="CF195" s="412"/>
      <c r="CG195" s="412"/>
      <c r="CH195" s="412"/>
      <c r="CI195" s="412"/>
      <c r="CJ195" s="412"/>
      <c r="CK195" s="412"/>
      <c r="CL195" s="412"/>
      <c r="CM195" s="412"/>
      <c r="CN195" s="412"/>
      <c r="CO195" s="412"/>
      <c r="CQ195" s="363"/>
      <c r="CR195" s="363"/>
      <c r="CS195" s="363"/>
      <c r="CT195" s="363"/>
      <c r="CU195" s="363"/>
      <c r="CV195" s="363"/>
      <c r="CW195" s="363"/>
      <c r="CX195" s="363"/>
      <c r="CZ195" s="414"/>
      <c r="DA195" s="414"/>
      <c r="DB195" s="414"/>
      <c r="DC195" s="414"/>
      <c r="DD195" s="414"/>
      <c r="DE195" s="414"/>
      <c r="DF195" s="414"/>
      <c r="DG195" s="414"/>
      <c r="DI195" s="414">
        <f t="shared" si="69"/>
        <v>0</v>
      </c>
      <c r="DJ195" s="414"/>
      <c r="DK195" s="414"/>
      <c r="DL195" s="414"/>
      <c r="DM195" s="414"/>
      <c r="DN195" s="414"/>
      <c r="DO195" s="414"/>
      <c r="DP195" s="414"/>
      <c r="DQ195" s="414"/>
      <c r="DS195" s="414"/>
      <c r="DT195" s="414"/>
      <c r="DU195" s="414"/>
      <c r="DV195" s="414"/>
      <c r="DW195" s="414"/>
      <c r="DX195" s="414"/>
      <c r="DY195" s="414"/>
      <c r="DZ195" s="414"/>
      <c r="EB195" s="415">
        <f t="shared" si="53"/>
        <v>81388.876869806103</v>
      </c>
      <c r="EC195" s="415">
        <f t="shared" si="54"/>
        <v>0</v>
      </c>
      <c r="ED195" s="416">
        <f t="shared" si="70"/>
        <v>81388.876869806103</v>
      </c>
    </row>
    <row r="196" spans="1:134" hidden="1" x14ac:dyDescent="0.35">
      <c r="A196" s="17">
        <v>1000</v>
      </c>
      <c r="B196" s="4">
        <v>137796</v>
      </c>
      <c r="C196" s="4" t="s">
        <v>206</v>
      </c>
      <c r="D196" s="4" t="s">
        <v>207</v>
      </c>
      <c r="E196" s="15" t="s">
        <v>26</v>
      </c>
      <c r="F196" s="16" t="s">
        <v>27</v>
      </c>
      <c r="G196" s="215"/>
      <c r="H196" s="363">
        <v>190451.84783912112</v>
      </c>
      <c r="I196" s="410"/>
      <c r="J196" s="363">
        <v>0</v>
      </c>
      <c r="K196" s="363">
        <v>0</v>
      </c>
      <c r="L196" s="363">
        <v>116307.90599999999</v>
      </c>
      <c r="M196" s="363">
        <v>4095</v>
      </c>
      <c r="N196" s="363">
        <v>1566.1578947368421</v>
      </c>
      <c r="O196" s="363">
        <v>962.68421052631584</v>
      </c>
      <c r="P196" s="215">
        <f t="shared" si="55"/>
        <v>122931.74810526315</v>
      </c>
      <c r="Q196" s="363">
        <f t="shared" si="56"/>
        <v>98345.398484210527</v>
      </c>
      <c r="R196" s="410"/>
      <c r="S196" s="363">
        <v>0</v>
      </c>
      <c r="T196" s="363">
        <v>0</v>
      </c>
      <c r="U196" s="363">
        <v>90451.894</v>
      </c>
      <c r="V196" s="363">
        <v>2340</v>
      </c>
      <c r="W196" s="363">
        <v>820.36842105263156</v>
      </c>
      <c r="X196" s="363">
        <v>0</v>
      </c>
      <c r="Y196" s="363">
        <f t="shared" si="57"/>
        <v>93612.262421052626</v>
      </c>
      <c r="Z196" s="363">
        <f t="shared" si="58"/>
        <v>74889.80993684211</v>
      </c>
      <c r="AA196" s="410"/>
      <c r="AB196" s="411">
        <v>0</v>
      </c>
      <c r="AC196" s="411">
        <v>0</v>
      </c>
      <c r="AD196" s="411">
        <v>93148.347789473672</v>
      </c>
      <c r="AE196" s="411">
        <v>3069.4736842105267</v>
      </c>
      <c r="AF196" s="411">
        <v>1152.1994459833793</v>
      </c>
      <c r="AG196" s="411">
        <v>374.1606648199446</v>
      </c>
      <c r="AH196" s="363">
        <f t="shared" si="59"/>
        <v>97744.181584487509</v>
      </c>
      <c r="AI196" s="411">
        <f t="shared" si="60"/>
        <v>78195.345267590004</v>
      </c>
      <c r="AJ196" s="410"/>
      <c r="AK196" s="411">
        <v>1764.75</v>
      </c>
      <c r="AL196" s="411">
        <v>1400.1000000000001</v>
      </c>
      <c r="AM196" s="411">
        <v>1436.9684210526316</v>
      </c>
      <c r="AN196" s="410"/>
      <c r="AO196" s="411">
        <f t="shared" si="61"/>
        <v>1411.8000000000002</v>
      </c>
      <c r="AP196" s="411">
        <f t="shared" si="61"/>
        <v>1120.0800000000002</v>
      </c>
      <c r="AQ196" s="411">
        <f t="shared" si="61"/>
        <v>1149.5747368421053</v>
      </c>
      <c r="AR196" s="412"/>
      <c r="AS196" s="412">
        <v>190343.9087342837</v>
      </c>
      <c r="AT196" s="413">
        <f t="shared" si="62"/>
        <v>-107.93910483742366</v>
      </c>
      <c r="AU196" s="412"/>
      <c r="AV196" s="412">
        <v>0</v>
      </c>
      <c r="AW196" s="412">
        <v>0</v>
      </c>
      <c r="AX196" s="412">
        <v>100333.68799999999</v>
      </c>
      <c r="AY196" s="412">
        <v>3120</v>
      </c>
      <c r="AZ196" s="412">
        <v>1118.6842105263158</v>
      </c>
      <c r="BA196" s="412">
        <v>320.89</v>
      </c>
      <c r="BB196" s="412">
        <v>1973.3999999999996</v>
      </c>
      <c r="BC196" s="412">
        <f t="shared" si="63"/>
        <v>297210.57094481</v>
      </c>
      <c r="BE196" s="205">
        <f t="shared" si="73"/>
        <v>0</v>
      </c>
      <c r="BF196" s="205">
        <f t="shared" si="73"/>
        <v>0</v>
      </c>
      <c r="BG196" s="205">
        <f t="shared" si="73"/>
        <v>-15974.217999999993</v>
      </c>
      <c r="BH196" s="205">
        <f t="shared" si="73"/>
        <v>-975</v>
      </c>
      <c r="BI196" s="205">
        <f t="shared" si="73"/>
        <v>-447.47368421052624</v>
      </c>
      <c r="BJ196" s="205">
        <f t="shared" si="73"/>
        <v>-641.79421052631585</v>
      </c>
      <c r="BK196" s="205">
        <f t="shared" si="64"/>
        <v>208.64999999999964</v>
      </c>
      <c r="BL196" s="205">
        <f t="shared" si="65"/>
        <v>-17937.774999574263</v>
      </c>
      <c r="BM196" s="215">
        <f t="shared" si="66"/>
        <v>0</v>
      </c>
      <c r="BN196" s="215"/>
      <c r="BO196" s="412">
        <f t="shared" si="74"/>
        <v>0</v>
      </c>
      <c r="BP196" s="412">
        <f t="shared" si="74"/>
        <v>0</v>
      </c>
      <c r="BQ196" s="412">
        <f t="shared" si="74"/>
        <v>7287.3631999999925</v>
      </c>
      <c r="BR196" s="412">
        <f t="shared" si="74"/>
        <v>-156</v>
      </c>
      <c r="BS196" s="412">
        <f t="shared" si="74"/>
        <v>-134.24210526315801</v>
      </c>
      <c r="BT196" s="412">
        <f t="shared" si="74"/>
        <v>-449.25736842105277</v>
      </c>
      <c r="BU196" s="412">
        <f t="shared" si="72"/>
        <v>561.59999999999945</v>
      </c>
      <c r="BV196" s="412">
        <f t="shared" si="67"/>
        <v>7109.4637263157811</v>
      </c>
      <c r="BW196" s="412">
        <f t="shared" si="52"/>
        <v>107.93910483742366</v>
      </c>
      <c r="BX196" s="412"/>
      <c r="BY196" s="412">
        <f t="shared" si="68"/>
        <v>106866.66221052631</v>
      </c>
      <c r="BZ196" s="412"/>
      <c r="CA196" s="412">
        <f>IFERROR(VLOOKUP(A196,'Actuals Summer'!A:S,19,FALSE),0)</f>
        <v>106866.66221052631</v>
      </c>
      <c r="CC196" s="412"/>
      <c r="CD196" s="412"/>
      <c r="CE196" s="412"/>
      <c r="CF196" s="412"/>
      <c r="CG196" s="412"/>
      <c r="CH196" s="412"/>
      <c r="CI196" s="412"/>
      <c r="CJ196" s="412"/>
      <c r="CK196" s="412"/>
      <c r="CL196" s="412"/>
      <c r="CM196" s="412"/>
      <c r="CN196" s="412"/>
      <c r="CO196" s="412"/>
      <c r="CQ196" s="363"/>
      <c r="CR196" s="363"/>
      <c r="CS196" s="363"/>
      <c r="CT196" s="363"/>
      <c r="CU196" s="363"/>
      <c r="CV196" s="363"/>
      <c r="CW196" s="363"/>
      <c r="CX196" s="363"/>
      <c r="CZ196" s="414"/>
      <c r="DA196" s="414"/>
      <c r="DB196" s="414"/>
      <c r="DC196" s="414"/>
      <c r="DD196" s="414"/>
      <c r="DE196" s="414"/>
      <c r="DF196" s="414"/>
      <c r="DG196" s="414"/>
      <c r="DI196" s="414">
        <f t="shared" si="69"/>
        <v>0</v>
      </c>
      <c r="DJ196" s="414"/>
      <c r="DK196" s="414"/>
      <c r="DL196" s="414"/>
      <c r="DM196" s="414"/>
      <c r="DN196" s="414"/>
      <c r="DO196" s="414"/>
      <c r="DP196" s="414"/>
      <c r="DQ196" s="414"/>
      <c r="DS196" s="414"/>
      <c r="DT196" s="414"/>
      <c r="DU196" s="414"/>
      <c r="DV196" s="414"/>
      <c r="DW196" s="414"/>
      <c r="DX196" s="414"/>
      <c r="DY196" s="414"/>
      <c r="DZ196" s="414"/>
      <c r="EB196" s="415">
        <f>((SUMIFS($J196:$AQ196,$J$3:$AQ$3,$EB$7)*80%))+SUMIFS($AS196:$AT196,$AS$3:$AT$3,$EB$7)+SUMIFS($AV196:$BC196,$AV$3:$BC$3,$EB$7)</f>
        <v>451945.1623542282</v>
      </c>
      <c r="EC196" s="415">
        <f>(SUMIFS($J196:$AQ196,$J$3:$AQ$3,$EC$7)*80%)+SUMIFS($AV196:$BC196,$AV$3:$BC$3,$EC$7)</f>
        <v>620.21853185595569</v>
      </c>
      <c r="ED196" s="416">
        <f t="shared" si="70"/>
        <v>452565.38088608417</v>
      </c>
    </row>
    <row r="197" spans="1:134" s="422" customFormat="1" hidden="1" x14ac:dyDescent="0.35">
      <c r="A197" s="18">
        <v>3329</v>
      </c>
      <c r="B197" s="19">
        <v>103431</v>
      </c>
      <c r="C197" s="19" t="s">
        <v>208</v>
      </c>
      <c r="D197" s="19" t="s">
        <v>209</v>
      </c>
      <c r="E197" s="20" t="s">
        <v>32</v>
      </c>
      <c r="F197" s="21" t="s">
        <v>49</v>
      </c>
      <c r="G197" s="417"/>
      <c r="H197" s="418">
        <v>0</v>
      </c>
      <c r="I197" s="418"/>
      <c r="J197" s="418">
        <v>0</v>
      </c>
      <c r="K197" s="418">
        <v>0</v>
      </c>
      <c r="L197" s="418">
        <v>37525.800000000003</v>
      </c>
      <c r="M197" s="418">
        <v>1755</v>
      </c>
      <c r="N197" s="418">
        <v>671.21052631578948</v>
      </c>
      <c r="O197" s="418">
        <v>0</v>
      </c>
      <c r="P197" s="417">
        <f t="shared" si="55"/>
        <v>39952.010526315789</v>
      </c>
      <c r="Q197" s="418">
        <f t="shared" si="56"/>
        <v>31961.608421052631</v>
      </c>
      <c r="R197" s="418"/>
      <c r="S197" s="418"/>
      <c r="T197" s="418"/>
      <c r="U197" s="418"/>
      <c r="V197" s="418"/>
      <c r="W197" s="418"/>
      <c r="X197" s="418"/>
      <c r="Y197" s="418"/>
      <c r="Z197" s="418"/>
      <c r="AA197" s="418"/>
      <c r="AB197" s="419"/>
      <c r="AC197" s="419"/>
      <c r="AD197" s="419"/>
      <c r="AE197" s="419"/>
      <c r="AF197" s="419"/>
      <c r="AG197" s="419"/>
      <c r="AH197" s="418"/>
      <c r="AI197" s="419"/>
      <c r="AJ197" s="418"/>
      <c r="AK197" s="419">
        <v>620.09999999999991</v>
      </c>
      <c r="AL197" s="419"/>
      <c r="AM197" s="419"/>
      <c r="AN197" s="418"/>
      <c r="AO197" s="419">
        <f t="shared" si="61"/>
        <v>496.07999999999993</v>
      </c>
      <c r="AP197" s="419">
        <f t="shared" si="61"/>
        <v>0</v>
      </c>
      <c r="AQ197" s="419">
        <f t="shared" si="61"/>
        <v>0</v>
      </c>
      <c r="AR197" s="420"/>
      <c r="AS197" s="420">
        <v>0</v>
      </c>
      <c r="AT197" s="421">
        <f t="shared" si="62"/>
        <v>0</v>
      </c>
      <c r="AU197" s="420"/>
      <c r="AV197" s="420">
        <v>0</v>
      </c>
      <c r="AW197" s="420">
        <v>0</v>
      </c>
      <c r="AX197" s="420">
        <v>33111</v>
      </c>
      <c r="AY197" s="420">
        <v>1560</v>
      </c>
      <c r="AZ197" s="420">
        <v>596.63157894736844</v>
      </c>
      <c r="BA197" s="420">
        <v>0</v>
      </c>
      <c r="BB197" s="420">
        <v>585</v>
      </c>
      <c r="BC197" s="420">
        <f t="shared" si="63"/>
        <v>35852.631578947367</v>
      </c>
      <c r="BE197" s="214">
        <f t="shared" si="73"/>
        <v>0</v>
      </c>
      <c r="BF197" s="214">
        <f t="shared" si="73"/>
        <v>0</v>
      </c>
      <c r="BG197" s="214">
        <f t="shared" si="73"/>
        <v>-4414.8000000000029</v>
      </c>
      <c r="BH197" s="214">
        <f t="shared" si="73"/>
        <v>-195</v>
      </c>
      <c r="BI197" s="214">
        <f t="shared" si="73"/>
        <v>-74.578947368421041</v>
      </c>
      <c r="BJ197" s="214">
        <f t="shared" si="73"/>
        <v>0</v>
      </c>
      <c r="BK197" s="214">
        <f t="shared" si="64"/>
        <v>-35.099999999999909</v>
      </c>
      <c r="BL197" s="214">
        <f t="shared" si="65"/>
        <v>-4719.4789473684232</v>
      </c>
      <c r="BM197" s="417">
        <f t="shared" si="66"/>
        <v>0</v>
      </c>
      <c r="BN197" s="417"/>
      <c r="BO197" s="420">
        <f t="shared" si="74"/>
        <v>0</v>
      </c>
      <c r="BP197" s="420">
        <f t="shared" si="74"/>
        <v>0</v>
      </c>
      <c r="BQ197" s="420">
        <f t="shared" si="74"/>
        <v>3090.3599999999969</v>
      </c>
      <c r="BR197" s="420">
        <f t="shared" si="74"/>
        <v>156</v>
      </c>
      <c r="BS197" s="420">
        <f t="shared" si="74"/>
        <v>59.663157894736855</v>
      </c>
      <c r="BT197" s="420">
        <f t="shared" si="74"/>
        <v>0</v>
      </c>
      <c r="BU197" s="420">
        <f t="shared" si="72"/>
        <v>88.920000000000073</v>
      </c>
      <c r="BV197" s="412">
        <f t="shared" si="67"/>
        <v>3394.9431578947338</v>
      </c>
      <c r="BW197" s="420">
        <f t="shared" si="52"/>
        <v>0</v>
      </c>
      <c r="BX197" s="420"/>
      <c r="BY197" s="412">
        <f t="shared" si="68"/>
        <v>35852.631578947367</v>
      </c>
      <c r="BZ197" s="420"/>
      <c r="CA197" s="412">
        <f>IFERROR(VLOOKUP(A197,'Actuals Summer'!A:S,19,FALSE),0)</f>
        <v>35852.631578947367</v>
      </c>
      <c r="CC197" s="412"/>
      <c r="CD197" s="412"/>
      <c r="CE197" s="412"/>
      <c r="CF197" s="412"/>
      <c r="CG197" s="412"/>
      <c r="CH197" s="412"/>
      <c r="CI197" s="412"/>
      <c r="CJ197" s="412"/>
      <c r="CK197" s="412"/>
      <c r="CL197" s="412"/>
      <c r="CM197" s="412"/>
      <c r="CN197" s="412"/>
      <c r="CO197" s="412"/>
      <c r="CP197"/>
      <c r="CQ197" s="363"/>
      <c r="CR197" s="363"/>
      <c r="CS197" s="363"/>
      <c r="CT197" s="363"/>
      <c r="CU197" s="363"/>
      <c r="CV197" s="363"/>
      <c r="CW197" s="363"/>
      <c r="CX197" s="363"/>
      <c r="CY197"/>
      <c r="CZ197" s="414"/>
      <c r="DA197" s="414"/>
      <c r="DB197" s="414"/>
      <c r="DC197" s="414"/>
      <c r="DD197" s="414"/>
      <c r="DE197" s="414"/>
      <c r="DF197" s="414"/>
      <c r="DG197" s="414"/>
      <c r="DH197"/>
      <c r="DI197" s="414">
        <f t="shared" si="69"/>
        <v>0</v>
      </c>
      <c r="DJ197" s="423"/>
      <c r="DK197" s="423"/>
      <c r="DL197" s="423"/>
      <c r="DM197" s="423"/>
      <c r="DN197" s="423"/>
      <c r="DO197" s="423"/>
      <c r="DP197" s="423"/>
      <c r="DQ197" s="423"/>
      <c r="DS197" s="423"/>
      <c r="DT197" s="423"/>
      <c r="DU197" s="423"/>
      <c r="DV197" s="423"/>
      <c r="DW197" s="423"/>
      <c r="DX197" s="423"/>
      <c r="DY197" s="423"/>
      <c r="DZ197" s="423"/>
      <c r="EB197" s="425">
        <f t="shared" ref="EB197:EB207" si="75">((SUMIFS($J197:$AQ197,$J$3:$AQ$3,$EB$7)*80%))+SUMIFS($AS197:$AT197,$AS$3:$AT$3,$EB$7)+SUMIFS($AV197:$BC197,$AV$3:$BC$3,$EB$7)</f>
        <v>35852.631578947367</v>
      </c>
      <c r="EC197" s="425">
        <f t="shared" ref="EC197:EC207" si="76">(SUMIFS($J197:$AQ197,$J$3:$AQ$3,$EC$7)*80%)+SUMIFS($AV197:$BC197,$AV$3:$BC$3,$EC$7)</f>
        <v>0</v>
      </c>
      <c r="ED197" s="424">
        <f t="shared" si="70"/>
        <v>35852.631578947367</v>
      </c>
    </row>
    <row r="198" spans="1:134" s="422" customFormat="1" hidden="1" x14ac:dyDescent="0.35">
      <c r="A198" s="18">
        <v>3406</v>
      </c>
      <c r="B198" s="19">
        <v>103476</v>
      </c>
      <c r="C198" s="19" t="s">
        <v>210</v>
      </c>
      <c r="D198" s="19" t="s">
        <v>211</v>
      </c>
      <c r="E198" s="20" t="s">
        <v>32</v>
      </c>
      <c r="F198" s="21" t="s">
        <v>49</v>
      </c>
      <c r="G198" s="417"/>
      <c r="H198" s="418">
        <v>0</v>
      </c>
      <c r="I198" s="418"/>
      <c r="J198" s="418">
        <v>0</v>
      </c>
      <c r="K198" s="418">
        <v>0</v>
      </c>
      <c r="L198" s="418">
        <v>24281.4</v>
      </c>
      <c r="M198" s="418">
        <v>0</v>
      </c>
      <c r="N198" s="418">
        <v>0</v>
      </c>
      <c r="O198" s="418">
        <v>0</v>
      </c>
      <c r="P198" s="417">
        <f t="shared" si="55"/>
        <v>24281.4</v>
      </c>
      <c r="Q198" s="418">
        <f t="shared" si="56"/>
        <v>19425.120000000003</v>
      </c>
      <c r="R198" s="418"/>
      <c r="S198" s="418"/>
      <c r="T198" s="418"/>
      <c r="U198" s="418"/>
      <c r="V198" s="418"/>
      <c r="W198" s="418"/>
      <c r="X198" s="418"/>
      <c r="Y198" s="418"/>
      <c r="Z198" s="418"/>
      <c r="AA198" s="418"/>
      <c r="AB198" s="419"/>
      <c r="AC198" s="419"/>
      <c r="AD198" s="419"/>
      <c r="AE198" s="419"/>
      <c r="AF198" s="419"/>
      <c r="AG198" s="419"/>
      <c r="AH198" s="418"/>
      <c r="AI198" s="419"/>
      <c r="AJ198" s="418"/>
      <c r="AK198" s="419">
        <v>633.75</v>
      </c>
      <c r="AL198" s="419"/>
      <c r="AM198" s="419"/>
      <c r="AN198" s="418"/>
      <c r="AO198" s="419">
        <f t="shared" si="61"/>
        <v>507</v>
      </c>
      <c r="AP198" s="419">
        <f t="shared" si="61"/>
        <v>0</v>
      </c>
      <c r="AQ198" s="419">
        <f t="shared" si="61"/>
        <v>0</v>
      </c>
      <c r="AR198" s="420"/>
      <c r="AS198" s="420">
        <v>0</v>
      </c>
      <c r="AT198" s="421">
        <f t="shared" si="62"/>
        <v>0</v>
      </c>
      <c r="AU198" s="420"/>
      <c r="AV198" s="420">
        <v>0</v>
      </c>
      <c r="AW198" s="420">
        <v>0</v>
      </c>
      <c r="AX198" s="420">
        <v>24281.4</v>
      </c>
      <c r="AY198" s="420">
        <v>2340</v>
      </c>
      <c r="AZ198" s="420">
        <v>894.94736842105272</v>
      </c>
      <c r="BA198" s="420">
        <v>0</v>
      </c>
      <c r="BB198" s="420">
        <v>932.1</v>
      </c>
      <c r="BC198" s="420">
        <f t="shared" si="63"/>
        <v>28448.447368421053</v>
      </c>
      <c r="BE198" s="214">
        <f t="shared" si="73"/>
        <v>0</v>
      </c>
      <c r="BF198" s="214">
        <f t="shared" si="73"/>
        <v>0</v>
      </c>
      <c r="BG198" s="214">
        <f t="shared" si="73"/>
        <v>0</v>
      </c>
      <c r="BH198" s="214">
        <f t="shared" si="73"/>
        <v>2340</v>
      </c>
      <c r="BI198" s="214">
        <f t="shared" si="73"/>
        <v>894.94736842105272</v>
      </c>
      <c r="BJ198" s="214">
        <f t="shared" si="73"/>
        <v>0</v>
      </c>
      <c r="BK198" s="214">
        <f t="shared" si="64"/>
        <v>298.35000000000002</v>
      </c>
      <c r="BL198" s="214">
        <f t="shared" si="65"/>
        <v>3533.2973684210524</v>
      </c>
      <c r="BM198" s="417">
        <f t="shared" si="66"/>
        <v>0</v>
      </c>
      <c r="BN198" s="417"/>
      <c r="BO198" s="420">
        <f t="shared" si="74"/>
        <v>0</v>
      </c>
      <c r="BP198" s="420">
        <f t="shared" si="74"/>
        <v>0</v>
      </c>
      <c r="BQ198" s="420">
        <f t="shared" si="74"/>
        <v>4856.2799999999988</v>
      </c>
      <c r="BR198" s="420">
        <f t="shared" si="74"/>
        <v>2340</v>
      </c>
      <c r="BS198" s="420">
        <f t="shared" si="74"/>
        <v>894.94736842105272</v>
      </c>
      <c r="BT198" s="420">
        <f t="shared" si="74"/>
        <v>0</v>
      </c>
      <c r="BU198" s="420">
        <f t="shared" si="72"/>
        <v>425.1</v>
      </c>
      <c r="BV198" s="412">
        <f t="shared" si="67"/>
        <v>8516.3273684210508</v>
      </c>
      <c r="BW198" s="420">
        <f t="shared" si="52"/>
        <v>0</v>
      </c>
      <c r="BX198" s="420"/>
      <c r="BY198" s="412">
        <f t="shared" si="68"/>
        <v>28448.447368421053</v>
      </c>
      <c r="BZ198" s="420"/>
      <c r="CA198" s="412">
        <f>IFERROR(VLOOKUP(A198,'Actuals Summer'!A:S,19,FALSE),0)</f>
        <v>28448.447368421053</v>
      </c>
      <c r="CC198" s="412"/>
      <c r="CD198" s="412"/>
      <c r="CE198" s="412"/>
      <c r="CF198" s="412"/>
      <c r="CG198" s="412"/>
      <c r="CH198" s="412"/>
      <c r="CI198" s="412"/>
      <c r="CJ198" s="412"/>
      <c r="CK198" s="412"/>
      <c r="CL198" s="412"/>
      <c r="CM198" s="412"/>
      <c r="CN198" s="412"/>
      <c r="CO198" s="412"/>
      <c r="CP198"/>
      <c r="CQ198" s="363"/>
      <c r="CR198" s="363"/>
      <c r="CS198" s="363"/>
      <c r="CT198" s="363"/>
      <c r="CU198" s="363"/>
      <c r="CV198" s="363"/>
      <c r="CW198" s="363"/>
      <c r="CX198" s="363"/>
      <c r="CY198"/>
      <c r="CZ198" s="414"/>
      <c r="DA198" s="414"/>
      <c r="DB198" s="414"/>
      <c r="DC198" s="414"/>
      <c r="DD198" s="414"/>
      <c r="DE198" s="414"/>
      <c r="DF198" s="414"/>
      <c r="DG198" s="414"/>
      <c r="DH198"/>
      <c r="DI198" s="414">
        <f t="shared" si="69"/>
        <v>0</v>
      </c>
      <c r="DJ198" s="423"/>
      <c r="DK198" s="423"/>
      <c r="DL198" s="423"/>
      <c r="DM198" s="423"/>
      <c r="DN198" s="423"/>
      <c r="DO198" s="423"/>
      <c r="DP198" s="423"/>
      <c r="DQ198" s="423"/>
      <c r="DS198" s="423"/>
      <c r="DT198" s="423"/>
      <c r="DU198" s="423"/>
      <c r="DV198" s="423"/>
      <c r="DW198" s="423"/>
      <c r="DX198" s="423"/>
      <c r="DY198" s="423"/>
      <c r="DZ198" s="423"/>
      <c r="EB198" s="425">
        <f t="shared" si="75"/>
        <v>28448.447368421053</v>
      </c>
      <c r="EC198" s="425">
        <f t="shared" si="76"/>
        <v>0</v>
      </c>
      <c r="ED198" s="424">
        <f t="shared" si="70"/>
        <v>28448.447368421053</v>
      </c>
    </row>
    <row r="199" spans="1:134" s="422" customFormat="1" hidden="1" x14ac:dyDescent="0.35">
      <c r="A199" s="18">
        <v>3342</v>
      </c>
      <c r="B199" s="19">
        <v>103437</v>
      </c>
      <c r="C199" s="19" t="s">
        <v>1082</v>
      </c>
      <c r="D199" s="19" t="s">
        <v>1083</v>
      </c>
      <c r="E199" s="20" t="s">
        <v>32</v>
      </c>
      <c r="F199" s="21" t="s">
        <v>49</v>
      </c>
      <c r="G199" s="417"/>
      <c r="H199" s="418">
        <v>0</v>
      </c>
      <c r="I199" s="418"/>
      <c r="J199" s="418">
        <v>0</v>
      </c>
      <c r="K199" s="418">
        <v>0</v>
      </c>
      <c r="L199" s="418">
        <v>0</v>
      </c>
      <c r="M199" s="418">
        <v>0</v>
      </c>
      <c r="N199" s="418">
        <v>0</v>
      </c>
      <c r="O199" s="418">
        <v>0</v>
      </c>
      <c r="P199" s="417">
        <f t="shared" si="55"/>
        <v>0</v>
      </c>
      <c r="Q199" s="418">
        <f t="shared" si="56"/>
        <v>0</v>
      </c>
      <c r="R199" s="418"/>
      <c r="S199" s="418">
        <v>0</v>
      </c>
      <c r="T199" s="418">
        <v>0</v>
      </c>
      <c r="U199" s="418">
        <v>0</v>
      </c>
      <c r="V199" s="418">
        <v>0</v>
      </c>
      <c r="W199" s="418">
        <v>0</v>
      </c>
      <c r="X199" s="418">
        <v>0</v>
      </c>
      <c r="Y199" s="418">
        <f t="shared" si="57"/>
        <v>0</v>
      </c>
      <c r="Z199" s="418">
        <f t="shared" si="58"/>
        <v>0</v>
      </c>
      <c r="AA199" s="418"/>
      <c r="AB199" s="419">
        <v>0</v>
      </c>
      <c r="AC199" s="419">
        <v>0</v>
      </c>
      <c r="AD199" s="419">
        <v>0</v>
      </c>
      <c r="AE199" s="419">
        <v>0</v>
      </c>
      <c r="AF199" s="419">
        <v>0</v>
      </c>
      <c r="AG199" s="419">
        <v>0</v>
      </c>
      <c r="AH199" s="418">
        <f t="shared" si="59"/>
        <v>0</v>
      </c>
      <c r="AI199" s="419">
        <f t="shared" si="60"/>
        <v>0</v>
      </c>
      <c r="AJ199" s="418"/>
      <c r="AK199" s="419">
        <v>0</v>
      </c>
      <c r="AL199" s="419">
        <v>0</v>
      </c>
      <c r="AM199" s="419">
        <v>0</v>
      </c>
      <c r="AN199" s="418"/>
      <c r="AO199" s="419">
        <f t="shared" si="61"/>
        <v>0</v>
      </c>
      <c r="AP199" s="419">
        <f t="shared" si="61"/>
        <v>0</v>
      </c>
      <c r="AQ199" s="419">
        <f t="shared" si="61"/>
        <v>0</v>
      </c>
      <c r="AR199" s="420"/>
      <c r="AS199" s="420">
        <v>0</v>
      </c>
      <c r="AT199" s="421">
        <f t="shared" si="62"/>
        <v>0</v>
      </c>
      <c r="AU199" s="420"/>
      <c r="AV199" s="420">
        <v>0</v>
      </c>
      <c r="AW199" s="420">
        <v>0</v>
      </c>
      <c r="AX199" s="420">
        <v>0</v>
      </c>
      <c r="AY199" s="420">
        <v>0</v>
      </c>
      <c r="AZ199" s="420">
        <v>0</v>
      </c>
      <c r="BA199" s="420">
        <v>0</v>
      </c>
      <c r="BB199" s="420">
        <v>0</v>
      </c>
      <c r="BC199" s="420">
        <f t="shared" si="63"/>
        <v>0</v>
      </c>
      <c r="BE199" s="214">
        <f t="shared" si="73"/>
        <v>0</v>
      </c>
      <c r="BF199" s="214">
        <f t="shared" si="73"/>
        <v>0</v>
      </c>
      <c r="BG199" s="214">
        <f t="shared" si="73"/>
        <v>0</v>
      </c>
      <c r="BH199" s="214">
        <f t="shared" si="73"/>
        <v>0</v>
      </c>
      <c r="BI199" s="214">
        <f t="shared" si="73"/>
        <v>0</v>
      </c>
      <c r="BJ199" s="214">
        <f t="shared" si="73"/>
        <v>0</v>
      </c>
      <c r="BK199" s="214">
        <f t="shared" si="64"/>
        <v>0</v>
      </c>
      <c r="BL199" s="214">
        <f t="shared" si="65"/>
        <v>0</v>
      </c>
      <c r="BM199" s="417">
        <f t="shared" si="66"/>
        <v>0</v>
      </c>
      <c r="BN199" s="417"/>
      <c r="BO199" s="420">
        <f t="shared" si="74"/>
        <v>0</v>
      </c>
      <c r="BP199" s="420">
        <f t="shared" si="74"/>
        <v>0</v>
      </c>
      <c r="BQ199" s="420">
        <f t="shared" si="74"/>
        <v>0</v>
      </c>
      <c r="BR199" s="420">
        <f t="shared" si="74"/>
        <v>0</v>
      </c>
      <c r="BS199" s="420">
        <f t="shared" si="74"/>
        <v>0</v>
      </c>
      <c r="BT199" s="420">
        <f t="shared" si="74"/>
        <v>0</v>
      </c>
      <c r="BU199" s="420">
        <f t="shared" si="72"/>
        <v>0</v>
      </c>
      <c r="BV199" s="412">
        <f t="shared" si="67"/>
        <v>0</v>
      </c>
      <c r="BW199" s="420">
        <f t="shared" si="52"/>
        <v>0</v>
      </c>
      <c r="BX199" s="420"/>
      <c r="BY199" s="412">
        <f t="shared" si="68"/>
        <v>0</v>
      </c>
      <c r="BZ199" s="420"/>
      <c r="CA199" s="412">
        <f>IFERROR(VLOOKUP(A199,'Actuals Summer'!A:S,19,FALSE),0)</f>
        <v>0</v>
      </c>
      <c r="CC199" s="412"/>
      <c r="CD199" s="412"/>
      <c r="CE199" s="412"/>
      <c r="CF199" s="412"/>
      <c r="CG199" s="412"/>
      <c r="CH199" s="412"/>
      <c r="CI199" s="412"/>
      <c r="CJ199" s="412"/>
      <c r="CK199" s="412"/>
      <c r="CL199" s="412"/>
      <c r="CM199" s="412"/>
      <c r="CN199" s="412"/>
      <c r="CO199" s="412"/>
      <c r="CP199"/>
      <c r="CQ199" s="363"/>
      <c r="CR199" s="363"/>
      <c r="CS199" s="363"/>
      <c r="CT199" s="363"/>
      <c r="CU199" s="363"/>
      <c r="CV199" s="363"/>
      <c r="CW199" s="363"/>
      <c r="CX199" s="363"/>
      <c r="CY199"/>
      <c r="CZ199" s="414"/>
      <c r="DA199" s="414"/>
      <c r="DB199" s="414"/>
      <c r="DC199" s="414"/>
      <c r="DD199" s="414"/>
      <c r="DE199" s="414"/>
      <c r="DF199" s="414"/>
      <c r="DG199" s="414"/>
      <c r="DH199"/>
      <c r="DI199" s="414">
        <f t="shared" si="69"/>
        <v>0</v>
      </c>
      <c r="DJ199" s="423"/>
      <c r="DK199" s="423"/>
      <c r="DL199" s="423"/>
      <c r="DM199" s="423"/>
      <c r="DN199" s="423"/>
      <c r="DO199" s="423"/>
      <c r="DP199" s="423"/>
      <c r="DQ199" s="423"/>
      <c r="DS199" s="423"/>
      <c r="DT199" s="423"/>
      <c r="DU199" s="423"/>
      <c r="DV199" s="423"/>
      <c r="DW199" s="423"/>
      <c r="DX199" s="423"/>
      <c r="DY199" s="423"/>
      <c r="DZ199" s="423"/>
      <c r="EB199" s="425">
        <f t="shared" si="75"/>
        <v>0</v>
      </c>
      <c r="EC199" s="425">
        <f t="shared" si="76"/>
        <v>0</v>
      </c>
      <c r="ED199" s="424">
        <f t="shared" si="70"/>
        <v>0</v>
      </c>
    </row>
    <row r="200" spans="1:134" hidden="1" x14ac:dyDescent="0.35">
      <c r="A200" s="17">
        <v>3382</v>
      </c>
      <c r="B200" s="4">
        <v>103467</v>
      </c>
      <c r="C200" s="4" t="s">
        <v>1084</v>
      </c>
      <c r="D200" s="4" t="s">
        <v>1085</v>
      </c>
      <c r="E200" s="15" t="s">
        <v>32</v>
      </c>
      <c r="F200" s="16" t="s">
        <v>27</v>
      </c>
      <c r="G200" s="215"/>
      <c r="H200" s="363">
        <v>0</v>
      </c>
      <c r="I200" s="410"/>
      <c r="J200" s="363">
        <v>0</v>
      </c>
      <c r="K200" s="363">
        <v>0</v>
      </c>
      <c r="L200" s="363">
        <v>0</v>
      </c>
      <c r="M200" s="363">
        <v>0</v>
      </c>
      <c r="N200" s="363">
        <v>0</v>
      </c>
      <c r="O200" s="363">
        <v>0</v>
      </c>
      <c r="P200" s="215">
        <f t="shared" si="55"/>
        <v>0</v>
      </c>
      <c r="Q200" s="363">
        <f t="shared" si="56"/>
        <v>0</v>
      </c>
      <c r="R200" s="410"/>
      <c r="S200" s="363">
        <v>0</v>
      </c>
      <c r="T200" s="363">
        <v>0</v>
      </c>
      <c r="U200" s="363">
        <v>0</v>
      </c>
      <c r="V200" s="363">
        <v>0</v>
      </c>
      <c r="W200" s="363">
        <v>0</v>
      </c>
      <c r="X200" s="363">
        <v>0</v>
      </c>
      <c r="Y200" s="363">
        <f t="shared" si="57"/>
        <v>0</v>
      </c>
      <c r="Z200" s="363">
        <f t="shared" si="58"/>
        <v>0</v>
      </c>
      <c r="AA200" s="410"/>
      <c r="AB200" s="411">
        <v>0</v>
      </c>
      <c r="AC200" s="411">
        <v>0</v>
      </c>
      <c r="AD200" s="411">
        <v>0</v>
      </c>
      <c r="AE200" s="411">
        <v>0</v>
      </c>
      <c r="AF200" s="411">
        <v>0</v>
      </c>
      <c r="AG200" s="411">
        <v>0</v>
      </c>
      <c r="AH200" s="363">
        <f t="shared" si="59"/>
        <v>0</v>
      </c>
      <c r="AI200" s="411">
        <f t="shared" si="60"/>
        <v>0</v>
      </c>
      <c r="AJ200" s="410"/>
      <c r="AK200" s="411">
        <v>0</v>
      </c>
      <c r="AL200" s="411">
        <v>0</v>
      </c>
      <c r="AM200" s="411">
        <v>0</v>
      </c>
      <c r="AN200" s="410"/>
      <c r="AO200" s="411">
        <f t="shared" si="61"/>
        <v>0</v>
      </c>
      <c r="AP200" s="411">
        <f t="shared" si="61"/>
        <v>0</v>
      </c>
      <c r="AQ200" s="411">
        <f t="shared" si="61"/>
        <v>0</v>
      </c>
      <c r="AR200" s="412"/>
      <c r="AS200" s="412">
        <v>0</v>
      </c>
      <c r="AT200" s="413">
        <f t="shared" si="62"/>
        <v>0</v>
      </c>
      <c r="AU200" s="412"/>
      <c r="AV200" s="412">
        <v>0</v>
      </c>
      <c r="AW200" s="412">
        <v>0</v>
      </c>
      <c r="AX200" s="412">
        <v>0</v>
      </c>
      <c r="AY200" s="412">
        <v>0</v>
      </c>
      <c r="AZ200" s="412">
        <v>0</v>
      </c>
      <c r="BA200" s="412">
        <v>0</v>
      </c>
      <c r="BB200" s="412">
        <v>0</v>
      </c>
      <c r="BC200" s="412">
        <f t="shared" si="63"/>
        <v>0</v>
      </c>
      <c r="BE200" s="205">
        <f t="shared" si="73"/>
        <v>0</v>
      </c>
      <c r="BF200" s="205">
        <f t="shared" si="73"/>
        <v>0</v>
      </c>
      <c r="BG200" s="205">
        <f t="shared" si="73"/>
        <v>0</v>
      </c>
      <c r="BH200" s="205">
        <f t="shared" si="73"/>
        <v>0</v>
      </c>
      <c r="BI200" s="205">
        <f t="shared" si="73"/>
        <v>0</v>
      </c>
      <c r="BJ200" s="205">
        <f t="shared" si="73"/>
        <v>0</v>
      </c>
      <c r="BK200" s="205">
        <f t="shared" si="64"/>
        <v>0</v>
      </c>
      <c r="BL200" s="205">
        <f t="shared" si="65"/>
        <v>0</v>
      </c>
      <c r="BM200" s="215">
        <f t="shared" si="66"/>
        <v>0</v>
      </c>
      <c r="BN200" s="215"/>
      <c r="BO200" s="412">
        <f t="shared" si="74"/>
        <v>0</v>
      </c>
      <c r="BP200" s="412">
        <f t="shared" si="74"/>
        <v>0</v>
      </c>
      <c r="BQ200" s="412">
        <f t="shared" si="74"/>
        <v>0</v>
      </c>
      <c r="BR200" s="412">
        <f t="shared" si="74"/>
        <v>0</v>
      </c>
      <c r="BS200" s="412">
        <f t="shared" si="74"/>
        <v>0</v>
      </c>
      <c r="BT200" s="412">
        <f t="shared" si="74"/>
        <v>0</v>
      </c>
      <c r="BU200" s="412">
        <f t="shared" si="72"/>
        <v>0</v>
      </c>
      <c r="BV200" s="412">
        <f t="shared" si="67"/>
        <v>0</v>
      </c>
      <c r="BW200" s="412">
        <f t="shared" ref="BW200:BW207" si="77">(Q200+AO200+AS200+BV200)-BC200-AT200</f>
        <v>0</v>
      </c>
      <c r="BX200" s="412"/>
      <c r="BY200" s="412">
        <f t="shared" si="68"/>
        <v>0</v>
      </c>
      <c r="BZ200" s="412"/>
      <c r="CA200" s="412">
        <f>IFERROR(VLOOKUP(A200,'Actuals Summer'!A:S,19,FALSE),0)</f>
        <v>0</v>
      </c>
      <c r="CC200" s="412"/>
      <c r="CD200" s="412"/>
      <c r="CE200" s="412"/>
      <c r="CF200" s="412"/>
      <c r="CG200" s="412"/>
      <c r="CH200" s="412"/>
      <c r="CI200" s="412"/>
      <c r="CJ200" s="412"/>
      <c r="CK200" s="412"/>
      <c r="CL200" s="412"/>
      <c r="CM200" s="412"/>
      <c r="CN200" s="412"/>
      <c r="CO200" s="412"/>
      <c r="CQ200" s="363"/>
      <c r="CR200" s="363"/>
      <c r="CS200" s="363"/>
      <c r="CT200" s="363"/>
      <c r="CU200" s="363"/>
      <c r="CV200" s="363"/>
      <c r="CW200" s="363"/>
      <c r="CX200" s="363"/>
      <c r="CZ200" s="414"/>
      <c r="DA200" s="414"/>
      <c r="DB200" s="414"/>
      <c r="DC200" s="414"/>
      <c r="DD200" s="414"/>
      <c r="DE200" s="414"/>
      <c r="DF200" s="414"/>
      <c r="DG200" s="414"/>
      <c r="DI200" s="414">
        <f t="shared" si="69"/>
        <v>0</v>
      </c>
      <c r="DJ200" s="414"/>
      <c r="DK200" s="414"/>
      <c r="DL200" s="414"/>
      <c r="DM200" s="414"/>
      <c r="DN200" s="414"/>
      <c r="DO200" s="414"/>
      <c r="DP200" s="414"/>
      <c r="DQ200" s="414"/>
      <c r="DS200" s="414"/>
      <c r="DT200" s="414"/>
      <c r="DU200" s="414"/>
      <c r="DV200" s="414"/>
      <c r="DW200" s="414"/>
      <c r="DX200" s="414"/>
      <c r="DY200" s="414"/>
      <c r="DZ200" s="414"/>
      <c r="EB200" s="415">
        <f t="shared" si="75"/>
        <v>0</v>
      </c>
      <c r="EC200" s="415">
        <f t="shared" si="76"/>
        <v>0</v>
      </c>
      <c r="ED200" s="416">
        <f t="shared" si="70"/>
        <v>0</v>
      </c>
    </row>
    <row r="201" spans="1:134" hidden="1" x14ac:dyDescent="0.35">
      <c r="A201" s="17">
        <v>3346</v>
      </c>
      <c r="B201" s="4">
        <v>103439</v>
      </c>
      <c r="C201" s="4" t="s">
        <v>212</v>
      </c>
      <c r="D201" s="4" t="s">
        <v>213</v>
      </c>
      <c r="E201" s="15" t="s">
        <v>32</v>
      </c>
      <c r="F201" s="16" t="s">
        <v>27</v>
      </c>
      <c r="G201" s="215"/>
      <c r="H201" s="363">
        <v>0</v>
      </c>
      <c r="I201" s="410"/>
      <c r="J201" s="363">
        <v>0</v>
      </c>
      <c r="K201" s="363">
        <v>0</v>
      </c>
      <c r="L201" s="363">
        <v>29799.9</v>
      </c>
      <c r="M201" s="363">
        <v>1365</v>
      </c>
      <c r="N201" s="363">
        <v>223.73684210526318</v>
      </c>
      <c r="O201" s="363">
        <v>0</v>
      </c>
      <c r="P201" s="215">
        <f t="shared" ref="P201:P207" si="78">SUM(J201:O201)</f>
        <v>31388.636842105265</v>
      </c>
      <c r="Q201" s="363">
        <f t="shared" ref="Q201:Q207" si="79">P201*80%</f>
        <v>25110.909473684213</v>
      </c>
      <c r="R201" s="410"/>
      <c r="S201" s="363">
        <v>0</v>
      </c>
      <c r="T201" s="363">
        <v>0</v>
      </c>
      <c r="U201" s="363">
        <v>27592.5</v>
      </c>
      <c r="V201" s="363">
        <v>1365</v>
      </c>
      <c r="W201" s="363">
        <v>522.0526315789474</v>
      </c>
      <c r="X201" s="363">
        <v>0</v>
      </c>
      <c r="Y201" s="363">
        <f t="shared" ref="Y201:Y207" si="80">SUM(S201:X201)</f>
        <v>29479.552631578947</v>
      </c>
      <c r="Z201" s="363">
        <f t="shared" ref="Z201:Z207" si="81">Y201*80%</f>
        <v>23583.642105263159</v>
      </c>
      <c r="AA201" s="410"/>
      <c r="AB201" s="411">
        <v>0</v>
      </c>
      <c r="AC201" s="411">
        <v>0</v>
      </c>
      <c r="AD201" s="411">
        <v>25738.10526315789</v>
      </c>
      <c r="AE201" s="411">
        <v>1250.5263157894738</v>
      </c>
      <c r="AF201" s="411">
        <v>347.83379501385036</v>
      </c>
      <c r="AG201" s="411">
        <v>0</v>
      </c>
      <c r="AH201" s="363">
        <f t="shared" ref="AH201:AH207" si="82">SUM(AB201:AG201)</f>
        <v>27336.465373961215</v>
      </c>
      <c r="AI201" s="411">
        <f t="shared" ref="AI201:AI207" si="83">AH201*80%</f>
        <v>21869.172299168975</v>
      </c>
      <c r="AJ201" s="410"/>
      <c r="AK201" s="411">
        <v>1561.9499999999998</v>
      </c>
      <c r="AL201" s="411">
        <v>1474.2</v>
      </c>
      <c r="AM201" s="411">
        <v>1323.8526315789472</v>
      </c>
      <c r="AN201" s="410"/>
      <c r="AO201" s="411">
        <f t="shared" ref="AO201:AQ207" si="84">AK201*80%</f>
        <v>1249.56</v>
      </c>
      <c r="AP201" s="411">
        <f t="shared" si="84"/>
        <v>1179.3600000000001</v>
      </c>
      <c r="AQ201" s="411">
        <f t="shared" si="84"/>
        <v>1059.0821052631579</v>
      </c>
      <c r="AR201" s="412"/>
      <c r="AS201" s="412">
        <v>0</v>
      </c>
      <c r="AT201" s="413">
        <f t="shared" ref="AT201:AT207" si="85">AS201-H201</f>
        <v>0</v>
      </c>
      <c r="AU201" s="412"/>
      <c r="AV201" s="412">
        <v>0</v>
      </c>
      <c r="AW201" s="412">
        <v>0</v>
      </c>
      <c r="AX201" s="412">
        <v>32007.3</v>
      </c>
      <c r="AY201" s="412">
        <v>585</v>
      </c>
      <c r="AZ201" s="412">
        <v>0</v>
      </c>
      <c r="BA201" s="412">
        <v>0</v>
      </c>
      <c r="BB201" s="412">
        <v>1571.6999999999998</v>
      </c>
      <c r="BC201" s="412">
        <f t="shared" ref="BC201:BC207" si="86">SUM(AV201:BB201)+AS201</f>
        <v>34164</v>
      </c>
      <c r="BE201" s="205">
        <f t="shared" si="73"/>
        <v>0</v>
      </c>
      <c r="BF201" s="205">
        <f t="shared" si="73"/>
        <v>0</v>
      </c>
      <c r="BG201" s="205">
        <f t="shared" si="73"/>
        <v>2207.3999999999978</v>
      </c>
      <c r="BH201" s="205">
        <f t="shared" si="73"/>
        <v>-780</v>
      </c>
      <c r="BI201" s="205">
        <f t="shared" si="73"/>
        <v>-223.73684210526318</v>
      </c>
      <c r="BJ201" s="205">
        <f t="shared" si="73"/>
        <v>0</v>
      </c>
      <c r="BK201" s="205">
        <f t="shared" ref="BK201:BK207" si="87">BB201-AK201</f>
        <v>9.75</v>
      </c>
      <c r="BL201" s="205">
        <f t="shared" ref="BL201:BL207" si="88">SUM(BE201:BK201)+AT201</f>
        <v>1213.4131578947347</v>
      </c>
      <c r="BM201" s="215">
        <f t="shared" ref="BM201:BM207" si="89">BC201-(P201+H201+BL201+AK201)</f>
        <v>0</v>
      </c>
      <c r="BN201" s="215"/>
      <c r="BO201" s="412">
        <f t="shared" si="74"/>
        <v>0</v>
      </c>
      <c r="BP201" s="412">
        <f t="shared" si="74"/>
        <v>0</v>
      </c>
      <c r="BQ201" s="412">
        <f t="shared" si="74"/>
        <v>8167.3799999999974</v>
      </c>
      <c r="BR201" s="412">
        <f t="shared" si="74"/>
        <v>-507</v>
      </c>
      <c r="BS201" s="412">
        <f t="shared" si="74"/>
        <v>-178.98947368421057</v>
      </c>
      <c r="BT201" s="412">
        <f t="shared" si="74"/>
        <v>0</v>
      </c>
      <c r="BU201" s="412">
        <f t="shared" si="72"/>
        <v>322.13999999999987</v>
      </c>
      <c r="BV201" s="412">
        <f t="shared" ref="BV201:BV208" si="90">SUM(BO201:BU201)</f>
        <v>7803.5305263157861</v>
      </c>
      <c r="BW201" s="412">
        <f t="shared" si="77"/>
        <v>0</v>
      </c>
      <c r="BX201" s="412"/>
      <c r="BY201" s="412">
        <f t="shared" ref="BY201:BY207" si="91">(BV201+Q201+AO201)</f>
        <v>34164</v>
      </c>
      <c r="BZ201" s="412"/>
      <c r="CA201" s="412">
        <f>IFERROR(VLOOKUP(A201,'Actuals Summer'!A:S,19,FALSE),0)</f>
        <v>34164</v>
      </c>
      <c r="CC201" s="412"/>
      <c r="CD201" s="412"/>
      <c r="CE201" s="412"/>
      <c r="CF201" s="412"/>
      <c r="CG201" s="412"/>
      <c r="CH201" s="412"/>
      <c r="CI201" s="412"/>
      <c r="CJ201" s="412"/>
      <c r="CK201" s="412"/>
      <c r="CL201" s="412"/>
      <c r="CM201" s="412"/>
      <c r="CN201" s="412"/>
      <c r="CO201" s="412"/>
      <c r="CQ201" s="363"/>
      <c r="CR201" s="363"/>
      <c r="CS201" s="363"/>
      <c r="CT201" s="363"/>
      <c r="CU201" s="363"/>
      <c r="CV201" s="363"/>
      <c r="CW201" s="363"/>
      <c r="CX201" s="363"/>
      <c r="CZ201" s="414"/>
      <c r="DA201" s="414"/>
      <c r="DB201" s="414"/>
      <c r="DC201" s="414"/>
      <c r="DD201" s="414"/>
      <c r="DE201" s="414"/>
      <c r="DF201" s="414"/>
      <c r="DG201" s="414"/>
      <c r="DI201" s="414">
        <f t="shared" ref="DI201:DI207" si="92">BY201-CA201</f>
        <v>0</v>
      </c>
      <c r="DJ201" s="414"/>
      <c r="DK201" s="414"/>
      <c r="DL201" s="414"/>
      <c r="DM201" s="414"/>
      <c r="DN201" s="414"/>
      <c r="DO201" s="414"/>
      <c r="DP201" s="414"/>
      <c r="DQ201" s="414"/>
      <c r="DS201" s="414"/>
      <c r="DT201" s="414"/>
      <c r="DU201" s="414"/>
      <c r="DV201" s="414"/>
      <c r="DW201" s="414"/>
      <c r="DX201" s="414"/>
      <c r="DY201" s="414"/>
      <c r="DZ201" s="414"/>
      <c r="EB201" s="415">
        <f t="shared" si="75"/>
        <v>81855.256509695289</v>
      </c>
      <c r="EC201" s="415">
        <f t="shared" si="76"/>
        <v>0</v>
      </c>
      <c r="ED201" s="416">
        <f t="shared" ref="ED201:ED207" si="93">EB201+EC201</f>
        <v>81855.256509695289</v>
      </c>
    </row>
    <row r="202" spans="1:134" s="422" customFormat="1" hidden="1" x14ac:dyDescent="0.35">
      <c r="A202" s="18">
        <v>3365</v>
      </c>
      <c r="B202" s="19">
        <v>103456</v>
      </c>
      <c r="C202" s="19" t="s">
        <v>1086</v>
      </c>
      <c r="D202" s="19" t="s">
        <v>1087</v>
      </c>
      <c r="E202" s="20" t="s">
        <v>32</v>
      </c>
      <c r="F202" s="21" t="s">
        <v>49</v>
      </c>
      <c r="G202" s="417"/>
      <c r="H202" s="418">
        <v>0</v>
      </c>
      <c r="I202" s="418"/>
      <c r="J202" s="418">
        <v>0</v>
      </c>
      <c r="K202" s="418">
        <v>0</v>
      </c>
      <c r="L202" s="418">
        <v>0</v>
      </c>
      <c r="M202" s="418">
        <v>0</v>
      </c>
      <c r="N202" s="418">
        <v>0</v>
      </c>
      <c r="O202" s="418">
        <v>0</v>
      </c>
      <c r="P202" s="417">
        <f t="shared" si="78"/>
        <v>0</v>
      </c>
      <c r="Q202" s="418">
        <f t="shared" si="79"/>
        <v>0</v>
      </c>
      <c r="R202" s="418"/>
      <c r="S202" s="418">
        <v>0</v>
      </c>
      <c r="T202" s="418">
        <v>0</v>
      </c>
      <c r="U202" s="418">
        <v>0</v>
      </c>
      <c r="V202" s="418">
        <v>0</v>
      </c>
      <c r="W202" s="418">
        <v>0</v>
      </c>
      <c r="X202" s="418">
        <v>0</v>
      </c>
      <c r="Y202" s="418">
        <f t="shared" si="80"/>
        <v>0</v>
      </c>
      <c r="Z202" s="418">
        <f t="shared" si="81"/>
        <v>0</v>
      </c>
      <c r="AA202" s="418"/>
      <c r="AB202" s="419">
        <v>0</v>
      </c>
      <c r="AC202" s="419">
        <v>0</v>
      </c>
      <c r="AD202" s="419">
        <v>0</v>
      </c>
      <c r="AE202" s="419">
        <v>0</v>
      </c>
      <c r="AF202" s="419">
        <v>0</v>
      </c>
      <c r="AG202" s="419">
        <v>0</v>
      </c>
      <c r="AH202" s="418">
        <f t="shared" si="82"/>
        <v>0</v>
      </c>
      <c r="AI202" s="419">
        <f t="shared" si="83"/>
        <v>0</v>
      </c>
      <c r="AJ202" s="418"/>
      <c r="AK202" s="419">
        <v>0</v>
      </c>
      <c r="AL202" s="419">
        <v>0</v>
      </c>
      <c r="AM202" s="419">
        <v>0</v>
      </c>
      <c r="AN202" s="418"/>
      <c r="AO202" s="419">
        <f t="shared" si="84"/>
        <v>0</v>
      </c>
      <c r="AP202" s="419">
        <f t="shared" si="84"/>
        <v>0</v>
      </c>
      <c r="AQ202" s="419">
        <f t="shared" si="84"/>
        <v>0</v>
      </c>
      <c r="AR202" s="420"/>
      <c r="AS202" s="420">
        <v>0</v>
      </c>
      <c r="AT202" s="421">
        <f t="shared" si="85"/>
        <v>0</v>
      </c>
      <c r="AU202" s="420"/>
      <c r="AV202" s="420">
        <v>0</v>
      </c>
      <c r="AW202" s="420">
        <v>0</v>
      </c>
      <c r="AX202" s="420">
        <v>0</v>
      </c>
      <c r="AY202" s="420">
        <v>0</v>
      </c>
      <c r="AZ202" s="420">
        <v>0</v>
      </c>
      <c r="BA202" s="420">
        <v>0</v>
      </c>
      <c r="BB202" s="420">
        <v>0</v>
      </c>
      <c r="BC202" s="420">
        <f t="shared" si="86"/>
        <v>0</v>
      </c>
      <c r="BE202" s="214">
        <f t="shared" si="73"/>
        <v>0</v>
      </c>
      <c r="BF202" s="214">
        <f t="shared" si="73"/>
        <v>0</v>
      </c>
      <c r="BG202" s="214">
        <f t="shared" si="73"/>
        <v>0</v>
      </c>
      <c r="BH202" s="214">
        <f t="shared" si="73"/>
        <v>0</v>
      </c>
      <c r="BI202" s="214">
        <f t="shared" si="73"/>
        <v>0</v>
      </c>
      <c r="BJ202" s="214">
        <f t="shared" si="73"/>
        <v>0</v>
      </c>
      <c r="BK202" s="214">
        <f t="shared" si="87"/>
        <v>0</v>
      </c>
      <c r="BL202" s="214">
        <f t="shared" si="88"/>
        <v>0</v>
      </c>
      <c r="BM202" s="417">
        <f t="shared" si="89"/>
        <v>0</v>
      </c>
      <c r="BN202" s="417"/>
      <c r="BO202" s="420">
        <f t="shared" si="74"/>
        <v>0</v>
      </c>
      <c r="BP202" s="420">
        <f t="shared" si="74"/>
        <v>0</v>
      </c>
      <c r="BQ202" s="420">
        <f t="shared" si="74"/>
        <v>0</v>
      </c>
      <c r="BR202" s="420">
        <f t="shared" si="74"/>
        <v>0</v>
      </c>
      <c r="BS202" s="420">
        <f t="shared" si="74"/>
        <v>0</v>
      </c>
      <c r="BT202" s="420">
        <f t="shared" si="74"/>
        <v>0</v>
      </c>
      <c r="BU202" s="420">
        <f t="shared" si="72"/>
        <v>0</v>
      </c>
      <c r="BV202" s="412">
        <f t="shared" si="90"/>
        <v>0</v>
      </c>
      <c r="BW202" s="420">
        <f t="shared" si="77"/>
        <v>0</v>
      </c>
      <c r="BX202" s="420"/>
      <c r="BY202" s="412">
        <f t="shared" si="91"/>
        <v>0</v>
      </c>
      <c r="BZ202" s="420"/>
      <c r="CA202" s="412">
        <f>IFERROR(VLOOKUP(A202,'Actuals Summer'!A:S,19,FALSE),0)</f>
        <v>0</v>
      </c>
      <c r="CC202" s="412"/>
      <c r="CD202" s="412"/>
      <c r="CE202" s="412"/>
      <c r="CF202" s="412"/>
      <c r="CG202" s="412"/>
      <c r="CH202" s="412"/>
      <c r="CI202" s="412"/>
      <c r="CJ202" s="412"/>
      <c r="CK202" s="412"/>
      <c r="CL202" s="412"/>
      <c r="CM202" s="412"/>
      <c r="CN202" s="412"/>
      <c r="CO202" s="412"/>
      <c r="CP202"/>
      <c r="CQ202" s="363"/>
      <c r="CR202" s="363"/>
      <c r="CS202" s="363"/>
      <c r="CT202" s="363"/>
      <c r="CU202" s="363"/>
      <c r="CV202" s="363"/>
      <c r="CW202" s="363"/>
      <c r="CX202" s="363"/>
      <c r="CY202"/>
      <c r="CZ202" s="414"/>
      <c r="DA202" s="414"/>
      <c r="DB202" s="414"/>
      <c r="DC202" s="414"/>
      <c r="DD202" s="414"/>
      <c r="DE202" s="414"/>
      <c r="DF202" s="414"/>
      <c r="DG202" s="414"/>
      <c r="DH202"/>
      <c r="DI202" s="414">
        <f t="shared" si="92"/>
        <v>0</v>
      </c>
      <c r="DJ202" s="423"/>
      <c r="DK202" s="423"/>
      <c r="DL202" s="423"/>
      <c r="DM202" s="423"/>
      <c r="DN202" s="423"/>
      <c r="DO202" s="423"/>
      <c r="DP202" s="423"/>
      <c r="DQ202" s="423"/>
      <c r="DS202" s="423"/>
      <c r="DT202" s="423"/>
      <c r="DU202" s="423"/>
      <c r="DV202" s="423"/>
      <c r="DW202" s="423"/>
      <c r="DX202" s="423"/>
      <c r="DY202" s="423"/>
      <c r="DZ202" s="423"/>
      <c r="EB202" s="425">
        <f t="shared" si="75"/>
        <v>0</v>
      </c>
      <c r="EC202" s="425">
        <f t="shared" si="76"/>
        <v>0</v>
      </c>
      <c r="ED202" s="424">
        <f t="shared" si="93"/>
        <v>0</v>
      </c>
    </row>
    <row r="203" spans="1:134" hidden="1" x14ac:dyDescent="0.35">
      <c r="A203" s="17">
        <v>1009</v>
      </c>
      <c r="B203" s="4">
        <v>103124</v>
      </c>
      <c r="C203" s="4" t="s">
        <v>214</v>
      </c>
      <c r="D203" s="4" t="s">
        <v>215</v>
      </c>
      <c r="E203" s="15" t="s">
        <v>26</v>
      </c>
      <c r="F203" s="16" t="s">
        <v>27</v>
      </c>
      <c r="G203" s="215"/>
      <c r="H203" s="363">
        <v>269780.76954675635</v>
      </c>
      <c r="I203" s="410"/>
      <c r="J203" s="363">
        <v>0</v>
      </c>
      <c r="K203" s="363">
        <v>66378</v>
      </c>
      <c r="L203" s="363">
        <v>126557.6</v>
      </c>
      <c r="M203" s="363">
        <v>6630</v>
      </c>
      <c r="N203" s="363">
        <v>2535.6842105263158</v>
      </c>
      <c r="O203" s="363">
        <v>0</v>
      </c>
      <c r="P203" s="215">
        <f t="shared" si="78"/>
        <v>202101.28421052633</v>
      </c>
      <c r="Q203" s="363">
        <f t="shared" si="79"/>
        <v>161681.02736842108</v>
      </c>
      <c r="R203" s="410"/>
      <c r="S203" s="363">
        <v>0</v>
      </c>
      <c r="T203" s="363">
        <v>69696.899999999994</v>
      </c>
      <c r="U203" s="363">
        <v>77259.000000000015</v>
      </c>
      <c r="V203" s="363">
        <v>4095</v>
      </c>
      <c r="W203" s="363">
        <v>1342.421052631579</v>
      </c>
      <c r="X203" s="363">
        <v>0</v>
      </c>
      <c r="Y203" s="363">
        <f t="shared" si="80"/>
        <v>152393.3210526316</v>
      </c>
      <c r="Z203" s="363">
        <f t="shared" si="81"/>
        <v>121914.65684210528</v>
      </c>
      <c r="AA203" s="410"/>
      <c r="AB203" s="411">
        <v>0</v>
      </c>
      <c r="AC203" s="411">
        <v>52726.168421052622</v>
      </c>
      <c r="AD203" s="411">
        <v>88045.768421052635</v>
      </c>
      <c r="AE203" s="411">
        <v>4604.21052631579</v>
      </c>
      <c r="AF203" s="411">
        <v>1673.9501385041549</v>
      </c>
      <c r="AG203" s="411">
        <v>0</v>
      </c>
      <c r="AH203" s="363">
        <f t="shared" si="82"/>
        <v>147050.0975069252</v>
      </c>
      <c r="AI203" s="411">
        <f t="shared" si="83"/>
        <v>117640.07800554017</v>
      </c>
      <c r="AJ203" s="410"/>
      <c r="AK203" s="411">
        <v>7505.5499999999993</v>
      </c>
      <c r="AL203" s="411">
        <v>5231.8500000000004</v>
      </c>
      <c r="AM203" s="411">
        <v>4828.1684210526319</v>
      </c>
      <c r="AN203" s="410"/>
      <c r="AO203" s="411">
        <f t="shared" si="84"/>
        <v>6004.44</v>
      </c>
      <c r="AP203" s="411">
        <f t="shared" si="84"/>
        <v>4185.4800000000005</v>
      </c>
      <c r="AQ203" s="411">
        <f t="shared" si="84"/>
        <v>3862.5347368421058</v>
      </c>
      <c r="AR203" s="412"/>
      <c r="AS203" s="412">
        <v>264254.07967627078</v>
      </c>
      <c r="AT203" s="413">
        <f t="shared" si="85"/>
        <v>-5526.6898704855703</v>
      </c>
      <c r="AU203" s="412"/>
      <c r="AV203" s="412">
        <v>0</v>
      </c>
      <c r="AW203" s="412">
        <v>66378</v>
      </c>
      <c r="AX203" s="412">
        <v>114784.80000000002</v>
      </c>
      <c r="AY203" s="412">
        <v>8775</v>
      </c>
      <c r="AZ203" s="412">
        <v>2983.1578947368421</v>
      </c>
      <c r="BA203" s="412">
        <v>0</v>
      </c>
      <c r="BB203" s="412">
        <v>5838.3</v>
      </c>
      <c r="BC203" s="412">
        <f t="shared" si="86"/>
        <v>463013.33757100767</v>
      </c>
      <c r="BE203" s="205">
        <f t="shared" si="73"/>
        <v>0</v>
      </c>
      <c r="BF203" s="205">
        <f t="shared" si="73"/>
        <v>0</v>
      </c>
      <c r="BG203" s="205">
        <f t="shared" si="73"/>
        <v>-11772.799999999988</v>
      </c>
      <c r="BH203" s="205">
        <f t="shared" si="73"/>
        <v>2145</v>
      </c>
      <c r="BI203" s="205">
        <f t="shared" si="73"/>
        <v>447.47368421052624</v>
      </c>
      <c r="BJ203" s="205">
        <f t="shared" si="73"/>
        <v>0</v>
      </c>
      <c r="BK203" s="205">
        <f t="shared" si="87"/>
        <v>-1667.2499999999991</v>
      </c>
      <c r="BL203" s="205">
        <f t="shared" si="88"/>
        <v>-16374.266186275032</v>
      </c>
      <c r="BM203" s="215">
        <f t="shared" si="89"/>
        <v>0</v>
      </c>
      <c r="BN203" s="215"/>
      <c r="BO203" s="412">
        <f t="shared" si="74"/>
        <v>0</v>
      </c>
      <c r="BP203" s="412">
        <f t="shared" si="74"/>
        <v>13275.599999999999</v>
      </c>
      <c r="BQ203" s="412">
        <f t="shared" si="74"/>
        <v>13538.720000000001</v>
      </c>
      <c r="BR203" s="412">
        <f t="shared" si="74"/>
        <v>3471</v>
      </c>
      <c r="BS203" s="412">
        <f t="shared" si="74"/>
        <v>954.61052631578923</v>
      </c>
      <c r="BT203" s="412">
        <f t="shared" si="74"/>
        <v>0</v>
      </c>
      <c r="BU203" s="412">
        <f t="shared" si="72"/>
        <v>-166.13999999999942</v>
      </c>
      <c r="BV203" s="412">
        <f t="shared" si="90"/>
        <v>31073.790526315788</v>
      </c>
      <c r="BW203" s="412">
        <f t="shared" si="77"/>
        <v>5526.6898704855703</v>
      </c>
      <c r="BX203" s="412"/>
      <c r="BY203" s="412">
        <f t="shared" si="91"/>
        <v>198759.25789473689</v>
      </c>
      <c r="BZ203" s="412"/>
      <c r="CA203" s="412">
        <f>IFERROR(VLOOKUP(A203,'Actuals Summer'!A:S,19,FALSE),0)</f>
        <v>198759.25789473686</v>
      </c>
      <c r="CC203" s="412"/>
      <c r="CD203" s="412"/>
      <c r="CE203" s="412"/>
      <c r="CF203" s="412"/>
      <c r="CG203" s="412"/>
      <c r="CH203" s="412"/>
      <c r="CI203" s="412"/>
      <c r="CJ203" s="412"/>
      <c r="CK203" s="412"/>
      <c r="CL203" s="412"/>
      <c r="CM203" s="412"/>
      <c r="CN203" s="412"/>
      <c r="CO203" s="412"/>
      <c r="CQ203" s="363"/>
      <c r="CR203" s="363"/>
      <c r="CS203" s="363"/>
      <c r="CT203" s="363"/>
      <c r="CU203" s="363"/>
      <c r="CV203" s="363"/>
      <c r="CW203" s="363"/>
      <c r="CX203" s="363"/>
      <c r="CZ203" s="414"/>
      <c r="DA203" s="414"/>
      <c r="DB203" s="414"/>
      <c r="DC203" s="414"/>
      <c r="DD203" s="414"/>
      <c r="DE203" s="414"/>
      <c r="DF203" s="414"/>
      <c r="DG203" s="414"/>
      <c r="DI203" s="414">
        <f t="shared" si="92"/>
        <v>0</v>
      </c>
      <c r="DJ203" s="414"/>
      <c r="DK203" s="414"/>
      <c r="DL203" s="414"/>
      <c r="DM203" s="414"/>
      <c r="DN203" s="414"/>
      <c r="DO203" s="414"/>
      <c r="DP203" s="414"/>
      <c r="DQ203" s="414"/>
      <c r="DS203" s="414"/>
      <c r="DT203" s="414"/>
      <c r="DU203" s="414"/>
      <c r="DV203" s="414"/>
      <c r="DW203" s="414"/>
      <c r="DX203" s="414"/>
      <c r="DY203" s="414"/>
      <c r="DZ203" s="414"/>
      <c r="EB203" s="415">
        <f t="shared" si="75"/>
        <v>710616.08715549519</v>
      </c>
      <c r="EC203" s="415">
        <f t="shared" si="76"/>
        <v>0</v>
      </c>
      <c r="ED203" s="416">
        <f t="shared" si="93"/>
        <v>710616.08715549519</v>
      </c>
    </row>
    <row r="204" spans="1:134" s="422" customFormat="1" hidden="1" x14ac:dyDescent="0.35">
      <c r="A204" s="18">
        <v>3310</v>
      </c>
      <c r="B204" s="19">
        <v>103417</v>
      </c>
      <c r="C204" s="19" t="s">
        <v>216</v>
      </c>
      <c r="D204" s="19" t="s">
        <v>217</v>
      </c>
      <c r="E204" s="20" t="s">
        <v>32</v>
      </c>
      <c r="F204" s="21" t="s">
        <v>49</v>
      </c>
      <c r="G204" s="417"/>
      <c r="H204" s="418">
        <v>0</v>
      </c>
      <c r="I204" s="418"/>
      <c r="J204" s="418">
        <v>0</v>
      </c>
      <c r="K204" s="418">
        <v>0</v>
      </c>
      <c r="L204" s="418">
        <v>27592.5</v>
      </c>
      <c r="M204" s="418">
        <v>2535</v>
      </c>
      <c r="N204" s="418">
        <v>0</v>
      </c>
      <c r="O204" s="418">
        <v>0</v>
      </c>
      <c r="P204" s="417">
        <f t="shared" si="78"/>
        <v>30127.5</v>
      </c>
      <c r="Q204" s="418">
        <f t="shared" si="79"/>
        <v>24102</v>
      </c>
      <c r="R204" s="418"/>
      <c r="S204" s="418"/>
      <c r="T204" s="418"/>
      <c r="U204" s="418"/>
      <c r="V204" s="418"/>
      <c r="W204" s="418"/>
      <c r="X204" s="418"/>
      <c r="Y204" s="418"/>
      <c r="Z204" s="418"/>
      <c r="AA204" s="418"/>
      <c r="AB204" s="419"/>
      <c r="AC204" s="419"/>
      <c r="AD204" s="419"/>
      <c r="AE204" s="419"/>
      <c r="AF204" s="419"/>
      <c r="AG204" s="419"/>
      <c r="AH204" s="418"/>
      <c r="AI204" s="419"/>
      <c r="AJ204" s="418"/>
      <c r="AK204" s="419">
        <v>1942.2</v>
      </c>
      <c r="AL204" s="419"/>
      <c r="AM204" s="419"/>
      <c r="AN204" s="418"/>
      <c r="AO204" s="419">
        <f t="shared" si="84"/>
        <v>1553.7600000000002</v>
      </c>
      <c r="AP204" s="419">
        <f t="shared" si="84"/>
        <v>0</v>
      </c>
      <c r="AQ204" s="419">
        <f t="shared" si="84"/>
        <v>0</v>
      </c>
      <c r="AR204" s="420"/>
      <c r="AS204" s="420">
        <v>0</v>
      </c>
      <c r="AT204" s="421">
        <f t="shared" si="85"/>
        <v>0</v>
      </c>
      <c r="AU204" s="420"/>
      <c r="AV204" s="420">
        <v>0</v>
      </c>
      <c r="AW204" s="420">
        <v>0</v>
      </c>
      <c r="AX204" s="420">
        <v>28696.2</v>
      </c>
      <c r="AY204" s="420">
        <v>2535</v>
      </c>
      <c r="AZ204" s="420">
        <v>969.52631578947376</v>
      </c>
      <c r="BA204" s="420">
        <v>0</v>
      </c>
      <c r="BB204" s="420">
        <v>2269.7999999999997</v>
      </c>
      <c r="BC204" s="420">
        <f t="shared" si="86"/>
        <v>34470.526315789473</v>
      </c>
      <c r="BE204" s="214">
        <f t="shared" si="73"/>
        <v>0</v>
      </c>
      <c r="BF204" s="214">
        <f t="shared" si="73"/>
        <v>0</v>
      </c>
      <c r="BG204" s="214">
        <f t="shared" si="73"/>
        <v>1103.7000000000007</v>
      </c>
      <c r="BH204" s="214">
        <f t="shared" si="73"/>
        <v>0</v>
      </c>
      <c r="BI204" s="214">
        <f t="shared" si="73"/>
        <v>969.52631578947376</v>
      </c>
      <c r="BJ204" s="214">
        <f t="shared" si="73"/>
        <v>0</v>
      </c>
      <c r="BK204" s="214">
        <f t="shared" si="87"/>
        <v>327.59999999999968</v>
      </c>
      <c r="BL204" s="214">
        <f t="shared" si="88"/>
        <v>2400.8263157894744</v>
      </c>
      <c r="BM204" s="417">
        <f t="shared" si="89"/>
        <v>0</v>
      </c>
      <c r="BN204" s="417"/>
      <c r="BO204" s="420">
        <f t="shared" si="74"/>
        <v>0</v>
      </c>
      <c r="BP204" s="420">
        <f t="shared" si="74"/>
        <v>0</v>
      </c>
      <c r="BQ204" s="420">
        <f t="shared" si="74"/>
        <v>6622.2000000000007</v>
      </c>
      <c r="BR204" s="420">
        <f t="shared" si="74"/>
        <v>507</v>
      </c>
      <c r="BS204" s="420">
        <f t="shared" si="74"/>
        <v>969.52631578947376</v>
      </c>
      <c r="BT204" s="420">
        <f t="shared" si="74"/>
        <v>0</v>
      </c>
      <c r="BU204" s="420">
        <f t="shared" si="72"/>
        <v>716.03999999999951</v>
      </c>
      <c r="BV204" s="412">
        <f t="shared" si="90"/>
        <v>8814.7663157894731</v>
      </c>
      <c r="BW204" s="420">
        <f t="shared" si="77"/>
        <v>0</v>
      </c>
      <c r="BX204" s="420"/>
      <c r="BY204" s="412">
        <f t="shared" si="91"/>
        <v>34470.526315789473</v>
      </c>
      <c r="BZ204" s="420"/>
      <c r="CA204" s="412">
        <f>IFERROR(VLOOKUP(A204,'Actuals Summer'!A:S,19,FALSE),0)</f>
        <v>34470.526315789473</v>
      </c>
      <c r="CC204" s="412"/>
      <c r="CD204" s="412"/>
      <c r="CE204" s="412"/>
      <c r="CF204" s="412"/>
      <c r="CG204" s="412"/>
      <c r="CH204" s="412"/>
      <c r="CI204" s="412"/>
      <c r="CJ204" s="412"/>
      <c r="CK204" s="412"/>
      <c r="CL204" s="412"/>
      <c r="CM204" s="412"/>
      <c r="CN204" s="412"/>
      <c r="CO204" s="412"/>
      <c r="CP204"/>
      <c r="CQ204" s="363"/>
      <c r="CR204" s="363"/>
      <c r="CS204" s="363"/>
      <c r="CT204" s="363"/>
      <c r="CU204" s="363"/>
      <c r="CV204" s="363"/>
      <c r="CW204" s="363"/>
      <c r="CX204" s="363"/>
      <c r="CY204"/>
      <c r="CZ204" s="414"/>
      <c r="DA204" s="414"/>
      <c r="DB204" s="414"/>
      <c r="DC204" s="414"/>
      <c r="DD204" s="414"/>
      <c r="DE204" s="414"/>
      <c r="DF204" s="414"/>
      <c r="DG204" s="414"/>
      <c r="DH204"/>
      <c r="DI204" s="414">
        <f t="shared" si="92"/>
        <v>0</v>
      </c>
      <c r="DJ204" s="423"/>
      <c r="DK204" s="423"/>
      <c r="DL204" s="423"/>
      <c r="DM204" s="423"/>
      <c r="DN204" s="423"/>
      <c r="DO204" s="423"/>
      <c r="DP204" s="423"/>
      <c r="DQ204" s="423"/>
      <c r="DS204" s="423"/>
      <c r="DT204" s="423"/>
      <c r="DU204" s="423"/>
      <c r="DV204" s="423"/>
      <c r="DW204" s="423"/>
      <c r="DX204" s="423"/>
      <c r="DY204" s="423"/>
      <c r="DZ204" s="423"/>
      <c r="EB204" s="425">
        <f t="shared" si="75"/>
        <v>34470.526315789473</v>
      </c>
      <c r="EC204" s="425">
        <f t="shared" si="76"/>
        <v>0</v>
      </c>
      <c r="ED204" s="424">
        <f t="shared" si="93"/>
        <v>34470.526315789473</v>
      </c>
    </row>
    <row r="205" spans="1:134" s="422" customFormat="1" hidden="1" x14ac:dyDescent="0.35">
      <c r="A205" s="18">
        <v>2246</v>
      </c>
      <c r="B205" s="19">
        <v>103296</v>
      </c>
      <c r="C205" s="19" t="s">
        <v>1088</v>
      </c>
      <c r="D205" s="19" t="s">
        <v>1089</v>
      </c>
      <c r="E205" s="20" t="s">
        <v>32</v>
      </c>
      <c r="F205" s="21" t="s">
        <v>49</v>
      </c>
      <c r="G205" s="417"/>
      <c r="H205" s="418">
        <v>0</v>
      </c>
      <c r="I205" s="418"/>
      <c r="J205" s="418">
        <v>0</v>
      </c>
      <c r="K205" s="418">
        <v>0</v>
      </c>
      <c r="L205" s="418">
        <v>0</v>
      </c>
      <c r="M205" s="418">
        <v>0</v>
      </c>
      <c r="N205" s="418">
        <v>0</v>
      </c>
      <c r="O205" s="418">
        <v>0</v>
      </c>
      <c r="P205" s="417">
        <f t="shared" si="78"/>
        <v>0</v>
      </c>
      <c r="Q205" s="418">
        <f t="shared" si="79"/>
        <v>0</v>
      </c>
      <c r="R205" s="418"/>
      <c r="S205" s="418">
        <v>0</v>
      </c>
      <c r="T205" s="418">
        <v>0</v>
      </c>
      <c r="U205" s="418">
        <v>0</v>
      </c>
      <c r="V205" s="418">
        <v>0</v>
      </c>
      <c r="W205" s="418">
        <v>0</v>
      </c>
      <c r="X205" s="418">
        <v>0</v>
      </c>
      <c r="Y205" s="418">
        <f t="shared" si="80"/>
        <v>0</v>
      </c>
      <c r="Z205" s="418">
        <f t="shared" si="81"/>
        <v>0</v>
      </c>
      <c r="AA205" s="418"/>
      <c r="AB205" s="419">
        <v>0</v>
      </c>
      <c r="AC205" s="419">
        <v>0</v>
      </c>
      <c r="AD205" s="419">
        <v>0</v>
      </c>
      <c r="AE205" s="419">
        <v>0</v>
      </c>
      <c r="AF205" s="419">
        <v>0</v>
      </c>
      <c r="AG205" s="419">
        <v>0</v>
      </c>
      <c r="AH205" s="418">
        <f t="shared" si="82"/>
        <v>0</v>
      </c>
      <c r="AI205" s="419">
        <f t="shared" si="83"/>
        <v>0</v>
      </c>
      <c r="AJ205" s="418"/>
      <c r="AK205" s="419">
        <v>0</v>
      </c>
      <c r="AL205" s="419">
        <v>0</v>
      </c>
      <c r="AM205" s="419">
        <v>0</v>
      </c>
      <c r="AN205" s="418"/>
      <c r="AO205" s="419">
        <f t="shared" si="84"/>
        <v>0</v>
      </c>
      <c r="AP205" s="419">
        <f t="shared" si="84"/>
        <v>0</v>
      </c>
      <c r="AQ205" s="419">
        <f t="shared" si="84"/>
        <v>0</v>
      </c>
      <c r="AR205" s="420"/>
      <c r="AS205" s="420">
        <v>0</v>
      </c>
      <c r="AT205" s="421">
        <f t="shared" si="85"/>
        <v>0</v>
      </c>
      <c r="AU205" s="420"/>
      <c r="AV205" s="412">
        <v>0</v>
      </c>
      <c r="AW205" s="412">
        <v>0</v>
      </c>
      <c r="AX205" s="412">
        <v>0</v>
      </c>
      <c r="AY205" s="412">
        <v>0</v>
      </c>
      <c r="AZ205" s="412">
        <v>0</v>
      </c>
      <c r="BA205" s="412">
        <v>0</v>
      </c>
      <c r="BB205" s="412">
        <v>0</v>
      </c>
      <c r="BC205" s="412">
        <f t="shared" si="86"/>
        <v>0</v>
      </c>
      <c r="BE205" s="205">
        <f t="shared" si="73"/>
        <v>0</v>
      </c>
      <c r="BF205" s="205">
        <f t="shared" si="73"/>
        <v>0</v>
      </c>
      <c r="BG205" s="205">
        <f t="shared" si="73"/>
        <v>0</v>
      </c>
      <c r="BH205" s="205">
        <f t="shared" si="73"/>
        <v>0</v>
      </c>
      <c r="BI205" s="205">
        <f t="shared" si="73"/>
        <v>0</v>
      </c>
      <c r="BJ205" s="205">
        <f t="shared" si="73"/>
        <v>0</v>
      </c>
      <c r="BK205" s="205">
        <f t="shared" si="87"/>
        <v>0</v>
      </c>
      <c r="BL205" s="205">
        <f t="shared" si="88"/>
        <v>0</v>
      </c>
      <c r="BM205" s="215">
        <f t="shared" si="89"/>
        <v>0</v>
      </c>
      <c r="BN205" s="215"/>
      <c r="BO205" s="412">
        <f t="shared" si="74"/>
        <v>0</v>
      </c>
      <c r="BP205" s="412">
        <f t="shared" si="74"/>
        <v>0</v>
      </c>
      <c r="BQ205" s="412">
        <f t="shared" si="74"/>
        <v>0</v>
      </c>
      <c r="BR205" s="412">
        <f t="shared" si="74"/>
        <v>0</v>
      </c>
      <c r="BS205" s="412">
        <f t="shared" si="74"/>
        <v>0</v>
      </c>
      <c r="BT205" s="412">
        <f t="shared" si="74"/>
        <v>0</v>
      </c>
      <c r="BU205" s="412">
        <f t="shared" si="72"/>
        <v>0</v>
      </c>
      <c r="BV205" s="412">
        <f t="shared" si="90"/>
        <v>0</v>
      </c>
      <c r="BW205" s="412">
        <f t="shared" si="77"/>
        <v>0</v>
      </c>
      <c r="BX205" s="420"/>
      <c r="BY205" s="412">
        <f t="shared" si="91"/>
        <v>0</v>
      </c>
      <c r="BZ205" s="420"/>
      <c r="CA205" s="412">
        <f>IFERROR(VLOOKUP(A205,'Actuals Summer'!A:S,19,FALSE),0)</f>
        <v>0</v>
      </c>
      <c r="CC205" s="412"/>
      <c r="CD205" s="412"/>
      <c r="CE205" s="412"/>
      <c r="CF205" s="412"/>
      <c r="CG205" s="412"/>
      <c r="CH205" s="412"/>
      <c r="CI205" s="412"/>
      <c r="CJ205" s="412"/>
      <c r="CK205" s="412"/>
      <c r="CL205" s="412"/>
      <c r="CM205" s="412"/>
      <c r="CN205" s="412"/>
      <c r="CO205" s="412"/>
      <c r="CP205"/>
      <c r="CQ205" s="363"/>
      <c r="CR205" s="363"/>
      <c r="CS205" s="363"/>
      <c r="CT205" s="363"/>
      <c r="CU205" s="363"/>
      <c r="CV205" s="363"/>
      <c r="CW205" s="363"/>
      <c r="CX205" s="363"/>
      <c r="CY205"/>
      <c r="CZ205" s="414"/>
      <c r="DA205" s="414"/>
      <c r="DB205" s="414"/>
      <c r="DC205" s="414"/>
      <c r="DD205" s="414"/>
      <c r="DE205" s="414"/>
      <c r="DF205" s="414"/>
      <c r="DG205" s="414"/>
      <c r="DH205"/>
      <c r="DI205" s="414">
        <f t="shared" si="92"/>
        <v>0</v>
      </c>
      <c r="DJ205" s="423"/>
      <c r="DK205" s="423"/>
      <c r="DL205" s="423"/>
      <c r="DM205" s="423"/>
      <c r="DN205" s="423"/>
      <c r="DO205" s="423"/>
      <c r="DP205" s="423"/>
      <c r="DQ205" s="423"/>
      <c r="DS205" s="423"/>
      <c r="DT205" s="423"/>
      <c r="DU205" s="423"/>
      <c r="DV205" s="423"/>
      <c r="DW205" s="423"/>
      <c r="DX205" s="423"/>
      <c r="DY205" s="423"/>
      <c r="DZ205" s="423"/>
      <c r="EB205" s="415">
        <f t="shared" si="75"/>
        <v>0</v>
      </c>
      <c r="EC205" s="415">
        <f t="shared" si="76"/>
        <v>0</v>
      </c>
      <c r="ED205" s="424">
        <f t="shared" si="93"/>
        <v>0</v>
      </c>
    </row>
    <row r="206" spans="1:134" hidden="1" x14ac:dyDescent="0.35">
      <c r="A206" s="17">
        <v>1020</v>
      </c>
      <c r="B206" s="4">
        <v>103133</v>
      </c>
      <c r="C206" s="4" t="s">
        <v>218</v>
      </c>
      <c r="D206" s="4" t="s">
        <v>219</v>
      </c>
      <c r="E206" s="15" t="s">
        <v>26</v>
      </c>
      <c r="F206" s="16" t="s">
        <v>27</v>
      </c>
      <c r="G206" s="215"/>
      <c r="H206" s="363">
        <v>377750.17983128357</v>
      </c>
      <c r="I206" s="410"/>
      <c r="J206" s="363">
        <v>4648.8</v>
      </c>
      <c r="K206" s="363">
        <v>112842.59999999999</v>
      </c>
      <c r="L206" s="363">
        <v>205288.2</v>
      </c>
      <c r="M206" s="363">
        <v>20670</v>
      </c>
      <c r="N206" s="363">
        <v>7979.9473684210525</v>
      </c>
      <c r="O206" s="363">
        <v>2246.2631578947367</v>
      </c>
      <c r="P206" s="215">
        <f t="shared" si="78"/>
        <v>353675.81052631576</v>
      </c>
      <c r="Q206" s="363">
        <f t="shared" si="79"/>
        <v>282940.64842105261</v>
      </c>
      <c r="R206" s="410"/>
      <c r="S206" s="363">
        <v>4648.8</v>
      </c>
      <c r="T206" s="363">
        <v>119480.4</v>
      </c>
      <c r="U206" s="363">
        <v>131340.29999999999</v>
      </c>
      <c r="V206" s="363">
        <v>18330</v>
      </c>
      <c r="W206" s="363">
        <v>7010.4210526315792</v>
      </c>
      <c r="X206" s="363">
        <v>4171.6315789473683</v>
      </c>
      <c r="Y206" s="363">
        <f t="shared" si="80"/>
        <v>284981.55263157893</v>
      </c>
      <c r="Z206" s="363">
        <f t="shared" si="81"/>
        <v>227985.24210526317</v>
      </c>
      <c r="AA206" s="410"/>
      <c r="AB206" s="411">
        <v>4291.2000000000007</v>
      </c>
      <c r="AC206" s="411">
        <v>86103.284210526312</v>
      </c>
      <c r="AD206" s="411">
        <v>149281.01052631577</v>
      </c>
      <c r="AE206" s="411">
        <v>14551.57894736842</v>
      </c>
      <c r="AF206" s="411">
        <v>5521.8614958448752</v>
      </c>
      <c r="AG206" s="411">
        <v>2338.5041551246541</v>
      </c>
      <c r="AH206" s="363">
        <f t="shared" si="82"/>
        <v>262087.43933518004</v>
      </c>
      <c r="AI206" s="411">
        <f t="shared" si="83"/>
        <v>209669.95146814405</v>
      </c>
      <c r="AJ206" s="410"/>
      <c r="AK206" s="411">
        <v>13150.799999999997</v>
      </c>
      <c r="AL206" s="411">
        <v>9689.5499999999993</v>
      </c>
      <c r="AM206" s="411">
        <v>8733.2210526315794</v>
      </c>
      <c r="AN206" s="410"/>
      <c r="AO206" s="411">
        <f t="shared" si="84"/>
        <v>10520.64</v>
      </c>
      <c r="AP206" s="411">
        <f t="shared" si="84"/>
        <v>7751.6399999999994</v>
      </c>
      <c r="AQ206" s="411">
        <f t="shared" si="84"/>
        <v>6986.5768421052635</v>
      </c>
      <c r="AR206" s="412"/>
      <c r="AS206" s="412">
        <v>380731.18563872972</v>
      </c>
      <c r="AT206" s="413">
        <f t="shared" si="85"/>
        <v>2981.0058074461413</v>
      </c>
      <c r="AU206" s="412"/>
      <c r="AV206" s="412">
        <v>4648.8</v>
      </c>
      <c r="AW206" s="412">
        <v>112842.59999999999</v>
      </c>
      <c r="AX206" s="412">
        <v>203080.80000000002</v>
      </c>
      <c r="AY206" s="412">
        <v>23205</v>
      </c>
      <c r="AZ206" s="412">
        <v>8725.7368421052633</v>
      </c>
      <c r="BA206" s="412">
        <v>3529.79</v>
      </c>
      <c r="BB206" s="412">
        <v>12840.749999999998</v>
      </c>
      <c r="BC206" s="412">
        <f t="shared" si="86"/>
        <v>749604.66248083499</v>
      </c>
      <c r="BE206" s="205">
        <f t="shared" si="73"/>
        <v>0</v>
      </c>
      <c r="BF206" s="205">
        <f t="shared" si="73"/>
        <v>0</v>
      </c>
      <c r="BG206" s="205">
        <f t="shared" si="73"/>
        <v>-2207.3999999999942</v>
      </c>
      <c r="BH206" s="205">
        <f t="shared" si="73"/>
        <v>2535</v>
      </c>
      <c r="BI206" s="205">
        <f t="shared" si="73"/>
        <v>745.78947368421086</v>
      </c>
      <c r="BJ206" s="205">
        <f t="shared" si="73"/>
        <v>1283.5268421052633</v>
      </c>
      <c r="BK206" s="205">
        <f t="shared" si="87"/>
        <v>-310.04999999999927</v>
      </c>
      <c r="BL206" s="205">
        <f t="shared" si="88"/>
        <v>5027.872123235622</v>
      </c>
      <c r="BM206" s="215">
        <f t="shared" si="89"/>
        <v>0</v>
      </c>
      <c r="BN206" s="215"/>
      <c r="BO206" s="412">
        <f t="shared" si="74"/>
        <v>929.75999999999976</v>
      </c>
      <c r="BP206" s="412">
        <f t="shared" si="74"/>
        <v>22568.51999999999</v>
      </c>
      <c r="BQ206" s="412">
        <f t="shared" si="74"/>
        <v>38850.239999999991</v>
      </c>
      <c r="BR206" s="412">
        <f t="shared" si="74"/>
        <v>6669</v>
      </c>
      <c r="BS206" s="412">
        <f t="shared" si="74"/>
        <v>2341.7789473684206</v>
      </c>
      <c r="BT206" s="412">
        <f t="shared" si="74"/>
        <v>1732.7794736842106</v>
      </c>
      <c r="BU206" s="412">
        <f t="shared" si="72"/>
        <v>2320.1099999999988</v>
      </c>
      <c r="BV206" s="412">
        <f t="shared" si="90"/>
        <v>75412.188421052604</v>
      </c>
      <c r="BW206" s="412">
        <f t="shared" si="77"/>
        <v>-2981.0058074461413</v>
      </c>
      <c r="BX206" s="412"/>
      <c r="BY206" s="412">
        <f t="shared" si="91"/>
        <v>368873.47684210521</v>
      </c>
      <c r="BZ206" s="412"/>
      <c r="CA206" s="412">
        <f>IFERROR(VLOOKUP(A206,'Actuals Summer'!A:S,19,FALSE),0)</f>
        <v>368873.47684210527</v>
      </c>
      <c r="CC206" s="412"/>
      <c r="CD206" s="412"/>
      <c r="CE206" s="412"/>
      <c r="CF206" s="412"/>
      <c r="CG206" s="412"/>
      <c r="CH206" s="412"/>
      <c r="CI206" s="412"/>
      <c r="CJ206" s="412"/>
      <c r="CK206" s="412"/>
      <c r="CL206" s="412"/>
      <c r="CM206" s="412"/>
      <c r="CN206" s="412"/>
      <c r="CO206" s="412"/>
      <c r="CQ206" s="363"/>
      <c r="CR206" s="363"/>
      <c r="CS206" s="363"/>
      <c r="CT206" s="363"/>
      <c r="CU206" s="363"/>
      <c r="CV206" s="363"/>
      <c r="CW206" s="363"/>
      <c r="CX206" s="363"/>
      <c r="CZ206" s="414"/>
      <c r="DA206" s="414"/>
      <c r="DB206" s="414"/>
      <c r="DC206" s="414"/>
      <c r="DD206" s="414"/>
      <c r="DE206" s="414"/>
      <c r="DF206" s="414"/>
      <c r="DG206" s="414"/>
      <c r="DI206" s="414">
        <f t="shared" si="92"/>
        <v>0</v>
      </c>
      <c r="DJ206" s="414"/>
      <c r="DK206" s="414"/>
      <c r="DL206" s="414"/>
      <c r="DM206" s="414"/>
      <c r="DN206" s="414"/>
      <c r="DO206" s="414"/>
      <c r="DP206" s="414"/>
      <c r="DQ206" s="414"/>
      <c r="DS206" s="414"/>
      <c r="DT206" s="414"/>
      <c r="DU206" s="414"/>
      <c r="DV206" s="414"/>
      <c r="DW206" s="414"/>
      <c r="DX206" s="414"/>
      <c r="DY206" s="414"/>
      <c r="DZ206" s="414"/>
      <c r="EB206" s="415">
        <f t="shared" si="75"/>
        <v>1193260.17430909</v>
      </c>
      <c r="EC206" s="415">
        <f t="shared" si="76"/>
        <v>8737.8985872576195</v>
      </c>
      <c r="ED206" s="416">
        <f t="shared" si="93"/>
        <v>1201998.0728963476</v>
      </c>
    </row>
    <row r="207" spans="1:134" hidden="1" x14ac:dyDescent="0.35">
      <c r="A207" s="17">
        <v>2019</v>
      </c>
      <c r="B207" s="4">
        <v>134279</v>
      </c>
      <c r="C207" s="4" t="s">
        <v>1090</v>
      </c>
      <c r="D207" s="4" t="s">
        <v>1091</v>
      </c>
      <c r="E207" s="15" t="s">
        <v>32</v>
      </c>
      <c r="F207" s="16" t="s">
        <v>27</v>
      </c>
      <c r="G207" s="215"/>
      <c r="H207" s="363">
        <v>0</v>
      </c>
      <c r="I207" s="410"/>
      <c r="J207" s="363">
        <v>0</v>
      </c>
      <c r="K207" s="363">
        <v>0</v>
      </c>
      <c r="L207" s="363">
        <v>0</v>
      </c>
      <c r="M207" s="363">
        <v>0</v>
      </c>
      <c r="N207" s="363">
        <v>0</v>
      </c>
      <c r="O207" s="363">
        <v>0</v>
      </c>
      <c r="P207" s="215">
        <f t="shared" si="78"/>
        <v>0</v>
      </c>
      <c r="Q207" s="363">
        <f t="shared" si="79"/>
        <v>0</v>
      </c>
      <c r="R207" s="410"/>
      <c r="S207" s="363">
        <v>0</v>
      </c>
      <c r="T207" s="363">
        <v>0</v>
      </c>
      <c r="U207" s="363">
        <v>0</v>
      </c>
      <c r="V207" s="363">
        <v>0</v>
      </c>
      <c r="W207" s="363">
        <v>0</v>
      </c>
      <c r="X207" s="363">
        <v>0</v>
      </c>
      <c r="Y207" s="363">
        <f t="shared" si="80"/>
        <v>0</v>
      </c>
      <c r="Z207" s="363">
        <f t="shared" si="81"/>
        <v>0</v>
      </c>
      <c r="AA207" s="410"/>
      <c r="AB207" s="411">
        <v>0</v>
      </c>
      <c r="AC207" s="411">
        <v>0</v>
      </c>
      <c r="AD207" s="411">
        <v>0</v>
      </c>
      <c r="AE207" s="411">
        <v>0</v>
      </c>
      <c r="AF207" s="411">
        <v>0</v>
      </c>
      <c r="AG207" s="411">
        <v>0</v>
      </c>
      <c r="AH207" s="363">
        <f t="shared" si="82"/>
        <v>0</v>
      </c>
      <c r="AI207" s="411">
        <f t="shared" si="83"/>
        <v>0</v>
      </c>
      <c r="AJ207" s="410"/>
      <c r="AK207" s="411">
        <v>0</v>
      </c>
      <c r="AL207" s="411">
        <v>0</v>
      </c>
      <c r="AM207" s="411">
        <v>0</v>
      </c>
      <c r="AN207" s="410"/>
      <c r="AO207" s="411">
        <f t="shared" si="84"/>
        <v>0</v>
      </c>
      <c r="AP207" s="411">
        <f t="shared" si="84"/>
        <v>0</v>
      </c>
      <c r="AQ207" s="411">
        <f t="shared" si="84"/>
        <v>0</v>
      </c>
      <c r="AR207" s="412"/>
      <c r="AS207" s="412"/>
      <c r="AT207" s="413">
        <f t="shared" si="85"/>
        <v>0</v>
      </c>
      <c r="AU207" s="412"/>
      <c r="AV207" s="412">
        <v>0</v>
      </c>
      <c r="AW207" s="412">
        <v>0</v>
      </c>
      <c r="AX207" s="412">
        <v>0</v>
      </c>
      <c r="AY207" s="412">
        <v>0</v>
      </c>
      <c r="AZ207" s="412">
        <v>0</v>
      </c>
      <c r="BA207" s="412">
        <v>0</v>
      </c>
      <c r="BB207" s="412">
        <v>0</v>
      </c>
      <c r="BC207" s="412">
        <f t="shared" si="86"/>
        <v>0</v>
      </c>
      <c r="BE207" s="205">
        <f t="shared" si="73"/>
        <v>0</v>
      </c>
      <c r="BF207" s="205">
        <f t="shared" si="73"/>
        <v>0</v>
      </c>
      <c r="BG207" s="205">
        <f t="shared" si="73"/>
        <v>0</v>
      </c>
      <c r="BH207" s="205">
        <f t="shared" si="73"/>
        <v>0</v>
      </c>
      <c r="BI207" s="205">
        <f t="shared" si="73"/>
        <v>0</v>
      </c>
      <c r="BJ207" s="205">
        <f t="shared" si="73"/>
        <v>0</v>
      </c>
      <c r="BK207" s="205">
        <f t="shared" si="87"/>
        <v>0</v>
      </c>
      <c r="BL207" s="205">
        <f t="shared" si="88"/>
        <v>0</v>
      </c>
      <c r="BM207" s="215">
        <f t="shared" si="89"/>
        <v>0</v>
      </c>
      <c r="BN207" s="215"/>
      <c r="BO207" s="412">
        <f t="shared" si="74"/>
        <v>0</v>
      </c>
      <c r="BP207" s="412">
        <f t="shared" si="74"/>
        <v>0</v>
      </c>
      <c r="BQ207" s="412">
        <f t="shared" si="74"/>
        <v>0</v>
      </c>
      <c r="BR207" s="412">
        <f t="shared" si="74"/>
        <v>0</v>
      </c>
      <c r="BS207" s="412">
        <f t="shared" si="74"/>
        <v>0</v>
      </c>
      <c r="BT207" s="412">
        <f t="shared" si="74"/>
        <v>0</v>
      </c>
      <c r="BU207" s="412">
        <f t="shared" si="72"/>
        <v>0</v>
      </c>
      <c r="BV207" s="412">
        <f t="shared" si="90"/>
        <v>0</v>
      </c>
      <c r="BW207" s="412">
        <f t="shared" si="77"/>
        <v>0</v>
      </c>
      <c r="BX207" s="412"/>
      <c r="BY207" s="412">
        <f t="shared" si="91"/>
        <v>0</v>
      </c>
      <c r="BZ207" s="412"/>
      <c r="CA207" s="412">
        <f>IFERROR(VLOOKUP(A207,'Actuals Summer'!A:S,19,FALSE),0)</f>
        <v>0</v>
      </c>
      <c r="CC207" s="412"/>
      <c r="CD207" s="412"/>
      <c r="CE207" s="412"/>
      <c r="CF207" s="412"/>
      <c r="CG207" s="412"/>
      <c r="CH207" s="412"/>
      <c r="CI207" s="412"/>
      <c r="CJ207" s="412"/>
      <c r="CK207" s="412"/>
      <c r="CL207" s="412"/>
      <c r="CM207" s="412"/>
      <c r="CN207" s="412"/>
      <c r="CO207" s="412"/>
      <c r="CQ207" s="363"/>
      <c r="CR207" s="363"/>
      <c r="CS207" s="363"/>
      <c r="CT207" s="363"/>
      <c r="CU207" s="363"/>
      <c r="CV207" s="363"/>
      <c r="CW207" s="363"/>
      <c r="CX207" s="363"/>
      <c r="CZ207" s="414"/>
      <c r="DA207" s="414"/>
      <c r="DB207" s="414"/>
      <c r="DC207" s="414"/>
      <c r="DD207" s="414"/>
      <c r="DE207" s="414"/>
      <c r="DF207" s="414"/>
      <c r="DG207" s="414"/>
      <c r="DI207" s="414">
        <f t="shared" si="92"/>
        <v>0</v>
      </c>
      <c r="DJ207" s="414"/>
      <c r="DK207" s="414"/>
      <c r="DL207" s="414"/>
      <c r="DM207" s="414"/>
      <c r="DN207" s="414"/>
      <c r="DO207" s="414"/>
      <c r="DP207" s="414"/>
      <c r="DQ207" s="414"/>
      <c r="DS207" s="414"/>
      <c r="DT207" s="414"/>
      <c r="DU207" s="414"/>
      <c r="DV207" s="414"/>
      <c r="DW207" s="414"/>
      <c r="DX207" s="414"/>
      <c r="DY207" s="414"/>
      <c r="DZ207" s="414"/>
      <c r="EB207" s="415">
        <f t="shared" si="75"/>
        <v>0</v>
      </c>
      <c r="EC207" s="415">
        <f t="shared" si="76"/>
        <v>0</v>
      </c>
      <c r="ED207" s="416">
        <f t="shared" si="93"/>
        <v>0</v>
      </c>
    </row>
    <row r="208" spans="1:134" s="382" customFormat="1" ht="15" hidden="1" thickBot="1" x14ac:dyDescent="0.4">
      <c r="A208" s="426"/>
      <c r="B208" s="427"/>
      <c r="C208" s="427"/>
      <c r="D208" s="428" t="s">
        <v>1092</v>
      </c>
      <c r="E208" s="429"/>
      <c r="F208" s="430"/>
      <c r="G208" s="431"/>
      <c r="H208" s="432">
        <f>SUM(H8:H207)</f>
        <v>6724229.9999999991</v>
      </c>
      <c r="I208" s="433"/>
      <c r="J208" s="434">
        <f>SUM(J8:J207)</f>
        <v>6973.2000000000007</v>
      </c>
      <c r="K208" s="434">
        <f t="shared" ref="K208:Y208" si="94">SUM(K8:K207)</f>
        <v>1279435.9500000002</v>
      </c>
      <c r="L208" s="434">
        <f t="shared" si="94"/>
        <v>6803493.762000002</v>
      </c>
      <c r="M208" s="434">
        <f t="shared" si="94"/>
        <v>417495</v>
      </c>
      <c r="N208" s="434">
        <f t="shared" si="94"/>
        <v>90986.31578947368</v>
      </c>
      <c r="O208" s="434">
        <f t="shared" si="94"/>
        <v>37865.578947368413</v>
      </c>
      <c r="P208" s="434">
        <f t="shared" si="94"/>
        <v>8636249.8067368455</v>
      </c>
      <c r="Q208" s="434">
        <f t="shared" si="94"/>
        <v>6908999.8453894742</v>
      </c>
      <c r="R208" s="433"/>
      <c r="S208" s="434">
        <f t="shared" si="94"/>
        <v>6973.2000000000007</v>
      </c>
      <c r="T208" s="434">
        <f t="shared" si="94"/>
        <v>1553908.98</v>
      </c>
      <c r="U208" s="434">
        <f t="shared" si="94"/>
        <v>4697678.3100000005</v>
      </c>
      <c r="V208" s="434">
        <f t="shared" si="94"/>
        <v>319397</v>
      </c>
      <c r="W208" s="434">
        <f t="shared" si="94"/>
        <v>83975.894736842063</v>
      </c>
      <c r="X208" s="434">
        <f t="shared" si="94"/>
        <v>30164.1052631579</v>
      </c>
      <c r="Y208" s="434">
        <f t="shared" si="94"/>
        <v>6692097.4900000012</v>
      </c>
      <c r="Z208" s="434">
        <f>SUM(Z8:Z207)</f>
        <v>5353677.9919999996</v>
      </c>
      <c r="AA208" s="433"/>
      <c r="AB208" s="434">
        <f t="shared" ref="AB208:AH208" si="95">SUM(AB8:AB207)</f>
        <v>6436.8000000000011</v>
      </c>
      <c r="AC208" s="434">
        <f t="shared" si="95"/>
        <v>1045332.5684210527</v>
      </c>
      <c r="AD208" s="434">
        <f t="shared" si="95"/>
        <v>5058867.9031578954</v>
      </c>
      <c r="AE208" s="434">
        <f t="shared" si="95"/>
        <v>301950.53684210527</v>
      </c>
      <c r="AF208" s="434">
        <f t="shared" si="95"/>
        <v>70994.833795013867</v>
      </c>
      <c r="AG208" s="434">
        <f t="shared" si="95"/>
        <v>34126.027700831022</v>
      </c>
      <c r="AH208" s="434">
        <f t="shared" si="95"/>
        <v>6517708.6699168971</v>
      </c>
      <c r="AI208" s="434">
        <f>SUM(AI8:AI207)</f>
        <v>5214166.9359335182</v>
      </c>
      <c r="AJ208" s="433"/>
      <c r="AK208" s="411">
        <f>SUM(AK8:AK207)</f>
        <v>259787.05999999994</v>
      </c>
      <c r="AL208" s="411">
        <f>SUM(AL8:AL207)</f>
        <v>193285.94999999998</v>
      </c>
      <c r="AM208" s="411">
        <f>SUM(AM8:AM207)</f>
        <v>185468.89263157893</v>
      </c>
      <c r="AN208" s="433"/>
      <c r="AO208" s="411">
        <f>SUM(AO8:AO207)</f>
        <v>207829.64799999993</v>
      </c>
      <c r="AP208" s="411">
        <f>SUM(AP8:AP207)</f>
        <v>154628.75999999995</v>
      </c>
      <c r="AQ208" s="411">
        <f>SUM(AQ8:AQ207)</f>
        <v>148375.11410526314</v>
      </c>
      <c r="AR208" s="435"/>
      <c r="AS208" s="435">
        <f>SUM(AS8:AS207)</f>
        <v>6724229.9999999991</v>
      </c>
      <c r="AT208" s="413">
        <f>SUM(AT8:AT207)</f>
        <v>-1.7462298274040222E-10</v>
      </c>
      <c r="AU208" s="435"/>
      <c r="AV208" s="412">
        <f>SUM(AV8:AV207)</f>
        <v>6973.2000000000007</v>
      </c>
      <c r="AW208" s="412">
        <f t="shared" ref="AW208:BB208" si="96">SUM(AW8:AW207)</f>
        <v>1280782.3500000001</v>
      </c>
      <c r="AX208" s="412">
        <f t="shared" si="96"/>
        <v>6439454.4480000008</v>
      </c>
      <c r="AY208" s="412">
        <f t="shared" si="96"/>
        <v>470340</v>
      </c>
      <c r="AZ208" s="412">
        <f t="shared" si="96"/>
        <v>116194.00000000004</v>
      </c>
      <c r="BA208" s="412">
        <f t="shared" si="96"/>
        <v>50058.839999999982</v>
      </c>
      <c r="BB208" s="412">
        <f t="shared" si="96"/>
        <v>245950.28900000008</v>
      </c>
      <c r="BC208" s="412">
        <f>SUM(BC8:BC207)</f>
        <v>15333983.127000002</v>
      </c>
      <c r="BD208"/>
      <c r="BE208" s="412">
        <f>SUM(BE8:BE207)</f>
        <v>0</v>
      </c>
      <c r="BF208" s="412">
        <f t="shared" ref="BF208:BL208" si="97">SUM(BF8:BF207)</f>
        <v>1346.3999999999942</v>
      </c>
      <c r="BG208" s="412">
        <f t="shared" si="97"/>
        <v>-271328.51399999985</v>
      </c>
      <c r="BH208" s="412">
        <f t="shared" si="97"/>
        <v>56355</v>
      </c>
      <c r="BI208" s="412">
        <f t="shared" si="97"/>
        <v>25207.684210526302</v>
      </c>
      <c r="BJ208" s="412">
        <f t="shared" si="97"/>
        <v>12193.261052631577</v>
      </c>
      <c r="BK208" s="412">
        <f t="shared" si="97"/>
        <v>-11935.520999999995</v>
      </c>
      <c r="BL208" s="412">
        <f t="shared" si="97"/>
        <v>-188161.68973684212</v>
      </c>
      <c r="BM208" s="412">
        <f>SUM(BM8:BM207)</f>
        <v>0</v>
      </c>
      <c r="BN208" s="412"/>
      <c r="BO208" s="435">
        <f>SUM(BO8:BO207)</f>
        <v>1394.6399999999996</v>
      </c>
      <c r="BP208" s="435">
        <f t="shared" ref="BP208:BW208" si="98">SUM(BP8:BP207)</f>
        <v>257233.58999999997</v>
      </c>
      <c r="BQ208" s="435">
        <f t="shared" si="98"/>
        <v>1070828.0784</v>
      </c>
      <c r="BR208" s="435">
        <f t="shared" si="98"/>
        <v>139152</v>
      </c>
      <c r="BS208" s="435">
        <f t="shared" si="98"/>
        <v>43404.947368421039</v>
      </c>
      <c r="BT208" s="435">
        <f t="shared" si="98"/>
        <v>19766.376842105259</v>
      </c>
      <c r="BU208" s="435">
        <f t="shared" si="98"/>
        <v>39641.640999999974</v>
      </c>
      <c r="BV208" s="412">
        <f t="shared" si="90"/>
        <v>1571421.2736105265</v>
      </c>
      <c r="BW208" s="435">
        <f t="shared" si="98"/>
        <v>3.2559910323470831E-10</v>
      </c>
      <c r="BX208" s="435"/>
      <c r="BY208" s="412">
        <f t="shared" ref="BY208" si="99">BV208+Q208</f>
        <v>8480421.1190000009</v>
      </c>
      <c r="BZ208" s="435"/>
      <c r="CA208" s="435"/>
      <c r="CB208"/>
      <c r="CC208" s="435"/>
      <c r="CD208" s="435"/>
      <c r="CE208" s="435"/>
      <c r="CF208" s="435"/>
      <c r="CG208" s="435"/>
      <c r="CH208" s="435"/>
      <c r="CI208" s="435"/>
      <c r="CJ208" s="435"/>
      <c r="CK208" s="435"/>
      <c r="CL208" s="435"/>
      <c r="CM208" s="435"/>
      <c r="CN208" s="435"/>
      <c r="CO208" s="435"/>
      <c r="CP208"/>
      <c r="CQ208" s="435"/>
      <c r="CR208" s="435"/>
      <c r="CS208" s="435"/>
      <c r="CT208" s="435"/>
      <c r="CU208" s="435"/>
      <c r="CV208" s="435"/>
      <c r="CW208" s="435"/>
      <c r="CX208" s="435"/>
      <c r="CY208"/>
      <c r="CZ208" s="435"/>
      <c r="DA208" s="435"/>
      <c r="DB208" s="435"/>
      <c r="DC208" s="435"/>
      <c r="DD208" s="435"/>
      <c r="DE208" s="435"/>
      <c r="DF208" s="435"/>
      <c r="DG208" s="435"/>
      <c r="DH208"/>
      <c r="DI208" s="435"/>
      <c r="DJ208" s="435"/>
      <c r="DK208" s="435"/>
      <c r="DL208" s="435"/>
      <c r="DM208" s="435"/>
      <c r="DN208" s="435"/>
      <c r="DO208" s="435"/>
      <c r="DP208" s="435"/>
      <c r="DQ208" s="435"/>
      <c r="DR208"/>
      <c r="DS208" s="435"/>
      <c r="DT208" s="435"/>
      <c r="DU208" s="435"/>
      <c r="DV208" s="435"/>
      <c r="DW208" s="435"/>
      <c r="DX208" s="435"/>
      <c r="DY208" s="435"/>
      <c r="DZ208" s="435"/>
      <c r="EB208" s="436">
        <f>SUM(EB8:EB207)</f>
        <v>26181838.622667596</v>
      </c>
      <c r="EC208" s="437">
        <f>SUM(EC8:EC207)</f>
        <v>101490.94637119112</v>
      </c>
      <c r="ED208" s="438">
        <f>SUM(ED8:ED207)</f>
        <v>26283329.569038782</v>
      </c>
    </row>
    <row r="210" spans="55:55" x14ac:dyDescent="0.35">
      <c r="BC210" s="205"/>
    </row>
  </sheetData>
  <sheetProtection autoFilter="0"/>
  <autoFilter ref="A7:EF208" xr:uid="{559EC715-CAF1-44E8-A16C-304CD5956029}">
    <filterColumn colId="112">
      <filters>
        <filter val="(11,192.61)"/>
        <filter val="45,661.20"/>
      </filters>
    </filterColumn>
  </autoFilter>
  <conditionalFormatting sqref="A7:F7 A8:E8 E9:E208">
    <cfRule type="cellIs" dxfId="2" priority="1" operator="lessThan">
      <formula>0</formula>
    </cfRule>
  </conditionalFormatting>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DB148-3C87-4E5C-91EA-02D6BCF71370}">
  <sheetPr codeName="Sheet3"/>
  <dimension ref="A1:U91"/>
  <sheetViews>
    <sheetView workbookViewId="0">
      <selection activeCell="G11" sqref="G11"/>
    </sheetView>
  </sheetViews>
  <sheetFormatPr defaultRowHeight="14.5" x14ac:dyDescent="0.35"/>
  <cols>
    <col min="4" max="4" width="67.26953125" bestFit="1" customWidth="1"/>
  </cols>
  <sheetData>
    <row r="1" spans="1:21" ht="29.5" thickBot="1" x14ac:dyDescent="0.4">
      <c r="A1" s="11" t="s">
        <v>18</v>
      </c>
      <c r="B1" s="12" t="s">
        <v>19</v>
      </c>
      <c r="C1" s="13" t="s">
        <v>20</v>
      </c>
      <c r="D1" s="14" t="s">
        <v>21</v>
      </c>
      <c r="E1" s="13" t="s">
        <v>22</v>
      </c>
      <c r="F1" s="14" t="s">
        <v>23</v>
      </c>
      <c r="G1" s="11" t="s">
        <v>18</v>
      </c>
    </row>
    <row r="2" spans="1:21" x14ac:dyDescent="0.35">
      <c r="A2" s="138"/>
      <c r="B2" s="139"/>
      <c r="C2" s="140"/>
      <c r="D2" s="141" t="s">
        <v>498</v>
      </c>
      <c r="E2" s="140"/>
      <c r="F2" s="142"/>
      <c r="G2" s="138">
        <v>0</v>
      </c>
    </row>
    <row r="3" spans="1:21" ht="15" customHeight="1" x14ac:dyDescent="0.35">
      <c r="A3" s="23">
        <v>1027</v>
      </c>
      <c r="B3" s="25">
        <v>103140</v>
      </c>
      <c r="C3" s="25" t="s">
        <v>24</v>
      </c>
      <c r="D3" s="25" t="s">
        <v>25</v>
      </c>
      <c r="E3" s="15" t="s">
        <v>26</v>
      </c>
      <c r="F3" s="16" t="s">
        <v>27</v>
      </c>
      <c r="G3" s="23">
        <v>1027</v>
      </c>
      <c r="P3" s="22">
        <v>2238</v>
      </c>
      <c r="Q3" s="24">
        <v>103288</v>
      </c>
      <c r="R3" s="24" t="s">
        <v>47</v>
      </c>
      <c r="S3" s="24" t="s">
        <v>48</v>
      </c>
      <c r="T3" s="20" t="s">
        <v>32</v>
      </c>
      <c r="U3" s="21" t="s">
        <v>49</v>
      </c>
    </row>
    <row r="4" spans="1:21" ht="15" customHeight="1" x14ac:dyDescent="0.35">
      <c r="A4" s="17">
        <v>1017</v>
      </c>
      <c r="B4" s="4">
        <v>103130</v>
      </c>
      <c r="C4" s="4" t="s">
        <v>28</v>
      </c>
      <c r="D4" s="4" t="s">
        <v>29</v>
      </c>
      <c r="E4" s="15" t="s">
        <v>26</v>
      </c>
      <c r="F4" s="16" t="s">
        <v>27</v>
      </c>
      <c r="G4" s="17">
        <v>1017</v>
      </c>
      <c r="P4" s="18">
        <v>3322</v>
      </c>
      <c r="Q4" s="19">
        <v>103426</v>
      </c>
      <c r="R4" s="19" t="s">
        <v>110</v>
      </c>
      <c r="S4" s="19" t="s">
        <v>111</v>
      </c>
      <c r="T4" s="20" t="s">
        <v>32</v>
      </c>
      <c r="U4" s="21" t="s">
        <v>49</v>
      </c>
    </row>
    <row r="5" spans="1:21" ht="15" customHeight="1" x14ac:dyDescent="0.35">
      <c r="A5" s="17">
        <v>2062</v>
      </c>
      <c r="B5" s="4">
        <v>103192</v>
      </c>
      <c r="C5" s="4" t="s">
        <v>30</v>
      </c>
      <c r="D5" s="4" t="s">
        <v>31</v>
      </c>
      <c r="E5" s="15" t="s">
        <v>32</v>
      </c>
      <c r="F5" s="16" t="s">
        <v>27</v>
      </c>
      <c r="G5" s="17">
        <v>2062</v>
      </c>
      <c r="P5" s="18">
        <v>3323</v>
      </c>
      <c r="Q5" s="19">
        <v>103427</v>
      </c>
      <c r="R5" s="19" t="s">
        <v>156</v>
      </c>
      <c r="S5" s="19" t="s">
        <v>157</v>
      </c>
      <c r="T5" s="20" t="s">
        <v>32</v>
      </c>
      <c r="U5" s="21" t="s">
        <v>49</v>
      </c>
    </row>
    <row r="6" spans="1:21" ht="15" customHeight="1" x14ac:dyDescent="0.35">
      <c r="A6" s="17">
        <v>2479</v>
      </c>
      <c r="B6" s="4">
        <v>132074</v>
      </c>
      <c r="C6" s="4" t="s">
        <v>33</v>
      </c>
      <c r="D6" s="4" t="s">
        <v>34</v>
      </c>
      <c r="E6" s="15" t="s">
        <v>32</v>
      </c>
      <c r="F6" s="16" t="s">
        <v>27</v>
      </c>
      <c r="G6" s="17">
        <v>2479</v>
      </c>
      <c r="P6" s="18">
        <v>3431</v>
      </c>
      <c r="Q6" s="19">
        <v>134774</v>
      </c>
      <c r="R6" s="19" t="s">
        <v>198</v>
      </c>
      <c r="S6" s="19" t="s">
        <v>199</v>
      </c>
      <c r="T6" s="20" t="s">
        <v>32</v>
      </c>
      <c r="U6" s="21" t="s">
        <v>49</v>
      </c>
    </row>
    <row r="7" spans="1:21" ht="15" customHeight="1" x14ac:dyDescent="0.35">
      <c r="A7" s="17">
        <v>2300</v>
      </c>
      <c r="B7" s="4">
        <v>103324</v>
      </c>
      <c r="C7" s="4" t="s">
        <v>35</v>
      </c>
      <c r="D7" s="4" t="s">
        <v>36</v>
      </c>
      <c r="E7" s="15" t="s">
        <v>32</v>
      </c>
      <c r="F7" s="16" t="s">
        <v>27</v>
      </c>
      <c r="G7" s="17">
        <v>2300</v>
      </c>
      <c r="P7" s="18">
        <v>3329</v>
      </c>
      <c r="Q7" s="19">
        <v>103431</v>
      </c>
      <c r="R7" s="19" t="s">
        <v>208</v>
      </c>
      <c r="S7" s="19" t="s">
        <v>209</v>
      </c>
      <c r="T7" s="20" t="s">
        <v>32</v>
      </c>
      <c r="U7" s="21" t="s">
        <v>49</v>
      </c>
    </row>
    <row r="8" spans="1:21" ht="15" customHeight="1" x14ac:dyDescent="0.35">
      <c r="A8" s="17">
        <v>2014</v>
      </c>
      <c r="B8" s="4">
        <v>103162</v>
      </c>
      <c r="C8" s="4" t="s">
        <v>186</v>
      </c>
      <c r="D8" s="4" t="s">
        <v>187</v>
      </c>
      <c r="E8" s="15" t="s">
        <v>32</v>
      </c>
      <c r="F8" s="16" t="s">
        <v>27</v>
      </c>
      <c r="G8" s="17">
        <v>2014</v>
      </c>
      <c r="P8" s="18">
        <v>3406</v>
      </c>
      <c r="Q8" s="19">
        <v>103476</v>
      </c>
      <c r="R8" s="19" t="s">
        <v>210</v>
      </c>
      <c r="S8" s="19" t="s">
        <v>211</v>
      </c>
      <c r="T8" s="20" t="s">
        <v>32</v>
      </c>
      <c r="U8" s="21" t="s">
        <v>49</v>
      </c>
    </row>
    <row r="9" spans="1:21" ht="15" customHeight="1" x14ac:dyDescent="0.35">
      <c r="A9" s="17">
        <v>2239</v>
      </c>
      <c r="B9" s="4">
        <v>103289</v>
      </c>
      <c r="C9" s="4" t="s">
        <v>37</v>
      </c>
      <c r="D9" s="4" t="s">
        <v>38</v>
      </c>
      <c r="E9" s="15" t="s">
        <v>32</v>
      </c>
      <c r="F9" s="16" t="s">
        <v>27</v>
      </c>
      <c r="G9" s="17">
        <v>2239</v>
      </c>
      <c r="P9" s="18">
        <v>3310</v>
      </c>
      <c r="Q9" s="19">
        <v>103417</v>
      </c>
      <c r="R9" s="19" t="s">
        <v>216</v>
      </c>
      <c r="S9" s="19" t="s">
        <v>217</v>
      </c>
      <c r="T9" s="20" t="s">
        <v>32</v>
      </c>
      <c r="U9" s="21" t="s">
        <v>49</v>
      </c>
    </row>
    <row r="10" spans="1:21" ht="15" customHeight="1" x14ac:dyDescent="0.35">
      <c r="A10" s="17">
        <v>1025</v>
      </c>
      <c r="B10" s="4">
        <v>103138</v>
      </c>
      <c r="C10" s="4" t="s">
        <v>39</v>
      </c>
      <c r="D10" s="4" t="s">
        <v>40</v>
      </c>
      <c r="E10" s="15" t="s">
        <v>26</v>
      </c>
      <c r="F10" s="16" t="s">
        <v>27</v>
      </c>
      <c r="G10" s="17">
        <v>1025</v>
      </c>
    </row>
    <row r="11" spans="1:21" ht="15" customHeight="1" x14ac:dyDescent="0.35">
      <c r="A11" s="17">
        <v>2402</v>
      </c>
      <c r="B11" s="4">
        <v>103342</v>
      </c>
      <c r="C11" s="4" t="s">
        <v>41</v>
      </c>
      <c r="D11" s="4" t="s">
        <v>42</v>
      </c>
      <c r="E11" s="15" t="s">
        <v>32</v>
      </c>
      <c r="F11" s="16" t="s">
        <v>27</v>
      </c>
      <c r="G11" s="17">
        <v>2402</v>
      </c>
    </row>
    <row r="12" spans="1:21" ht="15" customHeight="1" x14ac:dyDescent="0.35">
      <c r="A12" s="17">
        <v>1001</v>
      </c>
      <c r="B12" s="4">
        <v>103120</v>
      </c>
      <c r="C12" s="4" t="s">
        <v>180</v>
      </c>
      <c r="D12" s="4" t="s">
        <v>181</v>
      </c>
      <c r="E12" s="15" t="s">
        <v>26</v>
      </c>
      <c r="F12" s="16" t="s">
        <v>27</v>
      </c>
      <c r="G12" s="17">
        <v>1001</v>
      </c>
    </row>
    <row r="13" spans="1:21" ht="15" customHeight="1" x14ac:dyDescent="0.35">
      <c r="A13" s="17">
        <v>2030</v>
      </c>
      <c r="B13" s="4">
        <v>103172</v>
      </c>
      <c r="C13" s="4" t="s">
        <v>43</v>
      </c>
      <c r="D13" s="4" t="s">
        <v>44</v>
      </c>
      <c r="E13" s="15" t="s">
        <v>32</v>
      </c>
      <c r="F13" s="16" t="s">
        <v>27</v>
      </c>
      <c r="G13" s="17">
        <v>2030</v>
      </c>
    </row>
    <row r="14" spans="1:21" ht="15" customHeight="1" x14ac:dyDescent="0.35">
      <c r="A14" s="17">
        <v>1002</v>
      </c>
      <c r="B14" s="4">
        <v>103121</v>
      </c>
      <c r="C14" s="4" t="s">
        <v>45</v>
      </c>
      <c r="D14" s="4" t="s">
        <v>46</v>
      </c>
      <c r="E14" s="15" t="s">
        <v>26</v>
      </c>
      <c r="F14" s="16" t="s">
        <v>27</v>
      </c>
      <c r="G14" s="17">
        <v>1002</v>
      </c>
    </row>
    <row r="15" spans="1:21" ht="15" customHeight="1" x14ac:dyDescent="0.35">
      <c r="A15" s="17">
        <v>2465</v>
      </c>
      <c r="B15" s="4">
        <v>103391</v>
      </c>
      <c r="C15" s="4" t="s">
        <v>50</v>
      </c>
      <c r="D15" s="4" t="s">
        <v>51</v>
      </c>
      <c r="E15" s="15" t="s">
        <v>32</v>
      </c>
      <c r="F15" s="16" t="s">
        <v>27</v>
      </c>
      <c r="G15" s="17">
        <v>2465</v>
      </c>
    </row>
    <row r="16" spans="1:21" ht="15" customHeight="1" x14ac:dyDescent="0.35">
      <c r="A16" s="17">
        <v>1048</v>
      </c>
      <c r="B16" s="4">
        <v>103144</v>
      </c>
      <c r="C16" s="4" t="s">
        <v>52</v>
      </c>
      <c r="D16" s="4" t="s">
        <v>53</v>
      </c>
      <c r="E16" s="15" t="s">
        <v>26</v>
      </c>
      <c r="F16" s="16" t="s">
        <v>27</v>
      </c>
      <c r="G16" s="17">
        <v>1048</v>
      </c>
    </row>
    <row r="17" spans="1:7" ht="15" customHeight="1" x14ac:dyDescent="0.35">
      <c r="A17" s="17">
        <v>2040</v>
      </c>
      <c r="B17" s="4">
        <v>103178</v>
      </c>
      <c r="C17" s="4" t="s">
        <v>54</v>
      </c>
      <c r="D17" s="4" t="s">
        <v>55</v>
      </c>
      <c r="E17" s="15" t="s">
        <v>32</v>
      </c>
      <c r="F17" s="16" t="s">
        <v>27</v>
      </c>
      <c r="G17" s="17">
        <v>2040</v>
      </c>
    </row>
    <row r="18" spans="1:7" ht="15" customHeight="1" x14ac:dyDescent="0.35">
      <c r="A18" s="17">
        <v>2251</v>
      </c>
      <c r="B18" s="4">
        <v>103298</v>
      </c>
      <c r="C18" s="4" t="s">
        <v>56</v>
      </c>
      <c r="D18" s="4" t="s">
        <v>57</v>
      </c>
      <c r="E18" s="15" t="s">
        <v>32</v>
      </c>
      <c r="F18" s="16" t="s">
        <v>27</v>
      </c>
      <c r="G18" s="17">
        <v>2251</v>
      </c>
    </row>
    <row r="19" spans="1:7" ht="15" customHeight="1" x14ac:dyDescent="0.35">
      <c r="A19" s="17">
        <v>3002</v>
      </c>
      <c r="B19" s="4">
        <v>103397</v>
      </c>
      <c r="C19" s="4" t="s">
        <v>58</v>
      </c>
      <c r="D19" s="4" t="s">
        <v>59</v>
      </c>
      <c r="E19" s="15" t="s">
        <v>32</v>
      </c>
      <c r="F19" s="16" t="s">
        <v>27</v>
      </c>
      <c r="G19" s="17">
        <v>3002</v>
      </c>
    </row>
    <row r="20" spans="1:7" ht="15" customHeight="1" x14ac:dyDescent="0.35">
      <c r="A20" s="17">
        <v>3319</v>
      </c>
      <c r="B20" s="4">
        <v>103423</v>
      </c>
      <c r="C20" s="4" t="s">
        <v>60</v>
      </c>
      <c r="D20" s="4" t="s">
        <v>61</v>
      </c>
      <c r="E20" s="15" t="s">
        <v>32</v>
      </c>
      <c r="F20" s="16" t="s">
        <v>27</v>
      </c>
      <c r="G20" s="17">
        <v>3319</v>
      </c>
    </row>
    <row r="21" spans="1:7" ht="15" customHeight="1" x14ac:dyDescent="0.35">
      <c r="A21" s="17">
        <v>3432</v>
      </c>
      <c r="B21" s="4">
        <v>134840</v>
      </c>
      <c r="C21" s="4" t="s">
        <v>62</v>
      </c>
      <c r="D21" s="4" t="s">
        <v>63</v>
      </c>
      <c r="E21" s="15" t="s">
        <v>32</v>
      </c>
      <c r="F21" s="16" t="s">
        <v>27</v>
      </c>
      <c r="G21" s="17">
        <v>3432</v>
      </c>
    </row>
    <row r="22" spans="1:7" ht="15" customHeight="1" x14ac:dyDescent="0.35">
      <c r="A22" s="17">
        <v>2185</v>
      </c>
      <c r="B22" s="4">
        <v>103263</v>
      </c>
      <c r="C22" s="4" t="s">
        <v>64</v>
      </c>
      <c r="D22" s="4" t="s">
        <v>65</v>
      </c>
      <c r="E22" s="15" t="s">
        <v>32</v>
      </c>
      <c r="F22" s="16" t="s">
        <v>27</v>
      </c>
      <c r="G22" s="17">
        <v>2185</v>
      </c>
    </row>
    <row r="23" spans="1:7" ht="15" customHeight="1" x14ac:dyDescent="0.35">
      <c r="A23" s="17">
        <v>2054</v>
      </c>
      <c r="B23" s="4">
        <v>103189</v>
      </c>
      <c r="C23" s="4" t="s">
        <v>66</v>
      </c>
      <c r="D23" s="4" t="s">
        <v>67</v>
      </c>
      <c r="E23" s="15" t="s">
        <v>32</v>
      </c>
      <c r="F23" s="16" t="s">
        <v>27</v>
      </c>
      <c r="G23" s="17">
        <v>2054</v>
      </c>
    </row>
    <row r="24" spans="1:7" ht="15" customHeight="1" x14ac:dyDescent="0.35">
      <c r="A24" s="17">
        <v>2055</v>
      </c>
      <c r="B24" s="4">
        <v>103190</v>
      </c>
      <c r="C24" s="4" t="s">
        <v>68</v>
      </c>
      <c r="D24" s="4" t="s">
        <v>69</v>
      </c>
      <c r="E24" s="15" t="s">
        <v>32</v>
      </c>
      <c r="F24" s="16" t="s">
        <v>27</v>
      </c>
      <c r="G24" s="17">
        <v>2055</v>
      </c>
    </row>
    <row r="25" spans="1:7" ht="15" customHeight="1" x14ac:dyDescent="0.35">
      <c r="A25" s="17">
        <v>1802</v>
      </c>
      <c r="B25" s="4">
        <v>103150</v>
      </c>
      <c r="C25" s="4" t="s">
        <v>188</v>
      </c>
      <c r="D25" s="4" t="s">
        <v>189</v>
      </c>
      <c r="E25" s="15" t="s">
        <v>26</v>
      </c>
      <c r="F25" s="16" t="s">
        <v>27</v>
      </c>
      <c r="G25" s="17">
        <v>1802</v>
      </c>
    </row>
    <row r="26" spans="1:7" ht="15" customHeight="1" x14ac:dyDescent="0.35">
      <c r="A26" s="17">
        <v>2454</v>
      </c>
      <c r="B26" s="4">
        <v>103381</v>
      </c>
      <c r="C26" s="4" t="s">
        <v>70</v>
      </c>
      <c r="D26" s="4" t="s">
        <v>71</v>
      </c>
      <c r="E26" s="15" t="s">
        <v>32</v>
      </c>
      <c r="F26" s="16" t="s">
        <v>27</v>
      </c>
      <c r="G26" s="17">
        <v>2454</v>
      </c>
    </row>
    <row r="27" spans="1:7" ht="15" customHeight="1" x14ac:dyDescent="0.35">
      <c r="A27" s="17">
        <v>1026</v>
      </c>
      <c r="B27" s="4">
        <v>103139</v>
      </c>
      <c r="C27" s="4" t="s">
        <v>72</v>
      </c>
      <c r="D27" s="4" t="s">
        <v>73</v>
      </c>
      <c r="E27" s="15" t="s">
        <v>26</v>
      </c>
      <c r="F27" s="16" t="s">
        <v>27</v>
      </c>
      <c r="G27" s="17">
        <v>1026</v>
      </c>
    </row>
    <row r="28" spans="1:7" ht="15" customHeight="1" x14ac:dyDescent="0.35">
      <c r="A28" s="17">
        <v>2486</v>
      </c>
      <c r="B28" s="4">
        <v>133759</v>
      </c>
      <c r="C28" s="4" t="s">
        <v>74</v>
      </c>
      <c r="D28" s="4" t="s">
        <v>75</v>
      </c>
      <c r="E28" s="15" t="s">
        <v>32</v>
      </c>
      <c r="F28" s="16" t="s">
        <v>27</v>
      </c>
      <c r="G28" s="17">
        <v>2486</v>
      </c>
    </row>
    <row r="29" spans="1:7" ht="15" customHeight="1" x14ac:dyDescent="0.35">
      <c r="A29" s="17">
        <v>1006</v>
      </c>
      <c r="B29" s="4">
        <v>103122</v>
      </c>
      <c r="C29" s="4" t="s">
        <v>76</v>
      </c>
      <c r="D29" s="4" t="s">
        <v>77</v>
      </c>
      <c r="E29" s="15" t="s">
        <v>26</v>
      </c>
      <c r="F29" s="16" t="s">
        <v>27</v>
      </c>
      <c r="G29" s="17">
        <v>1006</v>
      </c>
    </row>
    <row r="30" spans="1:7" ht="15" customHeight="1" x14ac:dyDescent="0.35">
      <c r="A30" s="17">
        <v>1015</v>
      </c>
      <c r="B30" s="4">
        <v>103128</v>
      </c>
      <c r="C30" s="4" t="s">
        <v>78</v>
      </c>
      <c r="D30" s="4" t="s">
        <v>79</v>
      </c>
      <c r="E30" s="15" t="s">
        <v>26</v>
      </c>
      <c r="F30" s="16" t="s">
        <v>27</v>
      </c>
      <c r="G30" s="17">
        <v>1015</v>
      </c>
    </row>
    <row r="31" spans="1:7" ht="15" customHeight="1" x14ac:dyDescent="0.35">
      <c r="A31" s="17">
        <v>1022</v>
      </c>
      <c r="B31" s="4">
        <v>103135</v>
      </c>
      <c r="C31" s="4" t="s">
        <v>80</v>
      </c>
      <c r="D31" s="4" t="s">
        <v>81</v>
      </c>
      <c r="E31" s="15" t="s">
        <v>26</v>
      </c>
      <c r="F31" s="16" t="s">
        <v>27</v>
      </c>
      <c r="G31" s="17">
        <v>1022</v>
      </c>
    </row>
    <row r="32" spans="1:7" ht="15" customHeight="1" x14ac:dyDescent="0.35">
      <c r="A32" s="17">
        <v>2466</v>
      </c>
      <c r="B32" s="4">
        <v>103392</v>
      </c>
      <c r="C32" s="4" t="s">
        <v>82</v>
      </c>
      <c r="D32" s="4" t="s">
        <v>83</v>
      </c>
      <c r="E32" s="15" t="s">
        <v>32</v>
      </c>
      <c r="F32" s="16" t="s">
        <v>27</v>
      </c>
      <c r="G32" s="17">
        <v>2466</v>
      </c>
    </row>
    <row r="33" spans="1:7" ht="15" customHeight="1" x14ac:dyDescent="0.35">
      <c r="A33" s="17">
        <v>2093</v>
      </c>
      <c r="B33" s="4">
        <v>103210</v>
      </c>
      <c r="C33" s="4" t="s">
        <v>84</v>
      </c>
      <c r="D33" s="4" t="s">
        <v>85</v>
      </c>
      <c r="E33" s="15" t="s">
        <v>32</v>
      </c>
      <c r="F33" s="16" t="s">
        <v>27</v>
      </c>
      <c r="G33" s="17">
        <v>2093</v>
      </c>
    </row>
    <row r="34" spans="1:7" ht="15" customHeight="1" x14ac:dyDescent="0.35">
      <c r="A34" s="17">
        <v>2099</v>
      </c>
      <c r="B34" s="4">
        <v>103214</v>
      </c>
      <c r="C34" s="4" t="s">
        <v>86</v>
      </c>
      <c r="D34" s="4" t="s">
        <v>87</v>
      </c>
      <c r="E34" s="15" t="s">
        <v>32</v>
      </c>
      <c r="F34" s="16" t="s">
        <v>27</v>
      </c>
      <c r="G34" s="17">
        <v>2099</v>
      </c>
    </row>
    <row r="35" spans="1:7" ht="15" customHeight="1" x14ac:dyDescent="0.35">
      <c r="A35" s="17">
        <v>1010</v>
      </c>
      <c r="B35" s="4">
        <v>103125</v>
      </c>
      <c r="C35" s="4" t="s">
        <v>88</v>
      </c>
      <c r="D35" s="4" t="s">
        <v>89</v>
      </c>
      <c r="E35" s="15" t="s">
        <v>26</v>
      </c>
      <c r="F35" s="16" t="s">
        <v>27</v>
      </c>
      <c r="G35" s="17">
        <v>1010</v>
      </c>
    </row>
    <row r="36" spans="1:7" ht="15" customHeight="1" x14ac:dyDescent="0.35">
      <c r="A36" s="17">
        <v>1021</v>
      </c>
      <c r="B36" s="4">
        <v>103134</v>
      </c>
      <c r="C36" s="4" t="s">
        <v>90</v>
      </c>
      <c r="D36" s="4" t="s">
        <v>91</v>
      </c>
      <c r="E36" s="15" t="s">
        <v>26</v>
      </c>
      <c r="F36" s="16" t="s">
        <v>27</v>
      </c>
      <c r="G36" s="17">
        <v>1021</v>
      </c>
    </row>
    <row r="37" spans="1:7" ht="15" customHeight="1" x14ac:dyDescent="0.35">
      <c r="A37" s="17">
        <v>3411</v>
      </c>
      <c r="B37" s="4">
        <v>103479</v>
      </c>
      <c r="C37" s="4" t="s">
        <v>92</v>
      </c>
      <c r="D37" s="4" t="s">
        <v>93</v>
      </c>
      <c r="E37" s="15" t="s">
        <v>32</v>
      </c>
      <c r="F37" s="16" t="s">
        <v>27</v>
      </c>
      <c r="G37" s="17">
        <v>3411</v>
      </c>
    </row>
    <row r="38" spans="1:7" ht="15" customHeight="1" x14ac:dyDescent="0.35">
      <c r="A38" s="17">
        <v>3317</v>
      </c>
      <c r="B38" s="4">
        <v>103421</v>
      </c>
      <c r="C38" s="4" t="s">
        <v>94</v>
      </c>
      <c r="D38" s="4" t="s">
        <v>95</v>
      </c>
      <c r="E38" s="15" t="s">
        <v>32</v>
      </c>
      <c r="F38" s="16" t="s">
        <v>27</v>
      </c>
      <c r="G38" s="17">
        <v>3317</v>
      </c>
    </row>
    <row r="39" spans="1:7" ht="15" customHeight="1" x14ac:dyDescent="0.35">
      <c r="A39" s="17">
        <v>1023</v>
      </c>
      <c r="B39" s="4">
        <v>103136</v>
      </c>
      <c r="C39" s="4" t="s">
        <v>96</v>
      </c>
      <c r="D39" s="4" t="s">
        <v>97</v>
      </c>
      <c r="E39" s="15" t="s">
        <v>26</v>
      </c>
      <c r="F39" s="16" t="s">
        <v>27</v>
      </c>
      <c r="G39" s="17">
        <v>1023</v>
      </c>
    </row>
    <row r="40" spans="1:7" ht="15" customHeight="1" x14ac:dyDescent="0.35">
      <c r="A40" s="17">
        <v>2015</v>
      </c>
      <c r="B40" s="4">
        <v>134102</v>
      </c>
      <c r="C40" s="4" t="s">
        <v>98</v>
      </c>
      <c r="D40" s="4" t="s">
        <v>99</v>
      </c>
      <c r="E40" s="15" t="s">
        <v>32</v>
      </c>
      <c r="F40" s="16" t="s">
        <v>27</v>
      </c>
      <c r="G40" s="17">
        <v>2015</v>
      </c>
    </row>
    <row r="41" spans="1:7" ht="15" customHeight="1" x14ac:dyDescent="0.35">
      <c r="A41" s="17">
        <v>3352</v>
      </c>
      <c r="B41" s="4">
        <v>103444</v>
      </c>
      <c r="C41" s="4" t="s">
        <v>190</v>
      </c>
      <c r="D41" s="4" t="s">
        <v>191</v>
      </c>
      <c r="E41" s="15" t="s">
        <v>32</v>
      </c>
      <c r="F41" s="16" t="s">
        <v>27</v>
      </c>
      <c r="G41" s="17">
        <v>3352</v>
      </c>
    </row>
    <row r="42" spans="1:7" ht="15" customHeight="1" x14ac:dyDescent="0.35">
      <c r="A42" s="17">
        <v>2005</v>
      </c>
      <c r="B42" s="4">
        <v>134098</v>
      </c>
      <c r="C42" s="4" t="s">
        <v>192</v>
      </c>
      <c r="D42" s="4" t="s">
        <v>193</v>
      </c>
      <c r="E42" s="15" t="s">
        <v>32</v>
      </c>
      <c r="F42" s="16" t="s">
        <v>27</v>
      </c>
      <c r="G42" s="17">
        <v>2005</v>
      </c>
    </row>
    <row r="43" spans="1:7" ht="15" customHeight="1" x14ac:dyDescent="0.35">
      <c r="A43" s="17">
        <v>1016</v>
      </c>
      <c r="B43" s="4">
        <v>103129</v>
      </c>
      <c r="C43" s="4" t="s">
        <v>100</v>
      </c>
      <c r="D43" s="4" t="s">
        <v>101</v>
      </c>
      <c r="E43" s="15" t="s">
        <v>26</v>
      </c>
      <c r="F43" s="16" t="s">
        <v>27</v>
      </c>
      <c r="G43" s="17">
        <v>1016</v>
      </c>
    </row>
    <row r="44" spans="1:7" ht="15" customHeight="1" x14ac:dyDescent="0.35">
      <c r="A44" s="17">
        <v>2115</v>
      </c>
      <c r="B44" s="4">
        <v>103221</v>
      </c>
      <c r="C44" s="4" t="s">
        <v>102</v>
      </c>
      <c r="D44" s="4" t="s">
        <v>103</v>
      </c>
      <c r="E44" s="15" t="s">
        <v>32</v>
      </c>
      <c r="F44" s="16" t="s">
        <v>27</v>
      </c>
      <c r="G44" s="17">
        <v>2115</v>
      </c>
    </row>
    <row r="45" spans="1:7" ht="15" customHeight="1" x14ac:dyDescent="0.35">
      <c r="A45" s="17">
        <v>2441</v>
      </c>
      <c r="B45" s="4">
        <v>103368</v>
      </c>
      <c r="C45" s="4" t="s">
        <v>104</v>
      </c>
      <c r="D45" s="4" t="s">
        <v>105</v>
      </c>
      <c r="E45" s="15" t="s">
        <v>32</v>
      </c>
      <c r="F45" s="16" t="s">
        <v>27</v>
      </c>
      <c r="G45" s="17">
        <v>2441</v>
      </c>
    </row>
    <row r="46" spans="1:7" ht="15" customHeight="1" x14ac:dyDescent="0.35">
      <c r="A46" s="17">
        <v>2189</v>
      </c>
      <c r="B46" s="4">
        <v>103265</v>
      </c>
      <c r="C46" s="4" t="s">
        <v>182</v>
      </c>
      <c r="D46" s="4" t="s">
        <v>183</v>
      </c>
      <c r="E46" s="15" t="s">
        <v>32</v>
      </c>
      <c r="F46" s="16" t="s">
        <v>27</v>
      </c>
      <c r="G46" s="17">
        <v>2189</v>
      </c>
    </row>
    <row r="47" spans="1:7" ht="15" customHeight="1" x14ac:dyDescent="0.35">
      <c r="A47" s="17">
        <v>1024</v>
      </c>
      <c r="B47" s="4">
        <v>103137</v>
      </c>
      <c r="C47" s="4" t="s">
        <v>194</v>
      </c>
      <c r="D47" s="4" t="s">
        <v>195</v>
      </c>
      <c r="E47" s="15" t="s">
        <v>26</v>
      </c>
      <c r="F47" s="16" t="s">
        <v>27</v>
      </c>
      <c r="G47" s="17">
        <v>1024</v>
      </c>
    </row>
    <row r="48" spans="1:7" ht="15" customHeight="1" x14ac:dyDescent="0.35">
      <c r="A48" s="17">
        <v>2127</v>
      </c>
      <c r="B48" s="4">
        <v>103227</v>
      </c>
      <c r="C48" s="4" t="s">
        <v>106</v>
      </c>
      <c r="D48" s="4" t="s">
        <v>107</v>
      </c>
      <c r="E48" s="15" t="s">
        <v>32</v>
      </c>
      <c r="F48" s="16" t="s">
        <v>27</v>
      </c>
      <c r="G48" s="17">
        <v>2127</v>
      </c>
    </row>
    <row r="49" spans="1:7" ht="15" customHeight="1" x14ac:dyDescent="0.35">
      <c r="A49" s="17">
        <v>2004</v>
      </c>
      <c r="B49" s="4">
        <v>134094</v>
      </c>
      <c r="C49" s="4" t="s">
        <v>196</v>
      </c>
      <c r="D49" s="4" t="s">
        <v>197</v>
      </c>
      <c r="E49" s="15" t="s">
        <v>32</v>
      </c>
      <c r="F49" s="16" t="s">
        <v>27</v>
      </c>
      <c r="G49" s="17">
        <v>2004</v>
      </c>
    </row>
    <row r="50" spans="1:7" ht="15" customHeight="1" x14ac:dyDescent="0.35">
      <c r="A50" s="17">
        <v>1012</v>
      </c>
      <c r="B50" s="4">
        <v>103126</v>
      </c>
      <c r="C50" s="4" t="s">
        <v>108</v>
      </c>
      <c r="D50" s="4" t="s">
        <v>109</v>
      </c>
      <c r="E50" s="15" t="s">
        <v>26</v>
      </c>
      <c r="F50" s="16" t="s">
        <v>27</v>
      </c>
      <c r="G50" s="17">
        <v>1012</v>
      </c>
    </row>
    <row r="51" spans="1:7" ht="15" customHeight="1" x14ac:dyDescent="0.35">
      <c r="A51" s="17">
        <v>2457</v>
      </c>
      <c r="B51" s="4">
        <v>103384</v>
      </c>
      <c r="C51" s="4" t="s">
        <v>112</v>
      </c>
      <c r="D51" s="4" t="s">
        <v>113</v>
      </c>
      <c r="E51" s="15" t="s">
        <v>32</v>
      </c>
      <c r="F51" s="16" t="s">
        <v>27</v>
      </c>
      <c r="G51" s="17">
        <v>2457</v>
      </c>
    </row>
    <row r="52" spans="1:7" ht="15" customHeight="1" x14ac:dyDescent="0.35">
      <c r="A52" s="17">
        <v>2142</v>
      </c>
      <c r="B52" s="4">
        <v>103237</v>
      </c>
      <c r="C52" s="4" t="s">
        <v>114</v>
      </c>
      <c r="D52" s="4" t="s">
        <v>115</v>
      </c>
      <c r="E52" s="15" t="s">
        <v>32</v>
      </c>
      <c r="F52" s="16" t="s">
        <v>27</v>
      </c>
      <c r="G52" s="17">
        <v>2142</v>
      </c>
    </row>
    <row r="53" spans="1:7" ht="15" customHeight="1" x14ac:dyDescent="0.35">
      <c r="A53" s="17">
        <v>1028</v>
      </c>
      <c r="B53" s="4">
        <v>103141</v>
      </c>
      <c r="C53" s="4" t="s">
        <v>200</v>
      </c>
      <c r="D53" s="4" t="s">
        <v>201</v>
      </c>
      <c r="E53" s="15" t="s">
        <v>26</v>
      </c>
      <c r="F53" s="16" t="s">
        <v>27</v>
      </c>
      <c r="G53" s="17">
        <v>1028</v>
      </c>
    </row>
    <row r="54" spans="1:7" ht="15" customHeight="1" x14ac:dyDescent="0.35">
      <c r="A54" s="17">
        <v>1049</v>
      </c>
      <c r="B54" s="4">
        <v>103145</v>
      </c>
      <c r="C54" s="4" t="s">
        <v>116</v>
      </c>
      <c r="D54" s="4" t="s">
        <v>117</v>
      </c>
      <c r="E54" s="15" t="s">
        <v>26</v>
      </c>
      <c r="F54" s="16" t="s">
        <v>27</v>
      </c>
      <c r="G54" s="17">
        <v>1049</v>
      </c>
    </row>
    <row r="55" spans="1:7" ht="15" customHeight="1" x14ac:dyDescent="0.35">
      <c r="A55" s="17">
        <v>3351</v>
      </c>
      <c r="B55" s="4">
        <v>103443</v>
      </c>
      <c r="C55" s="4" t="s">
        <v>118</v>
      </c>
      <c r="D55" s="4" t="s">
        <v>119</v>
      </c>
      <c r="E55" s="15" t="s">
        <v>32</v>
      </c>
      <c r="F55" s="16" t="s">
        <v>27</v>
      </c>
      <c r="G55" s="17">
        <v>3351</v>
      </c>
    </row>
    <row r="56" spans="1:7" ht="15" customHeight="1" x14ac:dyDescent="0.35">
      <c r="A56" s="17">
        <v>3328</v>
      </c>
      <c r="B56" s="4">
        <v>103430</v>
      </c>
      <c r="C56" s="4" t="s">
        <v>120</v>
      </c>
      <c r="D56" s="4" t="s">
        <v>121</v>
      </c>
      <c r="E56" s="15" t="s">
        <v>32</v>
      </c>
      <c r="F56" s="16" t="s">
        <v>27</v>
      </c>
      <c r="G56" s="17">
        <v>3328</v>
      </c>
    </row>
    <row r="57" spans="1:7" ht="15" customHeight="1" x14ac:dyDescent="0.35">
      <c r="A57" s="17">
        <v>2150</v>
      </c>
      <c r="B57" s="4">
        <v>103241</v>
      </c>
      <c r="C57" s="4" t="s">
        <v>202</v>
      </c>
      <c r="D57" s="4" t="s">
        <v>203</v>
      </c>
      <c r="E57" s="15" t="s">
        <v>32</v>
      </c>
      <c r="F57" s="16" t="s">
        <v>27</v>
      </c>
      <c r="G57" s="17">
        <v>2150</v>
      </c>
    </row>
    <row r="58" spans="1:7" ht="15" customHeight="1" x14ac:dyDescent="0.35">
      <c r="A58" s="17">
        <v>1008</v>
      </c>
      <c r="B58" s="4">
        <v>103123</v>
      </c>
      <c r="C58" s="4" t="s">
        <v>122</v>
      </c>
      <c r="D58" s="4" t="s">
        <v>123</v>
      </c>
      <c r="E58" s="15" t="s">
        <v>26</v>
      </c>
      <c r="F58" s="16" t="s">
        <v>27</v>
      </c>
      <c r="G58" s="17">
        <v>1008</v>
      </c>
    </row>
    <row r="59" spans="1:7" ht="15" customHeight="1" x14ac:dyDescent="0.35">
      <c r="A59" s="17">
        <v>2157</v>
      </c>
      <c r="B59" s="4">
        <v>103246</v>
      </c>
      <c r="C59" s="4" t="s">
        <v>204</v>
      </c>
      <c r="D59" s="4" t="s">
        <v>205</v>
      </c>
      <c r="E59" s="15" t="s">
        <v>32</v>
      </c>
      <c r="F59" s="16" t="s">
        <v>27</v>
      </c>
      <c r="G59" s="17">
        <v>2157</v>
      </c>
    </row>
    <row r="60" spans="1:7" ht="15" customHeight="1" x14ac:dyDescent="0.35">
      <c r="A60" s="17">
        <v>2161</v>
      </c>
      <c r="B60" s="4">
        <v>103249</v>
      </c>
      <c r="C60" s="4" t="s">
        <v>124</v>
      </c>
      <c r="D60" s="4" t="s">
        <v>125</v>
      </c>
      <c r="E60" s="15" t="s">
        <v>32</v>
      </c>
      <c r="F60" s="16" t="s">
        <v>27</v>
      </c>
      <c r="G60" s="17">
        <v>2161</v>
      </c>
    </row>
    <row r="61" spans="1:7" ht="15" customHeight="1" x14ac:dyDescent="0.35">
      <c r="A61" s="17">
        <v>2063</v>
      </c>
      <c r="B61" s="4">
        <v>103193</v>
      </c>
      <c r="C61" s="4" t="s">
        <v>126</v>
      </c>
      <c r="D61" s="4" t="s">
        <v>127</v>
      </c>
      <c r="E61" s="15" t="s">
        <v>32</v>
      </c>
      <c r="F61" s="16" t="s">
        <v>27</v>
      </c>
      <c r="G61" s="17">
        <v>2063</v>
      </c>
    </row>
    <row r="62" spans="1:7" ht="15" customHeight="1" x14ac:dyDescent="0.35">
      <c r="A62" s="17">
        <v>1018</v>
      </c>
      <c r="B62" s="4">
        <v>103131</v>
      </c>
      <c r="C62" s="4" t="s">
        <v>128</v>
      </c>
      <c r="D62" s="4" t="s">
        <v>129</v>
      </c>
      <c r="E62" s="15" t="s">
        <v>26</v>
      </c>
      <c r="F62" s="16" t="s">
        <v>27</v>
      </c>
      <c r="G62" s="17">
        <v>1018</v>
      </c>
    </row>
    <row r="63" spans="1:7" ht="15" customHeight="1" x14ac:dyDescent="0.35">
      <c r="A63" s="17">
        <v>1000</v>
      </c>
      <c r="B63" s="4">
        <v>137796</v>
      </c>
      <c r="C63" s="4" t="s">
        <v>206</v>
      </c>
      <c r="D63" s="4" t="s">
        <v>207</v>
      </c>
      <c r="E63" s="15" t="s">
        <v>26</v>
      </c>
      <c r="F63" s="16" t="s">
        <v>27</v>
      </c>
      <c r="G63" s="17">
        <v>1000</v>
      </c>
    </row>
    <row r="64" spans="1:7" ht="15" customHeight="1" x14ac:dyDescent="0.35">
      <c r="A64" s="17">
        <v>2169</v>
      </c>
      <c r="B64" s="4">
        <v>103252</v>
      </c>
      <c r="C64" s="4" t="s">
        <v>130</v>
      </c>
      <c r="D64" s="4" t="s">
        <v>131</v>
      </c>
      <c r="E64" s="15" t="s">
        <v>32</v>
      </c>
      <c r="F64" s="16" t="s">
        <v>27</v>
      </c>
      <c r="G64" s="17">
        <v>2169</v>
      </c>
    </row>
    <row r="65" spans="1:7" ht="15" customHeight="1" x14ac:dyDescent="0.35">
      <c r="A65" s="17">
        <v>2008</v>
      </c>
      <c r="B65" s="4">
        <v>103157</v>
      </c>
      <c r="C65" s="4" t="s">
        <v>132</v>
      </c>
      <c r="D65" s="4" t="s">
        <v>133</v>
      </c>
      <c r="E65" s="15" t="s">
        <v>32</v>
      </c>
      <c r="F65" s="16" t="s">
        <v>27</v>
      </c>
      <c r="G65" s="17">
        <v>2008</v>
      </c>
    </row>
    <row r="66" spans="1:7" ht="15" customHeight="1" x14ac:dyDescent="0.35">
      <c r="A66" s="17">
        <v>1038</v>
      </c>
      <c r="B66" s="4">
        <v>103142</v>
      </c>
      <c r="C66" s="4" t="s">
        <v>134</v>
      </c>
      <c r="D66" s="4" t="s">
        <v>135</v>
      </c>
      <c r="E66" s="15" t="s">
        <v>26</v>
      </c>
      <c r="F66" s="16" t="s">
        <v>27</v>
      </c>
      <c r="G66" s="17">
        <v>1038</v>
      </c>
    </row>
    <row r="67" spans="1:7" ht="15" customHeight="1" x14ac:dyDescent="0.35">
      <c r="A67" s="17">
        <v>2176</v>
      </c>
      <c r="B67" s="4">
        <v>103256</v>
      </c>
      <c r="C67" s="4" t="s">
        <v>136</v>
      </c>
      <c r="D67" s="4" t="s">
        <v>137</v>
      </c>
      <c r="E67" s="15" t="s">
        <v>32</v>
      </c>
      <c r="F67" s="16" t="s">
        <v>27</v>
      </c>
      <c r="G67" s="17">
        <v>2176</v>
      </c>
    </row>
    <row r="68" spans="1:7" ht="15" customHeight="1" x14ac:dyDescent="0.35">
      <c r="A68" s="17">
        <v>3372</v>
      </c>
      <c r="B68" s="4">
        <v>103460</v>
      </c>
      <c r="C68" s="4" t="s">
        <v>138</v>
      </c>
      <c r="D68" s="4" t="s">
        <v>139</v>
      </c>
      <c r="E68" s="15" t="s">
        <v>32</v>
      </c>
      <c r="F68" s="16" t="s">
        <v>27</v>
      </c>
      <c r="G68" s="17">
        <v>3372</v>
      </c>
    </row>
    <row r="69" spans="1:7" ht="15" customHeight="1" x14ac:dyDescent="0.35">
      <c r="A69" s="17">
        <v>3331</v>
      </c>
      <c r="B69" s="4">
        <v>103433</v>
      </c>
      <c r="C69" s="4" t="s">
        <v>140</v>
      </c>
      <c r="D69" s="4" t="s">
        <v>141</v>
      </c>
      <c r="E69" s="15" t="s">
        <v>32</v>
      </c>
      <c r="F69" s="16" t="s">
        <v>27</v>
      </c>
      <c r="G69" s="17">
        <v>3331</v>
      </c>
    </row>
    <row r="70" spans="1:7" ht="15" customHeight="1" x14ac:dyDescent="0.35">
      <c r="A70" s="17">
        <v>3386</v>
      </c>
      <c r="B70" s="4">
        <v>103470</v>
      </c>
      <c r="C70" s="4" t="s">
        <v>142</v>
      </c>
      <c r="D70" s="4" t="s">
        <v>143</v>
      </c>
      <c r="E70" s="15" t="s">
        <v>32</v>
      </c>
      <c r="F70" s="16" t="s">
        <v>27</v>
      </c>
      <c r="G70" s="17">
        <v>3386</v>
      </c>
    </row>
    <row r="71" spans="1:7" ht="15" customHeight="1" x14ac:dyDescent="0.35">
      <c r="A71" s="17">
        <v>3363</v>
      </c>
      <c r="B71" s="4">
        <v>103455</v>
      </c>
      <c r="C71" s="4" t="s">
        <v>144</v>
      </c>
      <c r="D71" s="4" t="s">
        <v>145</v>
      </c>
      <c r="E71" s="15" t="s">
        <v>32</v>
      </c>
      <c r="F71" s="16" t="s">
        <v>27</v>
      </c>
      <c r="G71" s="17">
        <v>3363</v>
      </c>
    </row>
    <row r="72" spans="1:7" ht="15" customHeight="1" x14ac:dyDescent="0.35">
      <c r="A72" s="17">
        <v>3367</v>
      </c>
      <c r="B72" s="4">
        <v>103458</v>
      </c>
      <c r="C72" s="4" t="s">
        <v>146</v>
      </c>
      <c r="D72" s="4" t="s">
        <v>147</v>
      </c>
      <c r="E72" s="15" t="s">
        <v>32</v>
      </c>
      <c r="F72" s="16" t="s">
        <v>27</v>
      </c>
      <c r="G72" s="17">
        <v>3367</v>
      </c>
    </row>
    <row r="73" spans="1:7" ht="15" customHeight="1" x14ac:dyDescent="0.35">
      <c r="A73" s="17">
        <v>3377</v>
      </c>
      <c r="B73" s="4">
        <v>103463</v>
      </c>
      <c r="C73" s="4" t="s">
        <v>148</v>
      </c>
      <c r="D73" s="4" t="s">
        <v>149</v>
      </c>
      <c r="E73" s="15" t="s">
        <v>32</v>
      </c>
      <c r="F73" s="16" t="s">
        <v>27</v>
      </c>
      <c r="G73" s="17">
        <v>3377</v>
      </c>
    </row>
    <row r="74" spans="1:7" ht="15" customHeight="1" x14ac:dyDescent="0.35">
      <c r="A74" s="17">
        <v>3361</v>
      </c>
      <c r="B74" s="4">
        <v>103453</v>
      </c>
      <c r="C74" s="4" t="s">
        <v>150</v>
      </c>
      <c r="D74" s="4" t="s">
        <v>151</v>
      </c>
      <c r="E74" s="15" t="s">
        <v>32</v>
      </c>
      <c r="F74" s="16" t="s">
        <v>27</v>
      </c>
      <c r="G74" s="17">
        <v>3361</v>
      </c>
    </row>
    <row r="75" spans="1:7" ht="15" customHeight="1" x14ac:dyDescent="0.35">
      <c r="A75" s="17">
        <v>3346</v>
      </c>
      <c r="B75" s="4">
        <v>103439</v>
      </c>
      <c r="C75" s="4" t="s">
        <v>212</v>
      </c>
      <c r="D75" s="4" t="s">
        <v>213</v>
      </c>
      <c r="E75" s="15" t="s">
        <v>32</v>
      </c>
      <c r="F75" s="16" t="s">
        <v>27</v>
      </c>
      <c r="G75" s="17">
        <v>3346</v>
      </c>
    </row>
    <row r="76" spans="1:7" ht="15" customHeight="1" x14ac:dyDescent="0.35">
      <c r="A76" s="17">
        <v>3428</v>
      </c>
      <c r="B76" s="4">
        <v>134476</v>
      </c>
      <c r="C76" s="4" t="s">
        <v>152</v>
      </c>
      <c r="D76" s="4" t="s">
        <v>153</v>
      </c>
      <c r="E76" s="15" t="s">
        <v>32</v>
      </c>
      <c r="F76" s="16" t="s">
        <v>27</v>
      </c>
      <c r="G76" s="17">
        <v>3428</v>
      </c>
    </row>
    <row r="77" spans="1:7" ht="15" customHeight="1" x14ac:dyDescent="0.35">
      <c r="A77" s="17">
        <v>1009</v>
      </c>
      <c r="B77" s="4">
        <v>103124</v>
      </c>
      <c r="C77" s="4" t="s">
        <v>214</v>
      </c>
      <c r="D77" s="4" t="s">
        <v>215</v>
      </c>
      <c r="E77" s="15" t="s">
        <v>26</v>
      </c>
      <c r="F77" s="16" t="s">
        <v>27</v>
      </c>
      <c r="G77" s="17">
        <v>1009</v>
      </c>
    </row>
    <row r="78" spans="1:7" ht="15" customHeight="1" x14ac:dyDescent="0.35">
      <c r="A78" s="17">
        <v>2178</v>
      </c>
      <c r="B78" s="4">
        <v>103257</v>
      </c>
      <c r="C78" s="4" t="s">
        <v>154</v>
      </c>
      <c r="D78" s="4" t="s">
        <v>155</v>
      </c>
      <c r="E78" s="15" t="s">
        <v>32</v>
      </c>
      <c r="F78" s="16" t="s">
        <v>27</v>
      </c>
      <c r="G78" s="17">
        <v>2178</v>
      </c>
    </row>
    <row r="79" spans="1:7" ht="15" customHeight="1" x14ac:dyDescent="0.35">
      <c r="A79" s="17">
        <v>5203</v>
      </c>
      <c r="B79" s="4">
        <v>103544</v>
      </c>
      <c r="C79" s="4" t="s">
        <v>158</v>
      </c>
      <c r="D79" s="4" t="s">
        <v>159</v>
      </c>
      <c r="E79" s="15" t="s">
        <v>32</v>
      </c>
      <c r="F79" s="16" t="s">
        <v>27</v>
      </c>
      <c r="G79" s="17">
        <v>5203</v>
      </c>
    </row>
    <row r="80" spans="1:7" ht="15" customHeight="1" x14ac:dyDescent="0.35">
      <c r="A80" s="17">
        <v>2108</v>
      </c>
      <c r="B80" s="4">
        <v>103217</v>
      </c>
      <c r="C80" s="4" t="s">
        <v>160</v>
      </c>
      <c r="D80" s="4" t="s">
        <v>161</v>
      </c>
      <c r="E80" s="15" t="s">
        <v>32</v>
      </c>
      <c r="F80" s="16" t="s">
        <v>27</v>
      </c>
      <c r="G80" s="17">
        <v>2108</v>
      </c>
    </row>
    <row r="81" spans="1:7" ht="15" customHeight="1" x14ac:dyDescent="0.35">
      <c r="A81" s="17">
        <v>1019</v>
      </c>
      <c r="B81" s="4">
        <v>103132</v>
      </c>
      <c r="C81" s="4" t="s">
        <v>184</v>
      </c>
      <c r="D81" s="4" t="s">
        <v>185</v>
      </c>
      <c r="E81" s="15" t="s">
        <v>26</v>
      </c>
      <c r="F81" s="16" t="s">
        <v>27</v>
      </c>
      <c r="G81" s="17">
        <v>1019</v>
      </c>
    </row>
    <row r="82" spans="1:7" ht="15" customHeight="1" x14ac:dyDescent="0.35">
      <c r="A82" s="17">
        <v>2308</v>
      </c>
      <c r="B82" s="4">
        <v>103328</v>
      </c>
      <c r="C82" s="4" t="s">
        <v>162</v>
      </c>
      <c r="D82" s="4" t="s">
        <v>163</v>
      </c>
      <c r="E82" s="15" t="s">
        <v>32</v>
      </c>
      <c r="F82" s="16" t="s">
        <v>27</v>
      </c>
      <c r="G82" s="17">
        <v>2308</v>
      </c>
    </row>
    <row r="83" spans="1:7" ht="15" customHeight="1" x14ac:dyDescent="0.35">
      <c r="A83" s="17">
        <v>2245</v>
      </c>
      <c r="B83" s="4">
        <v>103295</v>
      </c>
      <c r="C83" s="4" t="s">
        <v>164</v>
      </c>
      <c r="D83" s="4" t="s">
        <v>165</v>
      </c>
      <c r="E83" s="15" t="s">
        <v>32</v>
      </c>
      <c r="F83" s="16" t="s">
        <v>27</v>
      </c>
      <c r="G83" s="17">
        <v>2245</v>
      </c>
    </row>
    <row r="84" spans="1:7" ht="15" customHeight="1" x14ac:dyDescent="0.35">
      <c r="A84" s="17">
        <v>1020</v>
      </c>
      <c r="B84" s="4">
        <v>103133</v>
      </c>
      <c r="C84" s="4" t="s">
        <v>218</v>
      </c>
      <c r="D84" s="4" t="s">
        <v>219</v>
      </c>
      <c r="E84" s="15" t="s">
        <v>26</v>
      </c>
      <c r="F84" s="16" t="s">
        <v>27</v>
      </c>
      <c r="G84" s="17">
        <v>1020</v>
      </c>
    </row>
    <row r="85" spans="1:7" ht="15" customHeight="1" x14ac:dyDescent="0.35">
      <c r="A85" s="17">
        <v>1014</v>
      </c>
      <c r="B85" s="4">
        <v>103127</v>
      </c>
      <c r="C85" s="4" t="s">
        <v>166</v>
      </c>
      <c r="D85" s="4" t="s">
        <v>167</v>
      </c>
      <c r="E85" s="15" t="s">
        <v>26</v>
      </c>
      <c r="F85" s="16" t="s">
        <v>27</v>
      </c>
      <c r="G85" s="17">
        <v>1014</v>
      </c>
    </row>
    <row r="86" spans="1:7" ht="15" customHeight="1" x14ac:dyDescent="0.35">
      <c r="A86" s="17">
        <v>2011</v>
      </c>
      <c r="B86" s="4">
        <v>134099</v>
      </c>
      <c r="C86" s="4" t="s">
        <v>168</v>
      </c>
      <c r="D86" s="4" t="s">
        <v>169</v>
      </c>
      <c r="E86" s="15" t="s">
        <v>32</v>
      </c>
      <c r="F86" s="16" t="s">
        <v>27</v>
      </c>
      <c r="G86" s="17">
        <v>2011</v>
      </c>
    </row>
    <row r="87" spans="1:7" ht="15" customHeight="1" x14ac:dyDescent="0.35">
      <c r="A87" s="17">
        <v>2478</v>
      </c>
      <c r="B87" s="4">
        <v>132007</v>
      </c>
      <c r="C87" s="4" t="s">
        <v>170</v>
      </c>
      <c r="D87" s="4" t="s">
        <v>171</v>
      </c>
      <c r="E87" s="15" t="s">
        <v>32</v>
      </c>
      <c r="F87" s="16" t="s">
        <v>27</v>
      </c>
      <c r="G87" s="17">
        <v>2478</v>
      </c>
    </row>
    <row r="88" spans="1:7" ht="15" customHeight="1" x14ac:dyDescent="0.35">
      <c r="A88" s="17">
        <v>2293</v>
      </c>
      <c r="B88" s="4">
        <v>103317</v>
      </c>
      <c r="C88" s="4" t="s">
        <v>172</v>
      </c>
      <c r="D88" s="4" t="s">
        <v>173</v>
      </c>
      <c r="E88" s="15" t="s">
        <v>32</v>
      </c>
      <c r="F88" s="16" t="s">
        <v>27</v>
      </c>
      <c r="G88" s="17">
        <v>2293</v>
      </c>
    </row>
    <row r="89" spans="1:7" ht="15" customHeight="1" x14ac:dyDescent="0.35">
      <c r="A89" s="17">
        <v>2317</v>
      </c>
      <c r="B89" s="4">
        <v>103337</v>
      </c>
      <c r="C89" s="4" t="s">
        <v>174</v>
      </c>
      <c r="D89" s="4" t="s">
        <v>175</v>
      </c>
      <c r="E89" s="15" t="s">
        <v>32</v>
      </c>
      <c r="F89" s="16" t="s">
        <v>27</v>
      </c>
      <c r="G89" s="17">
        <v>2317</v>
      </c>
    </row>
    <row r="90" spans="1:7" ht="15" customHeight="1" x14ac:dyDescent="0.35">
      <c r="A90" s="17">
        <v>2227</v>
      </c>
      <c r="B90" s="4">
        <v>103281</v>
      </c>
      <c r="C90" s="4" t="s">
        <v>176</v>
      </c>
      <c r="D90" s="4" t="s">
        <v>177</v>
      </c>
      <c r="E90" s="15" t="s">
        <v>32</v>
      </c>
      <c r="F90" s="16" t="s">
        <v>27</v>
      </c>
      <c r="G90" s="17">
        <v>2227</v>
      </c>
    </row>
    <row r="91" spans="1:7" ht="15" customHeight="1" x14ac:dyDescent="0.35">
      <c r="A91" s="17">
        <v>2231</v>
      </c>
      <c r="B91" s="4">
        <v>103284</v>
      </c>
      <c r="C91" s="4" t="s">
        <v>178</v>
      </c>
      <c r="D91" s="4" t="s">
        <v>179</v>
      </c>
      <c r="E91" s="15" t="s">
        <v>32</v>
      </c>
      <c r="F91" s="16" t="s">
        <v>27</v>
      </c>
      <c r="G91" s="17">
        <v>2231</v>
      </c>
    </row>
  </sheetData>
  <autoFilter ref="A1:F91" xr:uid="{1C6DB148-3C87-4E5C-91EA-02D6BCF71370}">
    <sortState xmlns:xlrd2="http://schemas.microsoft.com/office/spreadsheetml/2017/richdata2" ref="A2:F91">
      <sortCondition ref="F3:F91"/>
    </sortState>
  </autoFilter>
  <sortState xmlns:xlrd2="http://schemas.microsoft.com/office/spreadsheetml/2017/richdata2" ref="A4:F91">
    <sortCondition ref="D4:D91"/>
  </sortState>
  <conditionalFormatting sqref="A1:G2 P3:T3 E3:E91 T4:T9">
    <cfRule type="cellIs" dxfId="1" priority="1" operator="lessThan">
      <formula>0</formula>
    </cfRule>
  </conditionalFormatting>
  <pageMargins left="0.7" right="0.7" top="0.75" bottom="0.75" header="0.3" footer="0.3"/>
  <headerFooter>
    <oddFooter>&amp;C_x000D_&amp;1#&amp;"Calibri"&amp;10&amp;K000000 OFFICIAL</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5198C-F95C-4212-8AD0-06BD61EE9E7C}">
  <sheetPr codeName="Sheet4"/>
  <dimension ref="A1:AP214"/>
  <sheetViews>
    <sheetView zoomScale="90" zoomScaleNormal="90" workbookViewId="0">
      <selection activeCell="Q220" sqref="Q220"/>
    </sheetView>
  </sheetViews>
  <sheetFormatPr defaultColWidth="8.7265625" defaultRowHeight="13" x14ac:dyDescent="0.3"/>
  <cols>
    <col min="1" max="1" width="9" style="26" bestFit="1" customWidth="1"/>
    <col min="2" max="3" width="47.7265625" style="27" customWidth="1"/>
    <col min="4" max="5" width="9.54296875" style="27" customWidth="1"/>
    <col min="6" max="6" width="12.81640625" style="27" bestFit="1" customWidth="1"/>
    <col min="7" max="8" width="8.7265625" style="27" customWidth="1"/>
    <col min="9" max="9" width="12.81640625" style="29" customWidth="1"/>
    <col min="10" max="10" width="12.453125" style="26" customWidth="1"/>
    <col min="11" max="13" width="9" style="26" customWidth="1"/>
    <col min="14" max="14" width="15.7265625" style="31" customWidth="1"/>
    <col min="15" max="16" width="8.7265625" style="27" customWidth="1"/>
    <col min="17" max="17" width="13" style="27" customWidth="1"/>
    <col min="18" max="19" width="10.26953125" style="26" customWidth="1"/>
    <col min="20" max="20" width="14.453125" style="27" customWidth="1"/>
    <col min="21" max="21" width="11" style="27" customWidth="1"/>
    <col min="22" max="22" width="11.26953125" style="27" customWidth="1"/>
    <col min="23" max="23" width="11.453125" style="27" bestFit="1" customWidth="1"/>
    <col min="24" max="24" width="13.54296875" style="27" bestFit="1" customWidth="1"/>
    <col min="25" max="25" width="8.7265625" style="27"/>
    <col min="26" max="26" width="11" style="27" bestFit="1" customWidth="1"/>
    <col min="27" max="29" width="8.7265625" style="27"/>
    <col min="30" max="32" width="8.7265625" style="27" bestFit="1" customWidth="1"/>
    <col min="33" max="16384" width="8.7265625" style="27"/>
  </cols>
  <sheetData>
    <row r="1" spans="1:42" ht="13.5" thickBot="1" x14ac:dyDescent="0.35">
      <c r="B1" s="27" t="s">
        <v>222</v>
      </c>
      <c r="D1" s="28">
        <v>13</v>
      </c>
      <c r="J1" s="30">
        <v>0</v>
      </c>
    </row>
    <row r="2" spans="1:42" x14ac:dyDescent="0.3">
      <c r="A2" s="26">
        <v>1</v>
      </c>
      <c r="B2" s="26">
        <v>2</v>
      </c>
      <c r="C2" s="26">
        <v>3</v>
      </c>
      <c r="D2" s="26">
        <v>4</v>
      </c>
      <c r="E2" s="26">
        <v>5</v>
      </c>
      <c r="F2" s="26">
        <v>6</v>
      </c>
      <c r="G2" s="26">
        <v>7</v>
      </c>
      <c r="H2" s="26">
        <v>8</v>
      </c>
      <c r="I2" s="26">
        <v>9</v>
      </c>
      <c r="J2" s="26">
        <v>10</v>
      </c>
      <c r="K2" s="26">
        <v>11</v>
      </c>
      <c r="L2" s="26">
        <v>12</v>
      </c>
      <c r="M2" s="26">
        <v>13</v>
      </c>
      <c r="N2" s="26">
        <v>14</v>
      </c>
      <c r="O2" s="26">
        <v>15</v>
      </c>
      <c r="P2" s="26">
        <v>16</v>
      </c>
      <c r="Q2" s="26">
        <v>17</v>
      </c>
      <c r="R2" s="26">
        <v>18</v>
      </c>
      <c r="S2" s="26">
        <v>19</v>
      </c>
      <c r="T2" s="26">
        <v>20</v>
      </c>
      <c r="U2" s="26">
        <v>21</v>
      </c>
      <c r="V2" s="26">
        <v>22</v>
      </c>
      <c r="W2" s="26">
        <v>23</v>
      </c>
      <c r="X2" s="26">
        <v>24</v>
      </c>
      <c r="Y2" s="26">
        <v>25</v>
      </c>
      <c r="Z2" s="26">
        <v>26</v>
      </c>
      <c r="AA2" s="26">
        <v>27</v>
      </c>
      <c r="AB2" s="26">
        <v>28</v>
      </c>
      <c r="AC2" s="26">
        <v>29</v>
      </c>
      <c r="AD2" s="26">
        <v>30</v>
      </c>
      <c r="AE2" s="26">
        <v>31</v>
      </c>
      <c r="AF2" s="26">
        <v>32</v>
      </c>
      <c r="AG2" s="26">
        <v>33</v>
      </c>
      <c r="AH2" s="26">
        <v>34</v>
      </c>
      <c r="AI2" s="26">
        <v>35</v>
      </c>
      <c r="AJ2" s="26">
        <v>36</v>
      </c>
      <c r="AK2" s="26">
        <v>37</v>
      </c>
      <c r="AL2" s="26">
        <v>38</v>
      </c>
      <c r="AM2" s="26">
        <v>39</v>
      </c>
      <c r="AN2" s="26">
        <v>40</v>
      </c>
      <c r="AO2" s="26">
        <v>41</v>
      </c>
      <c r="AP2" s="26">
        <v>42</v>
      </c>
    </row>
    <row r="3" spans="1:42" s="33" customFormat="1" x14ac:dyDescent="0.3">
      <c r="A3" s="32" t="s">
        <v>223</v>
      </c>
      <c r="D3" s="33">
        <v>3</v>
      </c>
      <c r="E3" s="33">
        <v>45</v>
      </c>
      <c r="F3" s="34">
        <v>6973.2000000000007</v>
      </c>
      <c r="G3" s="33">
        <v>811</v>
      </c>
      <c r="H3" s="33">
        <v>12165</v>
      </c>
      <c r="I3" s="35">
        <f>SUM(I7:I194)</f>
        <v>1344154.5</v>
      </c>
      <c r="J3" s="33">
        <v>8515</v>
      </c>
      <c r="K3" s="33">
        <v>127548.8</v>
      </c>
      <c r="L3" s="33">
        <v>1476</v>
      </c>
      <c r="M3" s="33">
        <v>21810.9</v>
      </c>
      <c r="N3" s="35">
        <f>SUM(N7:N194)</f>
        <v>10950153.526000014</v>
      </c>
      <c r="O3" s="33">
        <v>3208</v>
      </c>
      <c r="P3" s="33">
        <v>48120</v>
      </c>
      <c r="Q3" s="35">
        <f>SUM(Q7:Q194)</f>
        <v>627120</v>
      </c>
      <c r="R3" s="33">
        <v>1680</v>
      </c>
      <c r="S3" s="35">
        <f>SUM(S7:S194)</f>
        <v>124919.73684210525</v>
      </c>
      <c r="T3" s="35">
        <f>SUM(T7:T194)</f>
        <v>13053320.962842112</v>
      </c>
      <c r="U3" s="33">
        <v>126</v>
      </c>
      <c r="V3" s="35">
        <f>SUM(V7:V194)</f>
        <v>38507.368421052641</v>
      </c>
    </row>
    <row r="4" spans="1:42" s="33" customFormat="1" x14ac:dyDescent="0.3">
      <c r="A4" s="32" t="s">
        <v>224</v>
      </c>
      <c r="F4" s="34"/>
      <c r="G4" s="33">
        <v>811</v>
      </c>
      <c r="H4" s="33">
        <v>12165</v>
      </c>
      <c r="I4" s="36"/>
      <c r="J4" s="33">
        <v>8515</v>
      </c>
      <c r="K4" s="33">
        <v>127548.8</v>
      </c>
      <c r="L4" s="36">
        <v>1476</v>
      </c>
      <c r="M4" s="33">
        <v>21810.9</v>
      </c>
      <c r="O4" s="33">
        <v>3208</v>
      </c>
      <c r="P4" s="33">
        <v>48120</v>
      </c>
      <c r="R4" s="33">
        <v>1680</v>
      </c>
      <c r="U4" s="33">
        <v>126</v>
      </c>
    </row>
    <row r="5" spans="1:42" x14ac:dyDescent="0.3">
      <c r="F5" s="37">
        <v>11.92</v>
      </c>
      <c r="I5" s="37">
        <v>8.51</v>
      </c>
      <c r="N5" s="38">
        <v>5.66</v>
      </c>
      <c r="Q5" s="39">
        <v>1</v>
      </c>
      <c r="S5" s="40">
        <v>74.578947368421055</v>
      </c>
      <c r="T5" s="41"/>
      <c r="V5" s="42">
        <v>320.89473684210526</v>
      </c>
    </row>
    <row r="6" spans="1:42" s="44" customFormat="1" ht="104" x14ac:dyDescent="0.3">
      <c r="A6" s="43" t="s">
        <v>225</v>
      </c>
      <c r="B6" s="43" t="s">
        <v>226</v>
      </c>
      <c r="C6" s="43"/>
      <c r="D6" s="43" t="s">
        <v>227</v>
      </c>
      <c r="E6" s="43" t="s">
        <v>228</v>
      </c>
      <c r="F6" s="43" t="s">
        <v>229</v>
      </c>
      <c r="G6" s="44" t="s">
        <v>230</v>
      </c>
      <c r="H6" s="44" t="s">
        <v>231</v>
      </c>
      <c r="I6" s="45" t="s">
        <v>232</v>
      </c>
      <c r="J6" s="44" t="s">
        <v>233</v>
      </c>
      <c r="K6" s="44" t="s">
        <v>234</v>
      </c>
      <c r="L6" s="44" t="s">
        <v>235</v>
      </c>
      <c r="M6" s="44" t="s">
        <v>236</v>
      </c>
      <c r="N6" s="46" t="s">
        <v>237</v>
      </c>
      <c r="O6" s="44" t="s">
        <v>238</v>
      </c>
      <c r="P6" s="44" t="s">
        <v>239</v>
      </c>
      <c r="Q6" s="44" t="s">
        <v>240</v>
      </c>
      <c r="R6" s="44" t="s">
        <v>241</v>
      </c>
      <c r="S6" s="44" t="s">
        <v>242</v>
      </c>
      <c r="T6" s="47" t="s">
        <v>243</v>
      </c>
      <c r="U6" s="44" t="s">
        <v>244</v>
      </c>
      <c r="V6" s="44" t="s">
        <v>14</v>
      </c>
      <c r="X6" s="48">
        <v>0.8</v>
      </c>
    </row>
    <row r="7" spans="1:42" x14ac:dyDescent="0.3">
      <c r="A7" s="26">
        <v>1000</v>
      </c>
      <c r="B7" s="27" t="s">
        <v>207</v>
      </c>
      <c r="C7" s="27" t="s">
        <v>245</v>
      </c>
      <c r="D7" s="27">
        <v>0</v>
      </c>
      <c r="E7" s="27">
        <v>0</v>
      </c>
      <c r="F7" s="39">
        <v>0</v>
      </c>
      <c r="G7" s="26">
        <v>0</v>
      </c>
      <c r="H7" s="26">
        <v>0</v>
      </c>
      <c r="I7" s="29">
        <v>0</v>
      </c>
      <c r="J7" s="26">
        <v>76</v>
      </c>
      <c r="K7" s="26">
        <v>1140</v>
      </c>
      <c r="L7" s="26">
        <v>31</v>
      </c>
      <c r="M7" s="26">
        <v>440.7</v>
      </c>
      <c r="N7" s="31">
        <v>116307.90599999999</v>
      </c>
      <c r="O7" s="26">
        <v>21</v>
      </c>
      <c r="P7" s="26">
        <v>315</v>
      </c>
      <c r="Q7" s="49">
        <v>4095</v>
      </c>
      <c r="R7" s="26">
        <v>21</v>
      </c>
      <c r="S7" s="50">
        <v>1566.1578947368421</v>
      </c>
      <c r="T7" s="51">
        <v>121969.06389473683</v>
      </c>
      <c r="U7" s="26">
        <v>3</v>
      </c>
      <c r="V7" s="52">
        <v>962.68421052631584</v>
      </c>
      <c r="W7" s="27">
        <f>V7*0.8</f>
        <v>770.14736842105276</v>
      </c>
      <c r="X7" s="53">
        <f>(T7+V7)*0.8</f>
        <v>98345.398484210527</v>
      </c>
      <c r="Z7" s="54">
        <v>98345.398484210527</v>
      </c>
      <c r="AA7" s="55">
        <f>Z7-X7</f>
        <v>0</v>
      </c>
      <c r="AD7" s="27" t="s">
        <v>26</v>
      </c>
      <c r="AE7" s="27" t="s">
        <v>206</v>
      </c>
      <c r="AI7" s="56"/>
      <c r="AJ7" s="56"/>
      <c r="AK7" s="56"/>
    </row>
    <row r="8" spans="1:42" x14ac:dyDescent="0.3">
      <c r="A8" s="26">
        <v>1001</v>
      </c>
      <c r="B8" s="27" t="s">
        <v>181</v>
      </c>
      <c r="C8" s="27" t="s">
        <v>246</v>
      </c>
      <c r="D8" s="27">
        <v>0</v>
      </c>
      <c r="E8" s="27">
        <v>0</v>
      </c>
      <c r="F8" s="39">
        <v>0</v>
      </c>
      <c r="G8" s="26">
        <v>23</v>
      </c>
      <c r="H8" s="26">
        <v>345</v>
      </c>
      <c r="I8" s="29">
        <v>38167.35</v>
      </c>
      <c r="J8" s="26">
        <v>65</v>
      </c>
      <c r="K8" s="26">
        <v>975</v>
      </c>
      <c r="L8" s="26">
        <v>12</v>
      </c>
      <c r="M8" s="26">
        <v>180</v>
      </c>
      <c r="N8" s="31">
        <v>84984.9</v>
      </c>
      <c r="O8" s="26">
        <v>32</v>
      </c>
      <c r="P8" s="26">
        <v>480</v>
      </c>
      <c r="Q8" s="49">
        <v>6240</v>
      </c>
      <c r="R8" s="26">
        <v>0</v>
      </c>
      <c r="S8" s="50">
        <v>0</v>
      </c>
      <c r="T8" s="51">
        <v>129392.25</v>
      </c>
      <c r="U8" s="26">
        <v>2</v>
      </c>
      <c r="V8" s="52">
        <v>641.78947368421052</v>
      </c>
      <c r="W8" s="27">
        <f t="shared" ref="W8:W33" si="0">V8*0.8</f>
        <v>513.43157894736839</v>
      </c>
      <c r="X8" s="53">
        <f t="shared" ref="X8:X71" si="1">(T8+V8)*0.8</f>
        <v>104027.23157894738</v>
      </c>
      <c r="Z8" s="54">
        <v>104027.23157894738</v>
      </c>
      <c r="AA8" s="55">
        <f t="shared" ref="AA8:AA33" si="2">Z8-X8</f>
        <v>0</v>
      </c>
      <c r="AD8" s="27" t="s">
        <v>26</v>
      </c>
      <c r="AE8" s="27" t="s">
        <v>180</v>
      </c>
      <c r="AI8" s="56"/>
      <c r="AJ8" s="56"/>
      <c r="AK8" s="56"/>
    </row>
    <row r="9" spans="1:42" x14ac:dyDescent="0.3">
      <c r="A9" s="26">
        <v>1002</v>
      </c>
      <c r="B9" s="27" t="s">
        <v>46</v>
      </c>
      <c r="C9" s="27" t="s">
        <v>27</v>
      </c>
      <c r="D9" s="27">
        <v>0</v>
      </c>
      <c r="E9" s="27">
        <v>0</v>
      </c>
      <c r="F9" s="39">
        <v>0</v>
      </c>
      <c r="G9" s="26">
        <v>39</v>
      </c>
      <c r="H9" s="26">
        <v>585</v>
      </c>
      <c r="I9" s="29">
        <v>64718.549999999996</v>
      </c>
      <c r="J9" s="26">
        <v>93</v>
      </c>
      <c r="K9" s="26">
        <v>1395</v>
      </c>
      <c r="L9" s="26">
        <v>13</v>
      </c>
      <c r="M9" s="26">
        <v>195</v>
      </c>
      <c r="N9" s="31">
        <v>116992.20000000001</v>
      </c>
      <c r="O9" s="26">
        <v>65</v>
      </c>
      <c r="P9" s="26">
        <v>975</v>
      </c>
      <c r="Q9" s="49">
        <v>12675</v>
      </c>
      <c r="R9" s="26">
        <v>65</v>
      </c>
      <c r="S9" s="50">
        <v>4847.6315789473683</v>
      </c>
      <c r="T9" s="51">
        <v>199233.38157894736</v>
      </c>
      <c r="U9" s="26">
        <v>2</v>
      </c>
      <c r="V9" s="52">
        <v>641.78947368421052</v>
      </c>
      <c r="W9" s="27">
        <f t="shared" si="0"/>
        <v>513.43157894736839</v>
      </c>
      <c r="X9" s="53">
        <f t="shared" si="1"/>
        <v>159900.13684210528</v>
      </c>
      <c r="Z9" s="54">
        <v>159900.13684210528</v>
      </c>
      <c r="AA9" s="55">
        <f t="shared" si="2"/>
        <v>0</v>
      </c>
      <c r="AD9" s="27" t="s">
        <v>26</v>
      </c>
      <c r="AE9" s="27" t="s">
        <v>45</v>
      </c>
      <c r="AI9" s="56"/>
      <c r="AJ9" s="56"/>
      <c r="AK9" s="56"/>
    </row>
    <row r="10" spans="1:42" x14ac:dyDescent="0.3">
      <c r="A10" s="26">
        <v>1006</v>
      </c>
      <c r="B10" s="27" t="s">
        <v>77</v>
      </c>
      <c r="C10" s="27" t="s">
        <v>27</v>
      </c>
      <c r="D10" s="27">
        <v>0</v>
      </c>
      <c r="E10" s="27">
        <v>0</v>
      </c>
      <c r="F10" s="39">
        <v>0</v>
      </c>
      <c r="G10" s="26">
        <v>0</v>
      </c>
      <c r="H10" s="26">
        <v>0</v>
      </c>
      <c r="I10" s="29">
        <v>0</v>
      </c>
      <c r="J10" s="26">
        <v>71</v>
      </c>
      <c r="K10" s="26">
        <v>1065</v>
      </c>
      <c r="L10" s="26">
        <v>34</v>
      </c>
      <c r="M10" s="26">
        <v>510</v>
      </c>
      <c r="N10" s="31">
        <v>115888.5</v>
      </c>
      <c r="O10" s="26">
        <v>18</v>
      </c>
      <c r="P10" s="26">
        <v>270</v>
      </c>
      <c r="Q10" s="49">
        <v>3510</v>
      </c>
      <c r="R10" s="26">
        <v>0</v>
      </c>
      <c r="S10" s="50">
        <v>0</v>
      </c>
      <c r="T10" s="51">
        <v>119398.5</v>
      </c>
      <c r="U10" s="26">
        <v>7</v>
      </c>
      <c r="V10" s="52">
        <v>2246.2631578947367</v>
      </c>
      <c r="W10" s="27">
        <f t="shared" si="0"/>
        <v>1797.0105263157893</v>
      </c>
      <c r="X10" s="53">
        <f t="shared" si="1"/>
        <v>97315.810526315792</v>
      </c>
      <c r="Z10" s="54">
        <v>97315.810526315792</v>
      </c>
      <c r="AA10" s="55">
        <f t="shared" si="2"/>
        <v>0</v>
      </c>
      <c r="AD10" s="27" t="s">
        <v>26</v>
      </c>
      <c r="AE10" s="27" t="s">
        <v>76</v>
      </c>
      <c r="AI10" s="56"/>
      <c r="AJ10" s="56"/>
      <c r="AK10" s="56"/>
    </row>
    <row r="11" spans="1:42" x14ac:dyDescent="0.3">
      <c r="A11" s="26">
        <v>1008</v>
      </c>
      <c r="B11" s="27" t="s">
        <v>247</v>
      </c>
      <c r="C11" s="27" t="s">
        <v>27</v>
      </c>
      <c r="D11" s="27">
        <v>0</v>
      </c>
      <c r="E11" s="27">
        <v>0</v>
      </c>
      <c r="F11" s="39">
        <v>0</v>
      </c>
      <c r="G11" s="26">
        <v>0</v>
      </c>
      <c r="H11" s="26">
        <v>0</v>
      </c>
      <c r="I11" s="29">
        <v>0</v>
      </c>
      <c r="J11" s="26">
        <v>74</v>
      </c>
      <c r="K11" s="26">
        <v>1110</v>
      </c>
      <c r="L11" s="26">
        <v>30</v>
      </c>
      <c r="M11" s="26">
        <v>450</v>
      </c>
      <c r="N11" s="31">
        <v>114784.8</v>
      </c>
      <c r="O11" s="26">
        <v>11</v>
      </c>
      <c r="P11" s="26">
        <v>165</v>
      </c>
      <c r="Q11" s="49">
        <v>2145</v>
      </c>
      <c r="R11" s="26">
        <v>0</v>
      </c>
      <c r="S11" s="50">
        <v>0</v>
      </c>
      <c r="T11" s="51">
        <v>116929.8</v>
      </c>
      <c r="U11" s="26">
        <v>0</v>
      </c>
      <c r="V11" s="52">
        <v>0</v>
      </c>
      <c r="W11" s="27">
        <f t="shared" si="0"/>
        <v>0</v>
      </c>
      <c r="X11" s="53">
        <f t="shared" si="1"/>
        <v>93543.840000000011</v>
      </c>
      <c r="Z11" s="54">
        <v>93543.840000000011</v>
      </c>
      <c r="AA11" s="55">
        <f t="shared" si="2"/>
        <v>0</v>
      </c>
      <c r="AD11" s="27" t="s">
        <v>26</v>
      </c>
      <c r="AE11" s="27" t="s">
        <v>122</v>
      </c>
      <c r="AI11" s="56"/>
      <c r="AJ11" s="56"/>
      <c r="AK11" s="56"/>
    </row>
    <row r="12" spans="1:42" x14ac:dyDescent="0.3">
      <c r="A12" s="26">
        <v>1009</v>
      </c>
      <c r="B12" s="27" t="s">
        <v>248</v>
      </c>
      <c r="C12" s="27" t="s">
        <v>245</v>
      </c>
      <c r="D12" s="27">
        <v>0</v>
      </c>
      <c r="E12" s="27">
        <v>0</v>
      </c>
      <c r="F12" s="39">
        <v>0</v>
      </c>
      <c r="G12" s="26">
        <v>40</v>
      </c>
      <c r="H12" s="26">
        <v>600</v>
      </c>
      <c r="I12" s="29">
        <v>66378</v>
      </c>
      <c r="J12" s="26">
        <v>97</v>
      </c>
      <c r="K12" s="26">
        <v>1455</v>
      </c>
      <c r="L12" s="26">
        <v>18</v>
      </c>
      <c r="M12" s="26">
        <v>265</v>
      </c>
      <c r="N12" s="31">
        <v>126557.6</v>
      </c>
      <c r="O12" s="26">
        <v>34</v>
      </c>
      <c r="P12" s="26">
        <v>510</v>
      </c>
      <c r="Q12" s="49">
        <v>6630</v>
      </c>
      <c r="R12" s="26">
        <v>34</v>
      </c>
      <c r="S12" s="50">
        <v>2535.6842105263158</v>
      </c>
      <c r="T12" s="51">
        <v>202101.28421052633</v>
      </c>
      <c r="U12" s="26">
        <v>0</v>
      </c>
      <c r="V12" s="52">
        <v>0</v>
      </c>
      <c r="W12" s="27">
        <f t="shared" si="0"/>
        <v>0</v>
      </c>
      <c r="X12" s="53">
        <f t="shared" si="1"/>
        <v>161681.02736842108</v>
      </c>
      <c r="Z12" s="54">
        <v>161681.02736842108</v>
      </c>
      <c r="AA12" s="55">
        <f t="shared" si="2"/>
        <v>0</v>
      </c>
      <c r="AD12" s="27" t="s">
        <v>26</v>
      </c>
      <c r="AE12" s="27" t="s">
        <v>214</v>
      </c>
      <c r="AI12" s="56"/>
      <c r="AJ12" s="56"/>
      <c r="AK12" s="56"/>
    </row>
    <row r="13" spans="1:42" x14ac:dyDescent="0.3">
      <c r="A13" s="26">
        <v>1010</v>
      </c>
      <c r="B13" s="27" t="s">
        <v>249</v>
      </c>
      <c r="C13" s="27" t="s">
        <v>27</v>
      </c>
      <c r="D13" s="27">
        <v>0</v>
      </c>
      <c r="E13" s="27">
        <v>0</v>
      </c>
      <c r="F13" s="39">
        <v>0</v>
      </c>
      <c r="G13" s="26">
        <v>49</v>
      </c>
      <c r="H13" s="26">
        <v>735</v>
      </c>
      <c r="I13" s="29">
        <v>81313.05</v>
      </c>
      <c r="J13" s="26">
        <v>127</v>
      </c>
      <c r="K13" s="26">
        <v>1905</v>
      </c>
      <c r="L13" s="26">
        <v>16</v>
      </c>
      <c r="M13" s="26">
        <v>240</v>
      </c>
      <c r="N13" s="31">
        <v>157829.1</v>
      </c>
      <c r="O13" s="26">
        <v>38</v>
      </c>
      <c r="P13" s="26">
        <v>570</v>
      </c>
      <c r="Q13" s="49">
        <v>7410</v>
      </c>
      <c r="R13" s="26">
        <v>10</v>
      </c>
      <c r="S13" s="50">
        <v>745.78947368421052</v>
      </c>
      <c r="T13" s="51">
        <v>247297.93947368424</v>
      </c>
      <c r="U13" s="26">
        <v>11</v>
      </c>
      <c r="V13" s="52">
        <v>3529.8421052631579</v>
      </c>
      <c r="W13" s="27">
        <f t="shared" si="0"/>
        <v>2823.8736842105263</v>
      </c>
      <c r="X13" s="53">
        <f t="shared" si="1"/>
        <v>200662.22526315792</v>
      </c>
      <c r="Z13" s="54">
        <v>200662.22526315792</v>
      </c>
      <c r="AA13" s="55">
        <f t="shared" si="2"/>
        <v>0</v>
      </c>
      <c r="AD13" s="27" t="s">
        <v>26</v>
      </c>
      <c r="AE13" s="27" t="s">
        <v>88</v>
      </c>
      <c r="AI13" s="56"/>
      <c r="AJ13" s="56"/>
      <c r="AK13" s="56"/>
    </row>
    <row r="14" spans="1:42" x14ac:dyDescent="0.3">
      <c r="A14" s="26">
        <v>1012</v>
      </c>
      <c r="B14" s="27" t="s">
        <v>109</v>
      </c>
      <c r="C14" s="27" t="s">
        <v>27</v>
      </c>
      <c r="D14" s="27">
        <v>0</v>
      </c>
      <c r="E14" s="27">
        <v>0</v>
      </c>
      <c r="F14" s="39">
        <v>0</v>
      </c>
      <c r="G14" s="26">
        <v>24</v>
      </c>
      <c r="H14" s="26">
        <v>360</v>
      </c>
      <c r="I14" s="29">
        <v>39826.799999999996</v>
      </c>
      <c r="J14" s="26">
        <v>99</v>
      </c>
      <c r="K14" s="26">
        <v>1485</v>
      </c>
      <c r="L14" s="26">
        <v>21</v>
      </c>
      <c r="M14" s="26">
        <v>315</v>
      </c>
      <c r="N14" s="31">
        <v>132444</v>
      </c>
      <c r="O14" s="26">
        <v>57</v>
      </c>
      <c r="P14" s="26">
        <v>855</v>
      </c>
      <c r="Q14" s="49">
        <v>11115</v>
      </c>
      <c r="R14" s="26">
        <v>0</v>
      </c>
      <c r="S14" s="50">
        <v>0</v>
      </c>
      <c r="T14" s="51">
        <v>183385.8</v>
      </c>
      <c r="U14" s="26">
        <v>3</v>
      </c>
      <c r="V14" s="52">
        <v>962.68421052631584</v>
      </c>
      <c r="W14" s="27">
        <f t="shared" si="0"/>
        <v>770.14736842105276</v>
      </c>
      <c r="X14" s="53">
        <f t="shared" si="1"/>
        <v>147478.78736842106</v>
      </c>
      <c r="Z14" s="54">
        <v>147478.78736842106</v>
      </c>
      <c r="AA14" s="55">
        <f t="shared" si="2"/>
        <v>0</v>
      </c>
      <c r="AD14" s="27" t="s">
        <v>26</v>
      </c>
      <c r="AE14" s="27" t="s">
        <v>108</v>
      </c>
      <c r="AI14" s="56"/>
      <c r="AJ14" s="56"/>
      <c r="AK14" s="56"/>
    </row>
    <row r="15" spans="1:42" x14ac:dyDescent="0.3">
      <c r="A15" s="26">
        <v>1014</v>
      </c>
      <c r="B15" s="27" t="s">
        <v>167</v>
      </c>
      <c r="C15" s="27" t="s">
        <v>27</v>
      </c>
      <c r="D15" s="27">
        <v>0</v>
      </c>
      <c r="E15" s="27">
        <v>0</v>
      </c>
      <c r="F15" s="39">
        <v>0</v>
      </c>
      <c r="G15" s="26">
        <v>24</v>
      </c>
      <c r="H15" s="26">
        <v>360</v>
      </c>
      <c r="I15" s="29">
        <v>39826.799999999996</v>
      </c>
      <c r="J15" s="26">
        <v>99</v>
      </c>
      <c r="K15" s="26">
        <v>1485</v>
      </c>
      <c r="L15" s="26">
        <v>18</v>
      </c>
      <c r="M15" s="26">
        <v>255</v>
      </c>
      <c r="N15" s="31">
        <v>128029.20000000001</v>
      </c>
      <c r="O15" s="26">
        <v>80</v>
      </c>
      <c r="P15" s="26">
        <v>1200</v>
      </c>
      <c r="Q15" s="49">
        <v>15600</v>
      </c>
      <c r="R15" s="26">
        <v>32</v>
      </c>
      <c r="S15" s="50">
        <v>2386.5263157894738</v>
      </c>
      <c r="T15" s="51">
        <v>185842.52631578947</v>
      </c>
      <c r="U15" s="26">
        <v>6</v>
      </c>
      <c r="V15" s="52">
        <v>1925.3684210526317</v>
      </c>
      <c r="W15" s="27">
        <f t="shared" si="0"/>
        <v>1540.2947368421055</v>
      </c>
      <c r="X15" s="53">
        <f t="shared" si="1"/>
        <v>150214.31578947368</v>
      </c>
      <c r="Z15" s="54">
        <v>150214.31578947368</v>
      </c>
      <c r="AA15" s="55">
        <f t="shared" si="2"/>
        <v>0</v>
      </c>
      <c r="AD15" s="27" t="s">
        <v>26</v>
      </c>
      <c r="AE15" s="27" t="s">
        <v>166</v>
      </c>
      <c r="AI15" s="56"/>
      <c r="AJ15" s="56"/>
      <c r="AK15" s="56"/>
    </row>
    <row r="16" spans="1:42" x14ac:dyDescent="0.3">
      <c r="A16" s="26">
        <v>1015</v>
      </c>
      <c r="B16" s="27" t="s">
        <v>250</v>
      </c>
      <c r="C16" s="27" t="s">
        <v>27</v>
      </c>
      <c r="D16" s="27">
        <v>0</v>
      </c>
      <c r="E16" s="27">
        <v>0</v>
      </c>
      <c r="F16" s="39">
        <v>0</v>
      </c>
      <c r="G16" s="26">
        <v>15</v>
      </c>
      <c r="H16" s="26">
        <v>225</v>
      </c>
      <c r="I16" s="29">
        <v>24891.75</v>
      </c>
      <c r="J16" s="26">
        <v>90</v>
      </c>
      <c r="K16" s="26">
        <v>1350</v>
      </c>
      <c r="L16" s="26">
        <v>39</v>
      </c>
      <c r="M16" s="26">
        <v>585</v>
      </c>
      <c r="N16" s="31">
        <v>142377.29999999999</v>
      </c>
      <c r="O16" s="26">
        <v>43</v>
      </c>
      <c r="P16" s="26">
        <v>645</v>
      </c>
      <c r="Q16" s="49">
        <v>8385</v>
      </c>
      <c r="R16" s="26">
        <v>41</v>
      </c>
      <c r="S16" s="50">
        <v>3057.7368421052633</v>
      </c>
      <c r="T16" s="51">
        <v>178711.78684210524</v>
      </c>
      <c r="U16" s="26">
        <v>4</v>
      </c>
      <c r="V16" s="52">
        <v>1283.578947368421</v>
      </c>
      <c r="W16" s="27">
        <f t="shared" si="0"/>
        <v>1026.8631578947368</v>
      </c>
      <c r="X16" s="53">
        <f t="shared" si="1"/>
        <v>143996.29263157895</v>
      </c>
      <c r="Z16" s="54">
        <v>143996.29263157895</v>
      </c>
      <c r="AA16" s="55">
        <f t="shared" si="2"/>
        <v>0</v>
      </c>
      <c r="AD16" s="27" t="s">
        <v>26</v>
      </c>
      <c r="AE16" s="27" t="s">
        <v>78</v>
      </c>
      <c r="AI16" s="56"/>
      <c r="AJ16" s="56"/>
      <c r="AK16" s="56"/>
    </row>
    <row r="17" spans="1:37" x14ac:dyDescent="0.3">
      <c r="A17" s="26">
        <v>1016</v>
      </c>
      <c r="B17" s="27" t="s">
        <v>101</v>
      </c>
      <c r="C17" s="27" t="s">
        <v>27</v>
      </c>
      <c r="D17" s="27">
        <v>0</v>
      </c>
      <c r="E17" s="27">
        <v>0</v>
      </c>
      <c r="F17" s="39">
        <v>0</v>
      </c>
      <c r="G17" s="26">
        <v>12</v>
      </c>
      <c r="H17" s="26">
        <v>180</v>
      </c>
      <c r="I17" s="29">
        <v>19913.399999999998</v>
      </c>
      <c r="J17" s="26">
        <v>82</v>
      </c>
      <c r="K17" s="26">
        <v>1230</v>
      </c>
      <c r="L17" s="26">
        <v>30</v>
      </c>
      <c r="M17" s="26">
        <v>438</v>
      </c>
      <c r="N17" s="31">
        <v>122731.44</v>
      </c>
      <c r="O17" s="26">
        <v>39</v>
      </c>
      <c r="P17" s="26">
        <v>585</v>
      </c>
      <c r="Q17" s="49">
        <v>7605</v>
      </c>
      <c r="R17" s="26">
        <v>36</v>
      </c>
      <c r="S17" s="50">
        <v>2684.8421052631579</v>
      </c>
      <c r="T17" s="51">
        <v>152934.68210526314</v>
      </c>
      <c r="U17" s="26">
        <v>0</v>
      </c>
      <c r="V17" s="52">
        <v>0</v>
      </c>
      <c r="W17" s="27">
        <f t="shared" si="0"/>
        <v>0</v>
      </c>
      <c r="X17" s="53">
        <f t="shared" si="1"/>
        <v>122347.74568421052</v>
      </c>
      <c r="Z17" s="54">
        <v>122347.74568421052</v>
      </c>
      <c r="AA17" s="55">
        <f t="shared" si="2"/>
        <v>0</v>
      </c>
      <c r="AD17" s="27" t="s">
        <v>26</v>
      </c>
      <c r="AE17" s="27" t="s">
        <v>100</v>
      </c>
      <c r="AI17" s="56"/>
      <c r="AJ17" s="56"/>
      <c r="AK17" s="56"/>
    </row>
    <row r="18" spans="1:37" x14ac:dyDescent="0.3">
      <c r="A18" s="26">
        <v>1017</v>
      </c>
      <c r="B18" s="27" t="s">
        <v>29</v>
      </c>
      <c r="C18" s="27" t="s">
        <v>27</v>
      </c>
      <c r="D18" s="27">
        <v>0</v>
      </c>
      <c r="E18" s="27">
        <v>0</v>
      </c>
      <c r="F18" s="39">
        <v>0</v>
      </c>
      <c r="G18" s="26">
        <v>40</v>
      </c>
      <c r="H18" s="26">
        <v>600</v>
      </c>
      <c r="I18" s="29">
        <v>66378</v>
      </c>
      <c r="J18" s="26">
        <v>120</v>
      </c>
      <c r="K18" s="26">
        <v>1800</v>
      </c>
      <c r="L18" s="26">
        <v>54</v>
      </c>
      <c r="M18" s="26">
        <v>810</v>
      </c>
      <c r="N18" s="31">
        <v>192043.8</v>
      </c>
      <c r="O18" s="26">
        <v>76</v>
      </c>
      <c r="P18" s="26">
        <v>1140</v>
      </c>
      <c r="Q18" s="49">
        <v>14820</v>
      </c>
      <c r="R18" s="26">
        <v>71</v>
      </c>
      <c r="S18" s="50">
        <v>5295.105263157895</v>
      </c>
      <c r="T18" s="51">
        <v>278536.90526315791</v>
      </c>
      <c r="U18" s="26">
        <v>5</v>
      </c>
      <c r="V18" s="52">
        <v>1604.4736842105262</v>
      </c>
      <c r="W18" s="27">
        <f t="shared" si="0"/>
        <v>1283.578947368421</v>
      </c>
      <c r="X18" s="53">
        <f t="shared" si="1"/>
        <v>224113.10315789474</v>
      </c>
      <c r="Z18" s="54">
        <v>224113.10315789474</v>
      </c>
      <c r="AA18" s="55">
        <f t="shared" si="2"/>
        <v>0</v>
      </c>
      <c r="AD18" s="27" t="s">
        <v>26</v>
      </c>
      <c r="AE18" s="27" t="s">
        <v>28</v>
      </c>
      <c r="AI18" s="56"/>
      <c r="AJ18" s="56"/>
      <c r="AK18" s="56"/>
    </row>
    <row r="19" spans="1:37" x14ac:dyDescent="0.3">
      <c r="A19" s="26">
        <v>1018</v>
      </c>
      <c r="B19" s="27" t="s">
        <v>129</v>
      </c>
      <c r="C19" s="27" t="s">
        <v>27</v>
      </c>
      <c r="D19" s="27">
        <v>0</v>
      </c>
      <c r="E19" s="27">
        <v>0</v>
      </c>
      <c r="F19" s="39">
        <v>0</v>
      </c>
      <c r="G19" s="26">
        <v>46</v>
      </c>
      <c r="H19" s="26">
        <v>690</v>
      </c>
      <c r="I19" s="29">
        <v>76334.7</v>
      </c>
      <c r="J19" s="26">
        <v>125</v>
      </c>
      <c r="K19" s="26">
        <v>1875</v>
      </c>
      <c r="L19" s="26">
        <v>61</v>
      </c>
      <c r="M19" s="26">
        <v>915</v>
      </c>
      <c r="N19" s="31">
        <v>205288.2</v>
      </c>
      <c r="O19" s="26">
        <v>87</v>
      </c>
      <c r="P19" s="26">
        <v>1305</v>
      </c>
      <c r="Q19" s="49">
        <v>16965</v>
      </c>
      <c r="R19" s="26">
        <v>86</v>
      </c>
      <c r="S19" s="50">
        <v>6413.7894736842109</v>
      </c>
      <c r="T19" s="51">
        <v>305001.68947368424</v>
      </c>
      <c r="U19" s="26">
        <v>10</v>
      </c>
      <c r="V19" s="52">
        <v>3208.9473684210525</v>
      </c>
      <c r="W19" s="27">
        <f t="shared" si="0"/>
        <v>2567.1578947368421</v>
      </c>
      <c r="X19" s="53">
        <f t="shared" si="1"/>
        <v>246568.50947368424</v>
      </c>
      <c r="Z19" s="54">
        <v>246568.50947368424</v>
      </c>
      <c r="AA19" s="55">
        <f t="shared" si="2"/>
        <v>0</v>
      </c>
      <c r="AD19" s="27" t="s">
        <v>26</v>
      </c>
      <c r="AE19" s="27" t="s">
        <v>128</v>
      </c>
      <c r="AI19" s="56"/>
      <c r="AJ19" s="56"/>
      <c r="AK19" s="56"/>
    </row>
    <row r="20" spans="1:37" x14ac:dyDescent="0.3">
      <c r="A20" s="26">
        <v>1019</v>
      </c>
      <c r="B20" s="27" t="s">
        <v>185</v>
      </c>
      <c r="C20" s="27" t="s">
        <v>246</v>
      </c>
      <c r="D20" s="27">
        <v>0</v>
      </c>
      <c r="E20" s="27">
        <v>0</v>
      </c>
      <c r="F20" s="39">
        <v>0</v>
      </c>
      <c r="G20" s="26">
        <v>27</v>
      </c>
      <c r="H20" s="26">
        <v>405</v>
      </c>
      <c r="I20" s="29">
        <v>44805.15</v>
      </c>
      <c r="J20" s="26">
        <v>116</v>
      </c>
      <c r="K20" s="26">
        <v>1740</v>
      </c>
      <c r="L20" s="26">
        <v>31</v>
      </c>
      <c r="M20" s="26">
        <v>465</v>
      </c>
      <c r="N20" s="31">
        <v>162243.9</v>
      </c>
      <c r="O20" s="26">
        <v>33</v>
      </c>
      <c r="P20" s="26">
        <v>495</v>
      </c>
      <c r="Q20" s="49">
        <v>6435</v>
      </c>
      <c r="R20" s="26">
        <v>4</v>
      </c>
      <c r="S20" s="50">
        <v>298.31578947368422</v>
      </c>
      <c r="T20" s="51">
        <v>213782.36578947367</v>
      </c>
      <c r="U20" s="26">
        <v>1</v>
      </c>
      <c r="V20" s="52">
        <v>320.89473684210526</v>
      </c>
      <c r="W20" s="27">
        <f t="shared" si="0"/>
        <v>256.7157894736842</v>
      </c>
      <c r="X20" s="53">
        <f t="shared" si="1"/>
        <v>171282.60842105263</v>
      </c>
      <c r="Z20" s="54">
        <v>171282.60842105263</v>
      </c>
      <c r="AA20" s="55">
        <f t="shared" si="2"/>
        <v>0</v>
      </c>
      <c r="AD20" s="27" t="s">
        <v>26</v>
      </c>
      <c r="AE20" s="27" t="s">
        <v>184</v>
      </c>
      <c r="AI20" s="56"/>
      <c r="AJ20" s="56"/>
      <c r="AK20" s="56"/>
    </row>
    <row r="21" spans="1:37" x14ac:dyDescent="0.3">
      <c r="A21" s="26">
        <v>1020</v>
      </c>
      <c r="B21" s="27" t="s">
        <v>219</v>
      </c>
      <c r="C21" s="27" t="s">
        <v>245</v>
      </c>
      <c r="D21" s="27">
        <v>2</v>
      </c>
      <c r="E21" s="27">
        <v>30</v>
      </c>
      <c r="F21" s="39">
        <v>4648.8</v>
      </c>
      <c r="G21" s="26">
        <v>68</v>
      </c>
      <c r="H21" s="26">
        <v>1020</v>
      </c>
      <c r="I21" s="29">
        <v>112842.59999999999</v>
      </c>
      <c r="J21" s="26">
        <v>140</v>
      </c>
      <c r="K21" s="26">
        <v>2100</v>
      </c>
      <c r="L21" s="26">
        <v>46</v>
      </c>
      <c r="M21" s="26">
        <v>690</v>
      </c>
      <c r="N21" s="31">
        <v>205288.2</v>
      </c>
      <c r="O21" s="26">
        <v>106</v>
      </c>
      <c r="P21" s="26">
        <v>1590</v>
      </c>
      <c r="Q21" s="49">
        <v>20670</v>
      </c>
      <c r="R21" s="26">
        <v>107</v>
      </c>
      <c r="S21" s="50">
        <v>7979.9473684210525</v>
      </c>
      <c r="T21" s="51">
        <v>351429.54736842104</v>
      </c>
      <c r="U21" s="26">
        <v>7</v>
      </c>
      <c r="V21" s="52">
        <v>2246.2631578947367</v>
      </c>
      <c r="W21" s="27">
        <f t="shared" si="0"/>
        <v>1797.0105263157893</v>
      </c>
      <c r="X21" s="53">
        <f t="shared" si="1"/>
        <v>282940.64842105261</v>
      </c>
      <c r="Z21" s="54">
        <v>282940.64842105261</v>
      </c>
      <c r="AA21" s="55">
        <f t="shared" si="2"/>
        <v>0</v>
      </c>
      <c r="AD21" s="27" t="s">
        <v>26</v>
      </c>
      <c r="AE21" s="27" t="s">
        <v>218</v>
      </c>
      <c r="AI21" s="56"/>
      <c r="AJ21" s="56"/>
      <c r="AK21" s="56"/>
    </row>
    <row r="22" spans="1:37" x14ac:dyDescent="0.3">
      <c r="A22" s="26">
        <v>1021</v>
      </c>
      <c r="B22" s="27" t="s">
        <v>91</v>
      </c>
      <c r="C22" s="27" t="s">
        <v>27</v>
      </c>
      <c r="D22" s="27">
        <v>0</v>
      </c>
      <c r="E22" s="27">
        <v>0</v>
      </c>
      <c r="F22" s="39">
        <v>0</v>
      </c>
      <c r="G22" s="26">
        <v>15</v>
      </c>
      <c r="H22" s="26">
        <v>225</v>
      </c>
      <c r="I22" s="29">
        <v>24891.75</v>
      </c>
      <c r="J22" s="26">
        <v>54</v>
      </c>
      <c r="K22" s="26">
        <v>810</v>
      </c>
      <c r="L22" s="26">
        <v>12</v>
      </c>
      <c r="M22" s="26">
        <v>180</v>
      </c>
      <c r="N22" s="31">
        <v>72844.2</v>
      </c>
      <c r="O22" s="26">
        <v>15</v>
      </c>
      <c r="P22" s="26">
        <v>225</v>
      </c>
      <c r="Q22" s="49">
        <v>2925</v>
      </c>
      <c r="R22" s="26">
        <v>14</v>
      </c>
      <c r="S22" s="50">
        <v>1044.1052631578948</v>
      </c>
      <c r="T22" s="51">
        <v>101705.05526315789</v>
      </c>
      <c r="U22" s="26">
        <v>0</v>
      </c>
      <c r="V22" s="52">
        <v>0</v>
      </c>
      <c r="W22" s="27">
        <f t="shared" si="0"/>
        <v>0</v>
      </c>
      <c r="X22" s="53">
        <f t="shared" si="1"/>
        <v>81364.044210526321</v>
      </c>
      <c r="Z22" s="54">
        <v>81364.044210526321</v>
      </c>
      <c r="AA22" s="55">
        <f t="shared" si="2"/>
        <v>0</v>
      </c>
      <c r="AD22" s="27" t="s">
        <v>26</v>
      </c>
      <c r="AE22" s="27" t="s">
        <v>90</v>
      </c>
      <c r="AI22" s="56"/>
      <c r="AJ22" s="56"/>
      <c r="AK22" s="56"/>
    </row>
    <row r="23" spans="1:37" x14ac:dyDescent="0.3">
      <c r="A23" s="26">
        <v>1022</v>
      </c>
      <c r="B23" s="27" t="s">
        <v>81</v>
      </c>
      <c r="C23" s="27" t="s">
        <v>27</v>
      </c>
      <c r="D23" s="27">
        <v>1</v>
      </c>
      <c r="E23" s="27">
        <v>15</v>
      </c>
      <c r="F23" s="39">
        <v>2324.4</v>
      </c>
      <c r="G23" s="26">
        <v>25</v>
      </c>
      <c r="H23" s="26">
        <v>375</v>
      </c>
      <c r="I23" s="29">
        <v>41486.25</v>
      </c>
      <c r="J23" s="26">
        <v>84</v>
      </c>
      <c r="K23" s="26">
        <v>1230</v>
      </c>
      <c r="L23" s="26">
        <v>17</v>
      </c>
      <c r="M23" s="26">
        <v>255</v>
      </c>
      <c r="N23" s="31">
        <v>109266.30000000002</v>
      </c>
      <c r="O23" s="26">
        <v>41</v>
      </c>
      <c r="P23" s="26">
        <v>615</v>
      </c>
      <c r="Q23" s="49">
        <v>7995</v>
      </c>
      <c r="R23" s="26">
        <v>15</v>
      </c>
      <c r="S23" s="50">
        <v>1118.6842105263158</v>
      </c>
      <c r="T23" s="51">
        <v>162190.63421052633</v>
      </c>
      <c r="U23" s="26">
        <v>11</v>
      </c>
      <c r="V23" s="52">
        <v>3529.8421052631579</v>
      </c>
      <c r="W23" s="27">
        <f t="shared" si="0"/>
        <v>2823.8736842105263</v>
      </c>
      <c r="X23" s="53">
        <f t="shared" si="1"/>
        <v>132576.38105263159</v>
      </c>
      <c r="Z23" s="54">
        <v>132576.38105263159</v>
      </c>
      <c r="AA23" s="55">
        <f t="shared" si="2"/>
        <v>0</v>
      </c>
      <c r="AD23" s="27" t="s">
        <v>26</v>
      </c>
      <c r="AE23" s="27" t="s">
        <v>80</v>
      </c>
      <c r="AI23" s="56"/>
      <c r="AJ23" s="56"/>
      <c r="AK23" s="56"/>
    </row>
    <row r="24" spans="1:37" x14ac:dyDescent="0.3">
      <c r="A24" s="26">
        <v>1023</v>
      </c>
      <c r="B24" s="27" t="s">
        <v>97</v>
      </c>
      <c r="C24" s="27" t="s">
        <v>27</v>
      </c>
      <c r="D24" s="27">
        <v>0</v>
      </c>
      <c r="E24" s="27">
        <v>0</v>
      </c>
      <c r="F24" s="39">
        <v>0</v>
      </c>
      <c r="G24" s="26">
        <v>20</v>
      </c>
      <c r="H24" s="26">
        <v>300</v>
      </c>
      <c r="I24" s="29">
        <v>33189</v>
      </c>
      <c r="J24" s="26">
        <v>76</v>
      </c>
      <c r="K24" s="26">
        <v>1140</v>
      </c>
      <c r="L24" s="26">
        <v>7</v>
      </c>
      <c r="M24" s="26">
        <v>105</v>
      </c>
      <c r="N24" s="31">
        <v>91607.099999999991</v>
      </c>
      <c r="O24" s="26">
        <v>45</v>
      </c>
      <c r="P24" s="26">
        <v>675</v>
      </c>
      <c r="Q24" s="49">
        <v>8775</v>
      </c>
      <c r="R24" s="26">
        <v>12</v>
      </c>
      <c r="S24" s="50">
        <v>894.94736842105272</v>
      </c>
      <c r="T24" s="51">
        <v>134466.04736842102</v>
      </c>
      <c r="U24" s="26">
        <v>8</v>
      </c>
      <c r="V24" s="52">
        <v>2567.1578947368421</v>
      </c>
      <c r="W24" s="27">
        <f t="shared" si="0"/>
        <v>2053.7263157894736</v>
      </c>
      <c r="X24" s="53">
        <f t="shared" si="1"/>
        <v>109626.5642105263</v>
      </c>
      <c r="Z24" s="54">
        <v>109626.5642105263</v>
      </c>
      <c r="AA24" s="55">
        <f t="shared" si="2"/>
        <v>0</v>
      </c>
      <c r="AD24" s="27" t="s">
        <v>26</v>
      </c>
      <c r="AE24" s="27" t="s">
        <v>96</v>
      </c>
      <c r="AI24" s="56"/>
      <c r="AJ24" s="56"/>
      <c r="AK24" s="56"/>
    </row>
    <row r="25" spans="1:37" x14ac:dyDescent="0.3">
      <c r="A25" s="26">
        <v>1024</v>
      </c>
      <c r="B25" s="27" t="s">
        <v>251</v>
      </c>
      <c r="C25" s="27" t="s">
        <v>245</v>
      </c>
      <c r="D25" s="27">
        <v>0</v>
      </c>
      <c r="E25" s="27">
        <v>0</v>
      </c>
      <c r="F25" s="39">
        <v>0</v>
      </c>
      <c r="G25" s="26">
        <v>26</v>
      </c>
      <c r="H25" s="26">
        <v>390</v>
      </c>
      <c r="I25" s="29">
        <v>43145.7</v>
      </c>
      <c r="J25" s="26">
        <v>65</v>
      </c>
      <c r="K25" s="26">
        <v>975</v>
      </c>
      <c r="L25" s="26">
        <v>9</v>
      </c>
      <c r="M25" s="26">
        <v>135</v>
      </c>
      <c r="N25" s="31">
        <v>81673.8</v>
      </c>
      <c r="O25" s="26">
        <v>45</v>
      </c>
      <c r="P25" s="26">
        <v>675</v>
      </c>
      <c r="Q25" s="49">
        <v>8775</v>
      </c>
      <c r="R25" s="26">
        <v>45</v>
      </c>
      <c r="S25" s="50">
        <v>3356.0526315789475</v>
      </c>
      <c r="T25" s="51">
        <v>136950.55263157896</v>
      </c>
      <c r="U25" s="26">
        <v>0</v>
      </c>
      <c r="V25" s="52">
        <v>0</v>
      </c>
      <c r="W25" s="27">
        <f t="shared" si="0"/>
        <v>0</v>
      </c>
      <c r="X25" s="53">
        <f t="shared" si="1"/>
        <v>109560.44210526318</v>
      </c>
      <c r="Z25" s="54">
        <v>109560.44210526318</v>
      </c>
      <c r="AA25" s="55">
        <f t="shared" si="2"/>
        <v>0</v>
      </c>
      <c r="AD25" s="27" t="s">
        <v>26</v>
      </c>
      <c r="AE25" s="27" t="s">
        <v>194</v>
      </c>
      <c r="AI25" s="56"/>
      <c r="AJ25" s="56"/>
      <c r="AK25" s="56"/>
    </row>
    <row r="26" spans="1:37" x14ac:dyDescent="0.3">
      <c r="A26" s="26">
        <v>1025</v>
      </c>
      <c r="B26" s="27" t="s">
        <v>40</v>
      </c>
      <c r="C26" s="27" t="s">
        <v>27</v>
      </c>
      <c r="D26" s="27">
        <v>0</v>
      </c>
      <c r="E26" s="27">
        <v>0</v>
      </c>
      <c r="F26" s="39">
        <v>0</v>
      </c>
      <c r="G26" s="26">
        <v>51</v>
      </c>
      <c r="H26" s="26">
        <v>765</v>
      </c>
      <c r="I26" s="29">
        <v>84631.95</v>
      </c>
      <c r="J26" s="26">
        <v>100</v>
      </c>
      <c r="K26" s="26">
        <v>1500</v>
      </c>
      <c r="L26" s="26">
        <v>11</v>
      </c>
      <c r="M26" s="26">
        <v>165</v>
      </c>
      <c r="N26" s="31">
        <v>122510.7</v>
      </c>
      <c r="O26" s="26">
        <v>102</v>
      </c>
      <c r="P26" s="26">
        <v>1530</v>
      </c>
      <c r="Q26" s="49">
        <v>19890</v>
      </c>
      <c r="R26" s="26">
        <v>71</v>
      </c>
      <c r="S26" s="50">
        <v>5295.105263157895</v>
      </c>
      <c r="T26" s="51">
        <v>232327.75526315789</v>
      </c>
      <c r="U26" s="26">
        <v>4</v>
      </c>
      <c r="V26" s="52">
        <v>1283.578947368421</v>
      </c>
      <c r="W26" s="27">
        <f t="shared" si="0"/>
        <v>1026.8631578947368</v>
      </c>
      <c r="X26" s="53">
        <f t="shared" si="1"/>
        <v>186889.06736842106</v>
      </c>
      <c r="Z26" s="54">
        <v>186889.06736842106</v>
      </c>
      <c r="AA26" s="55">
        <f t="shared" si="2"/>
        <v>0</v>
      </c>
      <c r="AD26" s="27" t="s">
        <v>26</v>
      </c>
      <c r="AE26" s="27" t="s">
        <v>39</v>
      </c>
      <c r="AI26" s="56"/>
      <c r="AJ26" s="56"/>
      <c r="AK26" s="56"/>
    </row>
    <row r="27" spans="1:37" x14ac:dyDescent="0.3">
      <c r="A27" s="26">
        <v>1026</v>
      </c>
      <c r="B27" s="27" t="s">
        <v>73</v>
      </c>
      <c r="C27" s="27" t="s">
        <v>27</v>
      </c>
      <c r="D27" s="27">
        <v>0</v>
      </c>
      <c r="E27" s="27">
        <v>0</v>
      </c>
      <c r="F27" s="39">
        <v>0</v>
      </c>
      <c r="G27" s="26">
        <v>30</v>
      </c>
      <c r="H27" s="26">
        <v>450</v>
      </c>
      <c r="I27" s="29">
        <v>49783.5</v>
      </c>
      <c r="J27" s="26">
        <v>105</v>
      </c>
      <c r="K27" s="26">
        <v>1575</v>
      </c>
      <c r="L27" s="26">
        <v>21</v>
      </c>
      <c r="M27" s="26">
        <v>315</v>
      </c>
      <c r="N27" s="31">
        <v>139066.20000000001</v>
      </c>
      <c r="O27" s="26">
        <v>64</v>
      </c>
      <c r="P27" s="26">
        <v>960</v>
      </c>
      <c r="Q27" s="49">
        <v>12480</v>
      </c>
      <c r="R27" s="26">
        <v>20</v>
      </c>
      <c r="S27" s="50">
        <v>1491.578947368421</v>
      </c>
      <c r="T27" s="51">
        <v>202821.27894736844</v>
      </c>
      <c r="U27" s="26">
        <v>5</v>
      </c>
      <c r="V27" s="52">
        <v>1604.4736842105262</v>
      </c>
      <c r="W27" s="27">
        <f t="shared" si="0"/>
        <v>1283.578947368421</v>
      </c>
      <c r="X27" s="53">
        <f t="shared" si="1"/>
        <v>163540.60210526318</v>
      </c>
      <c r="Z27" s="54">
        <v>163540.60210526318</v>
      </c>
      <c r="AA27" s="55">
        <f t="shared" si="2"/>
        <v>0</v>
      </c>
      <c r="AD27" s="27" t="s">
        <v>26</v>
      </c>
      <c r="AE27" s="27" t="s">
        <v>72</v>
      </c>
      <c r="AI27" s="56"/>
      <c r="AJ27" s="56"/>
      <c r="AK27" s="56"/>
    </row>
    <row r="28" spans="1:37" x14ac:dyDescent="0.3">
      <c r="A28" s="26">
        <v>1027</v>
      </c>
      <c r="B28" s="27" t="s">
        <v>25</v>
      </c>
      <c r="C28" s="27" t="s">
        <v>27</v>
      </c>
      <c r="D28" s="27">
        <v>0</v>
      </c>
      <c r="E28" s="27">
        <v>0</v>
      </c>
      <c r="F28" s="39">
        <v>0</v>
      </c>
      <c r="G28" s="26">
        <v>30</v>
      </c>
      <c r="H28" s="26">
        <v>450</v>
      </c>
      <c r="I28" s="29">
        <v>49783.5</v>
      </c>
      <c r="J28" s="26">
        <v>105</v>
      </c>
      <c r="K28" s="26">
        <v>1575</v>
      </c>
      <c r="L28" s="26">
        <v>19</v>
      </c>
      <c r="M28" s="26">
        <v>285</v>
      </c>
      <c r="N28" s="31">
        <v>136858.79999999999</v>
      </c>
      <c r="O28" s="26">
        <v>37</v>
      </c>
      <c r="P28" s="26">
        <v>555</v>
      </c>
      <c r="Q28" s="49">
        <v>7215</v>
      </c>
      <c r="R28" s="26">
        <v>3</v>
      </c>
      <c r="S28" s="50">
        <v>223.73684210526318</v>
      </c>
      <c r="T28" s="51">
        <v>194081.03684210524</v>
      </c>
      <c r="U28" s="26">
        <v>6</v>
      </c>
      <c r="V28" s="52">
        <v>1925.3684210526317</v>
      </c>
      <c r="W28" s="27">
        <f t="shared" si="0"/>
        <v>1540.2947368421055</v>
      </c>
      <c r="X28" s="53">
        <f t="shared" si="1"/>
        <v>156805.12421052632</v>
      </c>
      <c r="Z28" s="54">
        <v>156805.12421052632</v>
      </c>
      <c r="AA28" s="55">
        <f t="shared" si="2"/>
        <v>0</v>
      </c>
      <c r="AD28" s="27" t="s">
        <v>26</v>
      </c>
      <c r="AE28" s="27" t="s">
        <v>24</v>
      </c>
      <c r="AI28" s="56"/>
      <c r="AJ28" s="56"/>
      <c r="AK28" s="56"/>
    </row>
    <row r="29" spans="1:37" x14ac:dyDescent="0.3">
      <c r="A29" s="26">
        <v>1028</v>
      </c>
      <c r="B29" s="27" t="s">
        <v>201</v>
      </c>
      <c r="C29" s="27" t="s">
        <v>245</v>
      </c>
      <c r="D29" s="27">
        <v>0</v>
      </c>
      <c r="E29" s="27">
        <v>0</v>
      </c>
      <c r="F29" s="39">
        <v>0</v>
      </c>
      <c r="G29" s="26">
        <v>25</v>
      </c>
      <c r="H29" s="26">
        <v>375</v>
      </c>
      <c r="I29" s="29">
        <v>41486.25</v>
      </c>
      <c r="J29" s="26">
        <v>69</v>
      </c>
      <c r="K29" s="26">
        <v>1035</v>
      </c>
      <c r="L29" s="26">
        <v>3</v>
      </c>
      <c r="M29" s="26">
        <v>45</v>
      </c>
      <c r="N29" s="31">
        <v>79466.400000000009</v>
      </c>
      <c r="O29" s="26">
        <v>51</v>
      </c>
      <c r="P29" s="26">
        <v>765</v>
      </c>
      <c r="Q29" s="49">
        <v>9945</v>
      </c>
      <c r="R29" s="26">
        <v>26</v>
      </c>
      <c r="S29" s="50">
        <v>1939.0526315789475</v>
      </c>
      <c r="T29" s="51">
        <v>132836.70263157896</v>
      </c>
      <c r="U29" s="26">
        <v>4</v>
      </c>
      <c r="V29" s="52">
        <v>1283.578947368421</v>
      </c>
      <c r="W29" s="27">
        <f t="shared" si="0"/>
        <v>1026.8631578947368</v>
      </c>
      <c r="X29" s="53">
        <f t="shared" si="1"/>
        <v>107296.22526315792</v>
      </c>
      <c r="Z29" s="54">
        <v>107296.22526315792</v>
      </c>
      <c r="AA29" s="55">
        <f t="shared" si="2"/>
        <v>0</v>
      </c>
      <c r="AD29" s="27" t="s">
        <v>26</v>
      </c>
      <c r="AE29" s="27" t="s">
        <v>200</v>
      </c>
      <c r="AI29" s="56"/>
      <c r="AJ29" s="56"/>
      <c r="AK29" s="56"/>
    </row>
    <row r="30" spans="1:37" x14ac:dyDescent="0.3">
      <c r="A30" s="26">
        <v>1038</v>
      </c>
      <c r="B30" s="27" t="s">
        <v>252</v>
      </c>
      <c r="C30" s="27" t="s">
        <v>27</v>
      </c>
      <c r="D30" s="27">
        <v>0</v>
      </c>
      <c r="E30" s="27">
        <v>0</v>
      </c>
      <c r="F30" s="39">
        <v>0</v>
      </c>
      <c r="G30" s="26">
        <v>46</v>
      </c>
      <c r="H30" s="26">
        <v>690</v>
      </c>
      <c r="I30" s="29">
        <v>76334.7</v>
      </c>
      <c r="J30" s="26">
        <v>114</v>
      </c>
      <c r="K30" s="26">
        <v>1710</v>
      </c>
      <c r="L30" s="26">
        <v>47</v>
      </c>
      <c r="M30" s="26">
        <v>705</v>
      </c>
      <c r="N30" s="31">
        <v>177695.7</v>
      </c>
      <c r="O30" s="26">
        <v>76</v>
      </c>
      <c r="P30" s="26">
        <v>1140</v>
      </c>
      <c r="Q30" s="49">
        <v>14820</v>
      </c>
      <c r="R30" s="26">
        <v>75</v>
      </c>
      <c r="S30" s="50">
        <v>5593.4210526315792</v>
      </c>
      <c r="T30" s="51">
        <v>274443.8210526316</v>
      </c>
      <c r="U30" s="26">
        <v>0</v>
      </c>
      <c r="V30" s="52">
        <v>0</v>
      </c>
      <c r="W30" s="27">
        <f t="shared" si="0"/>
        <v>0</v>
      </c>
      <c r="X30" s="53">
        <f t="shared" si="1"/>
        <v>219555.05684210529</v>
      </c>
      <c r="Z30" s="54">
        <v>219555.05684210529</v>
      </c>
      <c r="AA30" s="55">
        <f t="shared" si="2"/>
        <v>0</v>
      </c>
      <c r="AD30" s="27" t="s">
        <v>26</v>
      </c>
      <c r="AE30" s="27" t="s">
        <v>134</v>
      </c>
      <c r="AI30" s="56"/>
      <c r="AJ30" s="56"/>
      <c r="AK30" s="56"/>
    </row>
    <row r="31" spans="1:37" x14ac:dyDescent="0.3">
      <c r="A31" s="26">
        <v>1048</v>
      </c>
      <c r="B31" s="27" t="s">
        <v>53</v>
      </c>
      <c r="C31" s="27" t="s">
        <v>27</v>
      </c>
      <c r="D31" s="27">
        <v>0</v>
      </c>
      <c r="E31" s="27">
        <v>0</v>
      </c>
      <c r="F31" s="39">
        <v>0</v>
      </c>
      <c r="G31" s="26">
        <v>30</v>
      </c>
      <c r="H31" s="26">
        <v>450</v>
      </c>
      <c r="I31" s="29">
        <v>49783.5</v>
      </c>
      <c r="J31" s="26">
        <v>119</v>
      </c>
      <c r="K31" s="26">
        <v>1785</v>
      </c>
      <c r="L31" s="26">
        <v>32</v>
      </c>
      <c r="M31" s="26">
        <v>480</v>
      </c>
      <c r="N31" s="31">
        <v>166658.70000000001</v>
      </c>
      <c r="O31" s="26">
        <v>57</v>
      </c>
      <c r="P31" s="26">
        <v>855</v>
      </c>
      <c r="Q31" s="49">
        <v>11115</v>
      </c>
      <c r="R31" s="26">
        <v>48</v>
      </c>
      <c r="S31" s="50">
        <v>3579.7894736842109</v>
      </c>
      <c r="T31" s="51">
        <v>231136.98947368423</v>
      </c>
      <c r="U31" s="26">
        <v>8</v>
      </c>
      <c r="V31" s="52">
        <v>2567.1578947368421</v>
      </c>
      <c r="W31" s="27">
        <f t="shared" si="0"/>
        <v>2053.7263157894736</v>
      </c>
      <c r="X31" s="53">
        <f t="shared" si="1"/>
        <v>186963.31789473689</v>
      </c>
      <c r="Z31" s="54">
        <v>186963.31789473689</v>
      </c>
      <c r="AA31" s="55">
        <f t="shared" si="2"/>
        <v>0</v>
      </c>
      <c r="AD31" s="27" t="s">
        <v>26</v>
      </c>
      <c r="AE31" s="27" t="s">
        <v>52</v>
      </c>
      <c r="AI31" s="56"/>
      <c r="AJ31" s="56"/>
      <c r="AK31" s="56"/>
    </row>
    <row r="32" spans="1:37" x14ac:dyDescent="0.3">
      <c r="A32" s="26">
        <v>1049</v>
      </c>
      <c r="B32" s="27" t="s">
        <v>117</v>
      </c>
      <c r="C32" s="27" t="s">
        <v>27</v>
      </c>
      <c r="D32" s="27">
        <v>0</v>
      </c>
      <c r="E32" s="27">
        <v>0</v>
      </c>
      <c r="F32" s="39">
        <v>0</v>
      </c>
      <c r="G32" s="26">
        <v>26</v>
      </c>
      <c r="H32" s="26">
        <v>390</v>
      </c>
      <c r="I32" s="29">
        <v>43145.7</v>
      </c>
      <c r="J32" s="26">
        <v>117</v>
      </c>
      <c r="K32" s="26">
        <v>1755</v>
      </c>
      <c r="L32" s="26">
        <v>16</v>
      </c>
      <c r="M32" s="26">
        <v>240</v>
      </c>
      <c r="N32" s="31">
        <v>146792.1</v>
      </c>
      <c r="O32" s="26">
        <v>87</v>
      </c>
      <c r="P32" s="26">
        <v>1305</v>
      </c>
      <c r="Q32" s="49">
        <v>16965</v>
      </c>
      <c r="R32" s="26">
        <v>25</v>
      </c>
      <c r="S32" s="50">
        <v>1864.4736842105265</v>
      </c>
      <c r="T32" s="51">
        <v>208767.27368421052</v>
      </c>
      <c r="U32" s="26">
        <v>6</v>
      </c>
      <c r="V32" s="52">
        <v>1925.3684210526317</v>
      </c>
      <c r="W32" s="27">
        <f t="shared" si="0"/>
        <v>1540.2947368421055</v>
      </c>
      <c r="X32" s="53">
        <f t="shared" si="1"/>
        <v>168554.11368421055</v>
      </c>
      <c r="Z32" s="54">
        <v>168554.11368421055</v>
      </c>
      <c r="AA32" s="55">
        <f t="shared" si="2"/>
        <v>0</v>
      </c>
      <c r="AD32" s="27" t="s">
        <v>26</v>
      </c>
      <c r="AE32" s="27" t="s">
        <v>116</v>
      </c>
      <c r="AI32" s="56"/>
      <c r="AJ32" s="56"/>
      <c r="AK32" s="56"/>
    </row>
    <row r="33" spans="1:37" x14ac:dyDescent="0.3">
      <c r="A33" s="26">
        <v>1802</v>
      </c>
      <c r="B33" s="27" t="s">
        <v>189</v>
      </c>
      <c r="C33" s="27" t="s">
        <v>245</v>
      </c>
      <c r="D33" s="27">
        <v>0</v>
      </c>
      <c r="E33" s="27">
        <v>0</v>
      </c>
      <c r="F33" s="39">
        <v>0</v>
      </c>
      <c r="G33" s="26">
        <v>40</v>
      </c>
      <c r="H33" s="26">
        <v>600</v>
      </c>
      <c r="I33" s="29">
        <v>66378</v>
      </c>
      <c r="J33" s="26">
        <v>58</v>
      </c>
      <c r="K33" s="26">
        <v>870</v>
      </c>
      <c r="L33" s="26">
        <v>15</v>
      </c>
      <c r="M33" s="26">
        <v>225</v>
      </c>
      <c r="N33" s="31">
        <v>80570.100000000006</v>
      </c>
      <c r="O33" s="26">
        <v>53</v>
      </c>
      <c r="P33" s="26">
        <v>795</v>
      </c>
      <c r="Q33" s="49">
        <v>10335</v>
      </c>
      <c r="R33" s="26">
        <v>46</v>
      </c>
      <c r="S33" s="50">
        <v>3430.6315789473683</v>
      </c>
      <c r="T33" s="51">
        <v>160713.73157894737</v>
      </c>
      <c r="U33" s="26">
        <v>1</v>
      </c>
      <c r="V33" s="52">
        <v>320.89473684210526</v>
      </c>
      <c r="W33" s="27">
        <f t="shared" si="0"/>
        <v>256.7157894736842</v>
      </c>
      <c r="X33" s="53">
        <f t="shared" si="1"/>
        <v>128827.70105263159</v>
      </c>
      <c r="Z33" s="54">
        <v>128827.70105263159</v>
      </c>
      <c r="AA33" s="55">
        <f t="shared" si="2"/>
        <v>0</v>
      </c>
      <c r="AD33" s="27" t="s">
        <v>26</v>
      </c>
      <c r="AE33" s="27" t="s">
        <v>188</v>
      </c>
      <c r="AI33" s="56"/>
      <c r="AJ33" s="56"/>
      <c r="AK33" s="56"/>
    </row>
    <row r="34" spans="1:37" x14ac:dyDescent="0.3">
      <c r="A34" s="26">
        <v>2003</v>
      </c>
      <c r="B34" s="27" t="s">
        <v>253</v>
      </c>
      <c r="C34" s="27" t="s">
        <v>49</v>
      </c>
      <c r="D34" s="27">
        <v>0</v>
      </c>
      <c r="E34" s="27">
        <v>0</v>
      </c>
      <c r="F34" s="39">
        <v>0</v>
      </c>
      <c r="G34" s="26">
        <v>0</v>
      </c>
      <c r="H34" s="26">
        <v>0</v>
      </c>
      <c r="I34" s="29">
        <v>0</v>
      </c>
      <c r="J34" s="26">
        <v>62</v>
      </c>
      <c r="K34" s="26">
        <v>930</v>
      </c>
      <c r="L34" s="26">
        <v>16</v>
      </c>
      <c r="M34" s="26">
        <v>240</v>
      </c>
      <c r="N34" s="31">
        <v>86088.6</v>
      </c>
      <c r="O34" s="26">
        <v>18</v>
      </c>
      <c r="P34" s="26">
        <v>270</v>
      </c>
      <c r="Q34" s="49">
        <v>3510</v>
      </c>
      <c r="R34" s="26">
        <v>4</v>
      </c>
      <c r="S34" s="50">
        <v>298.31578947368422</v>
      </c>
      <c r="T34" s="51">
        <v>89896.915789473685</v>
      </c>
      <c r="U34" s="26">
        <v>0</v>
      </c>
      <c r="V34" s="52">
        <v>0</v>
      </c>
      <c r="X34" s="53">
        <f>(T34+V34)*0.8</f>
        <v>71917.532631578957</v>
      </c>
      <c r="AA34" s="49"/>
      <c r="AI34" s="56"/>
      <c r="AJ34" s="56"/>
      <c r="AK34" s="56"/>
    </row>
    <row r="35" spans="1:37" x14ac:dyDescent="0.3">
      <c r="A35" s="26">
        <v>2004</v>
      </c>
      <c r="B35" s="27" t="s">
        <v>197</v>
      </c>
      <c r="C35" s="27" t="s">
        <v>245</v>
      </c>
      <c r="D35" s="27">
        <v>0</v>
      </c>
      <c r="E35" s="27">
        <v>0</v>
      </c>
      <c r="F35" s="39">
        <v>0</v>
      </c>
      <c r="G35" s="26">
        <v>0</v>
      </c>
      <c r="H35" s="26">
        <v>0</v>
      </c>
      <c r="I35" s="29">
        <v>0</v>
      </c>
      <c r="J35" s="26">
        <v>15</v>
      </c>
      <c r="K35" s="26">
        <v>225</v>
      </c>
      <c r="L35" s="26">
        <v>0</v>
      </c>
      <c r="M35" s="26">
        <v>0</v>
      </c>
      <c r="N35" s="31">
        <v>16555.5</v>
      </c>
      <c r="O35" s="26">
        <v>5</v>
      </c>
      <c r="P35" s="26">
        <v>75</v>
      </c>
      <c r="Q35" s="49">
        <v>975</v>
      </c>
      <c r="R35" s="26">
        <v>0</v>
      </c>
      <c r="S35" s="50">
        <v>0</v>
      </c>
      <c r="T35" s="51">
        <v>17530.5</v>
      </c>
      <c r="U35" s="26">
        <v>0</v>
      </c>
      <c r="V35" s="52">
        <v>0</v>
      </c>
      <c r="X35" s="53">
        <f t="shared" si="1"/>
        <v>14024.400000000001</v>
      </c>
      <c r="Z35" s="54">
        <v>14024.400000000001</v>
      </c>
      <c r="AA35" s="55">
        <f t="shared" ref="AA35:AA40" si="3">Z35-X35</f>
        <v>0</v>
      </c>
      <c r="AD35" s="27" t="s">
        <v>32</v>
      </c>
      <c r="AE35" s="27" t="s">
        <v>196</v>
      </c>
      <c r="AI35" s="56"/>
      <c r="AJ35" s="56"/>
      <c r="AK35" s="56"/>
    </row>
    <row r="36" spans="1:37" x14ac:dyDescent="0.3">
      <c r="A36" s="26">
        <v>2005</v>
      </c>
      <c r="B36" s="27" t="s">
        <v>193</v>
      </c>
      <c r="C36" s="27" t="s">
        <v>245</v>
      </c>
      <c r="D36" s="27">
        <v>0</v>
      </c>
      <c r="E36" s="27">
        <v>0</v>
      </c>
      <c r="F36" s="39">
        <v>0</v>
      </c>
      <c r="G36" s="26">
        <v>0</v>
      </c>
      <c r="H36" s="26">
        <v>0</v>
      </c>
      <c r="I36" s="29">
        <v>0</v>
      </c>
      <c r="J36" s="26">
        <v>35</v>
      </c>
      <c r="K36" s="26">
        <v>525</v>
      </c>
      <c r="L36" s="26">
        <v>6</v>
      </c>
      <c r="M36" s="26">
        <v>22.2</v>
      </c>
      <c r="N36" s="31">
        <v>40262.976000000002</v>
      </c>
      <c r="O36" s="26">
        <v>9</v>
      </c>
      <c r="P36" s="26">
        <v>135</v>
      </c>
      <c r="Q36" s="49">
        <v>1755</v>
      </c>
      <c r="R36" s="26">
        <v>9</v>
      </c>
      <c r="S36" s="50">
        <v>671.21052631578948</v>
      </c>
      <c r="T36" s="51">
        <v>42689.186526315789</v>
      </c>
      <c r="U36" s="26">
        <v>0</v>
      </c>
      <c r="V36" s="52">
        <v>0</v>
      </c>
      <c r="X36" s="53">
        <f t="shared" si="1"/>
        <v>34151.349221052631</v>
      </c>
      <c r="Z36" s="54">
        <v>34151.349221052631</v>
      </c>
      <c r="AA36" s="55">
        <f t="shared" si="3"/>
        <v>0</v>
      </c>
      <c r="AD36" s="27" t="s">
        <v>32</v>
      </c>
      <c r="AE36" s="27" t="s">
        <v>192</v>
      </c>
      <c r="AI36" s="56"/>
      <c r="AJ36" s="56"/>
      <c r="AK36" s="56"/>
    </row>
    <row r="37" spans="1:37" x14ac:dyDescent="0.3">
      <c r="A37" s="26">
        <v>2008</v>
      </c>
      <c r="B37" s="27" t="s">
        <v>133</v>
      </c>
      <c r="C37" s="27" t="s">
        <v>27</v>
      </c>
      <c r="D37" s="27">
        <v>0</v>
      </c>
      <c r="E37" s="27">
        <v>0</v>
      </c>
      <c r="F37" s="39">
        <v>0</v>
      </c>
      <c r="G37" s="26">
        <v>0</v>
      </c>
      <c r="H37" s="26">
        <v>0</v>
      </c>
      <c r="I37" s="29">
        <v>0</v>
      </c>
      <c r="J37" s="26">
        <v>46</v>
      </c>
      <c r="K37" s="26">
        <v>690</v>
      </c>
      <c r="L37" s="26">
        <v>9</v>
      </c>
      <c r="M37" s="26">
        <v>135</v>
      </c>
      <c r="N37" s="31">
        <v>60703.500000000007</v>
      </c>
      <c r="O37" s="26">
        <v>17</v>
      </c>
      <c r="P37" s="26">
        <v>255</v>
      </c>
      <c r="Q37" s="49">
        <v>3315</v>
      </c>
      <c r="R37" s="26">
        <v>2</v>
      </c>
      <c r="S37" s="50">
        <v>149.15789473684211</v>
      </c>
      <c r="T37" s="51">
        <v>64167.657894736847</v>
      </c>
      <c r="U37" s="26">
        <v>0</v>
      </c>
      <c r="V37" s="52">
        <v>0</v>
      </c>
      <c r="X37" s="53">
        <f t="shared" si="1"/>
        <v>51334.126315789479</v>
      </c>
      <c r="Z37" s="54">
        <v>51334.126315789479</v>
      </c>
      <c r="AA37" s="55">
        <f t="shared" si="3"/>
        <v>0</v>
      </c>
      <c r="AD37" s="27" t="s">
        <v>32</v>
      </c>
      <c r="AE37" s="27" t="s">
        <v>132</v>
      </c>
      <c r="AI37" s="56"/>
      <c r="AJ37" s="56"/>
      <c r="AK37" s="56"/>
    </row>
    <row r="38" spans="1:37" x14ac:dyDescent="0.3">
      <c r="A38" s="26">
        <v>2011</v>
      </c>
      <c r="B38" s="27" t="s">
        <v>169</v>
      </c>
      <c r="C38" s="27" t="s">
        <v>27</v>
      </c>
      <c r="D38" s="27">
        <v>0</v>
      </c>
      <c r="E38" s="27">
        <v>0</v>
      </c>
      <c r="F38" s="39">
        <v>0</v>
      </c>
      <c r="G38" s="26">
        <v>0</v>
      </c>
      <c r="H38" s="26">
        <v>0</v>
      </c>
      <c r="I38" s="29">
        <v>0</v>
      </c>
      <c r="J38" s="26">
        <v>39</v>
      </c>
      <c r="K38" s="26">
        <v>585</v>
      </c>
      <c r="L38" s="26">
        <v>0</v>
      </c>
      <c r="M38" s="26">
        <v>0</v>
      </c>
      <c r="N38" s="31">
        <v>43044.3</v>
      </c>
      <c r="O38" s="26">
        <v>9</v>
      </c>
      <c r="P38" s="26">
        <v>135</v>
      </c>
      <c r="Q38" s="49">
        <v>1755</v>
      </c>
      <c r="R38" s="26">
        <v>9</v>
      </c>
      <c r="S38" s="50">
        <v>671.21052631578948</v>
      </c>
      <c r="T38" s="51">
        <v>45470.510526315789</v>
      </c>
      <c r="U38" s="26">
        <v>0</v>
      </c>
      <c r="V38" s="52">
        <v>0</v>
      </c>
      <c r="X38" s="53">
        <f t="shared" si="1"/>
        <v>36376.408421052634</v>
      </c>
      <c r="Z38" s="54">
        <v>36376.408421052634</v>
      </c>
      <c r="AA38" s="55">
        <f t="shared" si="3"/>
        <v>0</v>
      </c>
      <c r="AD38" s="27" t="s">
        <v>32</v>
      </c>
      <c r="AE38" s="27" t="s">
        <v>168</v>
      </c>
      <c r="AI38" s="56"/>
      <c r="AJ38" s="56"/>
      <c r="AK38" s="56"/>
    </row>
    <row r="39" spans="1:37" x14ac:dyDescent="0.3">
      <c r="A39" s="26">
        <v>2014</v>
      </c>
      <c r="B39" s="27" t="s">
        <v>187</v>
      </c>
      <c r="C39" s="27" t="s">
        <v>245</v>
      </c>
      <c r="D39" s="27">
        <v>0</v>
      </c>
      <c r="E39" s="27">
        <v>0</v>
      </c>
      <c r="F39" s="39">
        <v>0</v>
      </c>
      <c r="G39" s="26">
        <v>0</v>
      </c>
      <c r="H39" s="26">
        <v>0</v>
      </c>
      <c r="I39" s="29">
        <v>0</v>
      </c>
      <c r="J39" s="26">
        <v>30</v>
      </c>
      <c r="K39" s="26">
        <v>450</v>
      </c>
      <c r="L39" s="26">
        <v>0</v>
      </c>
      <c r="M39" s="26">
        <v>0</v>
      </c>
      <c r="N39" s="31">
        <v>33111</v>
      </c>
      <c r="O39" s="26">
        <v>0</v>
      </c>
      <c r="P39" s="26">
        <v>0</v>
      </c>
      <c r="Q39" s="49">
        <v>0</v>
      </c>
      <c r="R39" s="26">
        <v>0</v>
      </c>
      <c r="S39" s="50">
        <v>0</v>
      </c>
      <c r="T39" s="51">
        <v>33111</v>
      </c>
      <c r="U39" s="26">
        <v>0</v>
      </c>
      <c r="V39" s="52">
        <v>0</v>
      </c>
      <c r="X39" s="53">
        <f t="shared" si="1"/>
        <v>26488.800000000003</v>
      </c>
      <c r="Z39" s="54">
        <v>26488.800000000003</v>
      </c>
      <c r="AA39" s="55">
        <f t="shared" si="3"/>
        <v>0</v>
      </c>
      <c r="AD39" s="27" t="s">
        <v>32</v>
      </c>
      <c r="AE39" s="27" t="s">
        <v>186</v>
      </c>
      <c r="AI39" s="56"/>
      <c r="AJ39" s="56"/>
      <c r="AK39" s="56"/>
    </row>
    <row r="40" spans="1:37" x14ac:dyDescent="0.3">
      <c r="A40" s="26">
        <v>2015</v>
      </c>
      <c r="B40" s="27" t="s">
        <v>99</v>
      </c>
      <c r="C40" s="27" t="s">
        <v>27</v>
      </c>
      <c r="D40" s="27">
        <v>0</v>
      </c>
      <c r="E40" s="27">
        <v>0</v>
      </c>
      <c r="F40" s="39">
        <v>0</v>
      </c>
      <c r="G40" s="26">
        <v>0</v>
      </c>
      <c r="H40" s="26">
        <v>0</v>
      </c>
      <c r="I40" s="29">
        <v>0</v>
      </c>
      <c r="J40" s="26">
        <v>29</v>
      </c>
      <c r="K40" s="26">
        <v>435</v>
      </c>
      <c r="L40" s="26">
        <v>0</v>
      </c>
      <c r="M40" s="26">
        <v>0</v>
      </c>
      <c r="N40" s="31">
        <v>32007.3</v>
      </c>
      <c r="O40" s="26">
        <v>0</v>
      </c>
      <c r="P40" s="26">
        <v>0</v>
      </c>
      <c r="Q40" s="49">
        <v>0</v>
      </c>
      <c r="R40" s="26">
        <v>0</v>
      </c>
      <c r="S40" s="50">
        <v>0</v>
      </c>
      <c r="T40" s="51">
        <v>32007.3</v>
      </c>
      <c r="U40" s="26">
        <v>0</v>
      </c>
      <c r="V40" s="52">
        <v>0</v>
      </c>
      <c r="X40" s="53">
        <f t="shared" si="1"/>
        <v>25605.84</v>
      </c>
      <c r="Z40" s="54">
        <v>25605.84</v>
      </c>
      <c r="AA40" s="55">
        <f t="shared" si="3"/>
        <v>0</v>
      </c>
      <c r="AD40" s="27" t="s">
        <v>32</v>
      </c>
      <c r="AE40" s="27" t="s">
        <v>98</v>
      </c>
      <c r="AI40" s="56"/>
      <c r="AJ40" s="56"/>
      <c r="AK40" s="56"/>
    </row>
    <row r="41" spans="1:37" x14ac:dyDescent="0.3">
      <c r="A41" s="26">
        <v>2018</v>
      </c>
      <c r="B41" s="27" t="s">
        <v>254</v>
      </c>
      <c r="C41" s="27" t="s">
        <v>49</v>
      </c>
      <c r="D41" s="27">
        <v>0</v>
      </c>
      <c r="E41" s="27">
        <v>0</v>
      </c>
      <c r="F41" s="39">
        <v>0</v>
      </c>
      <c r="G41" s="26">
        <v>16</v>
      </c>
      <c r="H41" s="26">
        <v>240</v>
      </c>
      <c r="I41" s="29">
        <v>26551.200000000001</v>
      </c>
      <c r="J41" s="26">
        <v>47</v>
      </c>
      <c r="K41" s="26">
        <v>705</v>
      </c>
      <c r="L41" s="26">
        <v>4</v>
      </c>
      <c r="M41" s="26">
        <v>60</v>
      </c>
      <c r="N41" s="31">
        <v>56288.700000000004</v>
      </c>
      <c r="O41" s="26">
        <v>31</v>
      </c>
      <c r="P41" s="26">
        <v>465</v>
      </c>
      <c r="Q41" s="49">
        <v>6045</v>
      </c>
      <c r="R41" s="26">
        <v>0</v>
      </c>
      <c r="S41" s="50">
        <v>0</v>
      </c>
      <c r="T41" s="51">
        <v>88884.900000000009</v>
      </c>
      <c r="U41" s="26">
        <v>0</v>
      </c>
      <c r="V41" s="52">
        <v>0</v>
      </c>
      <c r="X41" s="53">
        <f t="shared" si="1"/>
        <v>71107.920000000013</v>
      </c>
      <c r="AA41" s="49"/>
      <c r="AI41" s="56"/>
      <c r="AJ41" s="56"/>
      <c r="AK41" s="56"/>
    </row>
    <row r="42" spans="1:37" x14ac:dyDescent="0.3">
      <c r="A42" s="26">
        <v>2020</v>
      </c>
      <c r="B42" s="27" t="s">
        <v>255</v>
      </c>
      <c r="C42" s="27" t="s">
        <v>49</v>
      </c>
      <c r="D42" s="27">
        <v>0</v>
      </c>
      <c r="E42" s="27">
        <v>0</v>
      </c>
      <c r="F42" s="39">
        <v>0</v>
      </c>
      <c r="G42" s="26">
        <v>0</v>
      </c>
      <c r="H42" s="26">
        <v>0</v>
      </c>
      <c r="I42" s="29">
        <v>0</v>
      </c>
      <c r="J42" s="26">
        <v>57</v>
      </c>
      <c r="K42" s="26">
        <v>855</v>
      </c>
      <c r="L42" s="26">
        <v>17</v>
      </c>
      <c r="M42" s="26">
        <v>255</v>
      </c>
      <c r="N42" s="31">
        <v>81673.8</v>
      </c>
      <c r="O42" s="26">
        <v>11</v>
      </c>
      <c r="P42" s="26">
        <v>165</v>
      </c>
      <c r="Q42" s="49">
        <v>2145</v>
      </c>
      <c r="R42" s="26">
        <v>0</v>
      </c>
      <c r="S42" s="50">
        <v>0</v>
      </c>
      <c r="T42" s="51">
        <v>83818.8</v>
      </c>
      <c r="U42" s="26">
        <v>0</v>
      </c>
      <c r="V42" s="52">
        <v>0</v>
      </c>
      <c r="X42" s="53">
        <f t="shared" si="1"/>
        <v>67055.040000000008</v>
      </c>
      <c r="AA42" s="49"/>
      <c r="AI42" s="56"/>
      <c r="AJ42" s="56"/>
      <c r="AK42" s="56"/>
    </row>
    <row r="43" spans="1:37" x14ac:dyDescent="0.3">
      <c r="A43" s="26">
        <v>2021</v>
      </c>
      <c r="B43" s="27" t="s">
        <v>256</v>
      </c>
      <c r="C43" s="27" t="s">
        <v>49</v>
      </c>
      <c r="D43" s="27">
        <v>0</v>
      </c>
      <c r="E43" s="27">
        <v>0</v>
      </c>
      <c r="F43" s="39">
        <v>0</v>
      </c>
      <c r="G43" s="26">
        <v>0</v>
      </c>
      <c r="H43" s="26">
        <v>0</v>
      </c>
      <c r="I43" s="29">
        <v>0</v>
      </c>
      <c r="J43" s="26">
        <v>26</v>
      </c>
      <c r="K43" s="26">
        <v>390</v>
      </c>
      <c r="L43" s="26">
        <v>0</v>
      </c>
      <c r="M43" s="26">
        <v>0</v>
      </c>
      <c r="N43" s="31">
        <v>28696.2</v>
      </c>
      <c r="O43" s="26">
        <v>13</v>
      </c>
      <c r="P43" s="26">
        <v>195</v>
      </c>
      <c r="Q43" s="49">
        <v>2535</v>
      </c>
      <c r="R43" s="26">
        <v>13</v>
      </c>
      <c r="S43" s="50">
        <v>969.52631578947376</v>
      </c>
      <c r="T43" s="51">
        <v>32200.726315789474</v>
      </c>
      <c r="U43" s="26">
        <v>0</v>
      </c>
      <c r="V43" s="52">
        <v>0</v>
      </c>
      <c r="X43" s="53">
        <f t="shared" si="1"/>
        <v>25760.58105263158</v>
      </c>
      <c r="AA43" s="49"/>
      <c r="AI43" s="56"/>
      <c r="AJ43" s="56"/>
      <c r="AK43" s="56"/>
    </row>
    <row r="44" spans="1:37" x14ac:dyDescent="0.3">
      <c r="A44" s="26">
        <v>2030</v>
      </c>
      <c r="B44" s="27" t="s">
        <v>44</v>
      </c>
      <c r="C44" s="27" t="s">
        <v>27</v>
      </c>
      <c r="D44" s="27">
        <v>0</v>
      </c>
      <c r="E44" s="27">
        <v>0</v>
      </c>
      <c r="F44" s="39">
        <v>0</v>
      </c>
      <c r="G44" s="26">
        <v>0</v>
      </c>
      <c r="H44" s="26">
        <v>0</v>
      </c>
      <c r="I44" s="29">
        <v>0</v>
      </c>
      <c r="J44" s="26">
        <v>51</v>
      </c>
      <c r="K44" s="26">
        <v>765</v>
      </c>
      <c r="L44" s="26">
        <v>0</v>
      </c>
      <c r="M44" s="26">
        <v>0</v>
      </c>
      <c r="N44" s="31">
        <v>56288.700000000004</v>
      </c>
      <c r="O44" s="26">
        <v>18</v>
      </c>
      <c r="P44" s="26">
        <v>270</v>
      </c>
      <c r="Q44" s="49">
        <v>3510</v>
      </c>
      <c r="R44" s="26">
        <v>0</v>
      </c>
      <c r="S44" s="50">
        <v>0</v>
      </c>
      <c r="T44" s="51">
        <v>59798.700000000004</v>
      </c>
      <c r="U44" s="26">
        <v>0</v>
      </c>
      <c r="V44" s="52">
        <v>0</v>
      </c>
      <c r="X44" s="53">
        <f t="shared" si="1"/>
        <v>47838.960000000006</v>
      </c>
      <c r="Z44" s="54">
        <v>47838.960000000006</v>
      </c>
      <c r="AA44" s="55">
        <f>Z44-X44</f>
        <v>0</v>
      </c>
      <c r="AD44" s="27" t="s">
        <v>32</v>
      </c>
      <c r="AE44" s="27" t="s">
        <v>43</v>
      </c>
      <c r="AI44" s="56"/>
      <c r="AJ44" s="56"/>
      <c r="AK44" s="56"/>
    </row>
    <row r="45" spans="1:37" x14ac:dyDescent="0.3">
      <c r="A45" s="26">
        <v>2036</v>
      </c>
      <c r="B45" s="27" t="s">
        <v>257</v>
      </c>
      <c r="C45" s="27" t="s">
        <v>49</v>
      </c>
      <c r="D45" s="27">
        <v>0</v>
      </c>
      <c r="E45" s="27">
        <v>0</v>
      </c>
      <c r="F45" s="39">
        <v>0</v>
      </c>
      <c r="G45" s="26">
        <v>0</v>
      </c>
      <c r="H45" s="26">
        <v>0</v>
      </c>
      <c r="I45" s="29">
        <v>0</v>
      </c>
      <c r="J45" s="26">
        <v>22</v>
      </c>
      <c r="K45" s="26">
        <v>330</v>
      </c>
      <c r="L45" s="26">
        <v>4</v>
      </c>
      <c r="M45" s="26">
        <v>60</v>
      </c>
      <c r="N45" s="31">
        <v>28696.2</v>
      </c>
      <c r="O45" s="26">
        <v>5</v>
      </c>
      <c r="P45" s="26">
        <v>75</v>
      </c>
      <c r="Q45" s="49">
        <v>975</v>
      </c>
      <c r="R45" s="26">
        <v>5</v>
      </c>
      <c r="S45" s="50">
        <v>372.89473684210526</v>
      </c>
      <c r="T45" s="51">
        <v>30044.094736842108</v>
      </c>
      <c r="U45" s="26">
        <v>0</v>
      </c>
      <c r="V45" s="52">
        <v>0</v>
      </c>
      <c r="X45" s="53">
        <f t="shared" si="1"/>
        <v>24035.275789473686</v>
      </c>
      <c r="AA45" s="49"/>
      <c r="AI45" s="56"/>
      <c r="AJ45" s="56"/>
      <c r="AK45" s="56"/>
    </row>
    <row r="46" spans="1:37" x14ac:dyDescent="0.3">
      <c r="A46" s="26">
        <v>2037</v>
      </c>
      <c r="B46" s="27" t="s">
        <v>258</v>
      </c>
      <c r="C46" s="27" t="s">
        <v>49</v>
      </c>
      <c r="D46" s="27">
        <v>0</v>
      </c>
      <c r="E46" s="27">
        <v>0</v>
      </c>
      <c r="F46" s="39">
        <v>0</v>
      </c>
      <c r="G46" s="26">
        <v>0</v>
      </c>
      <c r="H46" s="26">
        <v>0</v>
      </c>
      <c r="I46" s="29">
        <v>0</v>
      </c>
      <c r="J46" s="26">
        <v>34</v>
      </c>
      <c r="K46" s="26">
        <v>510</v>
      </c>
      <c r="L46" s="26">
        <v>6</v>
      </c>
      <c r="M46" s="26">
        <v>90</v>
      </c>
      <c r="N46" s="31">
        <v>44148</v>
      </c>
      <c r="O46" s="26">
        <v>8</v>
      </c>
      <c r="P46" s="26">
        <v>120</v>
      </c>
      <c r="Q46" s="49">
        <v>1560</v>
      </c>
      <c r="R46" s="26">
        <v>2</v>
      </c>
      <c r="S46" s="50">
        <v>149.15789473684211</v>
      </c>
      <c r="T46" s="51">
        <v>45857.15789473684</v>
      </c>
      <c r="U46" s="26">
        <v>0</v>
      </c>
      <c r="V46" s="52">
        <v>0</v>
      </c>
      <c r="X46" s="53">
        <f t="shared" si="1"/>
        <v>36685.72631578947</v>
      </c>
      <c r="AA46" s="49"/>
      <c r="AI46" s="56"/>
      <c r="AJ46" s="56"/>
      <c r="AK46" s="56"/>
    </row>
    <row r="47" spans="1:37" x14ac:dyDescent="0.3">
      <c r="A47" s="26">
        <v>2038</v>
      </c>
      <c r="B47" s="27" t="s">
        <v>259</v>
      </c>
      <c r="C47" s="27" t="s">
        <v>49</v>
      </c>
      <c r="D47" s="27">
        <v>0</v>
      </c>
      <c r="E47" s="27">
        <v>0</v>
      </c>
      <c r="F47" s="39">
        <v>0</v>
      </c>
      <c r="G47" s="26">
        <v>0</v>
      </c>
      <c r="H47" s="26">
        <v>0</v>
      </c>
      <c r="I47" s="29">
        <v>0</v>
      </c>
      <c r="J47" s="26">
        <v>2</v>
      </c>
      <c r="K47" s="26">
        <v>30</v>
      </c>
      <c r="L47" s="26">
        <v>0</v>
      </c>
      <c r="M47" s="26">
        <v>0</v>
      </c>
      <c r="N47" s="31">
        <v>2207.4</v>
      </c>
      <c r="O47" s="26">
        <v>1</v>
      </c>
      <c r="P47" s="26">
        <v>15</v>
      </c>
      <c r="Q47" s="49">
        <v>195</v>
      </c>
      <c r="R47" s="26">
        <v>0</v>
      </c>
      <c r="S47" s="50">
        <v>0</v>
      </c>
      <c r="T47" s="51">
        <v>2402.4</v>
      </c>
      <c r="U47" s="26">
        <v>0</v>
      </c>
      <c r="V47" s="52">
        <v>0</v>
      </c>
      <c r="X47" s="53">
        <f t="shared" si="1"/>
        <v>1921.92</v>
      </c>
      <c r="AA47" s="49"/>
      <c r="AI47" s="56"/>
      <c r="AJ47" s="56"/>
      <c r="AK47" s="56"/>
    </row>
    <row r="48" spans="1:37" x14ac:dyDescent="0.3">
      <c r="A48" s="26">
        <v>2039</v>
      </c>
      <c r="B48" s="27" t="s">
        <v>260</v>
      </c>
      <c r="C48" s="27" t="s">
        <v>49</v>
      </c>
      <c r="D48" s="27">
        <v>0</v>
      </c>
      <c r="E48" s="27">
        <v>0</v>
      </c>
      <c r="F48" s="39">
        <v>0</v>
      </c>
      <c r="G48" s="26">
        <v>0</v>
      </c>
      <c r="H48" s="26">
        <v>0</v>
      </c>
      <c r="I48" s="29">
        <v>0</v>
      </c>
      <c r="J48" s="26">
        <v>43</v>
      </c>
      <c r="K48" s="26">
        <v>645</v>
      </c>
      <c r="L48" s="26">
        <v>0</v>
      </c>
      <c r="M48" s="26">
        <v>0</v>
      </c>
      <c r="N48" s="31">
        <v>47459.1</v>
      </c>
      <c r="O48" s="26">
        <v>13</v>
      </c>
      <c r="P48" s="26">
        <v>195</v>
      </c>
      <c r="Q48" s="49">
        <v>2535</v>
      </c>
      <c r="R48" s="26">
        <v>0</v>
      </c>
      <c r="S48" s="50">
        <v>0</v>
      </c>
      <c r="T48" s="51">
        <v>49994.1</v>
      </c>
      <c r="U48" s="26">
        <v>0</v>
      </c>
      <c r="V48" s="52">
        <v>0</v>
      </c>
      <c r="X48" s="53">
        <f t="shared" si="1"/>
        <v>39995.279999999999</v>
      </c>
      <c r="AA48" s="49"/>
      <c r="AI48" s="56"/>
      <c r="AJ48" s="56"/>
      <c r="AK48" s="56"/>
    </row>
    <row r="49" spans="1:37" x14ac:dyDescent="0.3">
      <c r="A49" s="26">
        <v>2040</v>
      </c>
      <c r="B49" s="27" t="s">
        <v>55</v>
      </c>
      <c r="C49" s="27" t="s">
        <v>27</v>
      </c>
      <c r="D49" s="27">
        <v>0</v>
      </c>
      <c r="E49" s="27">
        <v>0</v>
      </c>
      <c r="F49" s="39">
        <v>0</v>
      </c>
      <c r="G49" s="26">
        <v>0</v>
      </c>
      <c r="H49" s="26">
        <v>0</v>
      </c>
      <c r="I49" s="29">
        <v>0</v>
      </c>
      <c r="J49" s="26">
        <v>26</v>
      </c>
      <c r="K49" s="26">
        <v>390</v>
      </c>
      <c r="L49" s="26">
        <v>0</v>
      </c>
      <c r="M49" s="26">
        <v>0</v>
      </c>
      <c r="N49" s="31">
        <v>28696.2</v>
      </c>
      <c r="O49" s="26">
        <v>5</v>
      </c>
      <c r="P49" s="26">
        <v>75</v>
      </c>
      <c r="Q49" s="49">
        <v>975</v>
      </c>
      <c r="R49" s="26">
        <v>0</v>
      </c>
      <c r="S49" s="50">
        <v>0</v>
      </c>
      <c r="T49" s="51">
        <v>29671.200000000001</v>
      </c>
      <c r="U49" s="26">
        <v>0</v>
      </c>
      <c r="V49" s="52">
        <v>0</v>
      </c>
      <c r="X49" s="53">
        <f t="shared" si="1"/>
        <v>23736.960000000003</v>
      </c>
      <c r="Z49" s="54">
        <v>23736.960000000003</v>
      </c>
      <c r="AA49" s="55">
        <f>Z49-X49</f>
        <v>0</v>
      </c>
      <c r="AD49" s="27" t="s">
        <v>32</v>
      </c>
      <c r="AE49" s="27" t="s">
        <v>54</v>
      </c>
      <c r="AI49" s="56"/>
      <c r="AJ49" s="56"/>
      <c r="AK49" s="56"/>
    </row>
    <row r="50" spans="1:37" x14ac:dyDescent="0.3">
      <c r="A50" s="26">
        <v>2048</v>
      </c>
      <c r="B50" s="27" t="s">
        <v>261</v>
      </c>
      <c r="C50" s="27" t="s">
        <v>49</v>
      </c>
      <c r="D50" s="27">
        <v>0</v>
      </c>
      <c r="E50" s="27">
        <v>0</v>
      </c>
      <c r="F50" s="39">
        <v>0</v>
      </c>
      <c r="G50" s="26">
        <v>0</v>
      </c>
      <c r="H50" s="26">
        <v>0</v>
      </c>
      <c r="I50" s="29">
        <v>0</v>
      </c>
      <c r="J50" s="26">
        <v>7</v>
      </c>
      <c r="K50" s="26">
        <v>105</v>
      </c>
      <c r="L50" s="26">
        <v>0</v>
      </c>
      <c r="M50" s="26">
        <v>0</v>
      </c>
      <c r="N50" s="31">
        <v>7725.9000000000005</v>
      </c>
      <c r="O50" s="26">
        <v>2</v>
      </c>
      <c r="P50" s="26">
        <v>30</v>
      </c>
      <c r="Q50" s="49">
        <v>390</v>
      </c>
      <c r="R50" s="26">
        <v>0</v>
      </c>
      <c r="S50" s="50">
        <v>0</v>
      </c>
      <c r="T50" s="51">
        <v>8115.9000000000005</v>
      </c>
      <c r="U50" s="26">
        <v>0</v>
      </c>
      <c r="V50" s="52">
        <v>0</v>
      </c>
      <c r="X50" s="53">
        <f t="shared" si="1"/>
        <v>6492.7200000000012</v>
      </c>
      <c r="AA50" s="49"/>
      <c r="AI50" s="56"/>
      <c r="AJ50" s="56"/>
      <c r="AK50" s="56"/>
    </row>
    <row r="51" spans="1:37" x14ac:dyDescent="0.3">
      <c r="A51" s="26">
        <v>2054</v>
      </c>
      <c r="B51" s="27" t="s">
        <v>67</v>
      </c>
      <c r="C51" s="27" t="s">
        <v>27</v>
      </c>
      <c r="D51" s="27">
        <v>0</v>
      </c>
      <c r="E51" s="27">
        <v>0</v>
      </c>
      <c r="F51" s="39">
        <v>0</v>
      </c>
      <c r="G51" s="26">
        <v>0</v>
      </c>
      <c r="H51" s="26">
        <v>0</v>
      </c>
      <c r="I51" s="29">
        <v>0</v>
      </c>
      <c r="J51" s="26">
        <v>50</v>
      </c>
      <c r="K51" s="26">
        <v>750</v>
      </c>
      <c r="L51" s="26">
        <v>0</v>
      </c>
      <c r="M51" s="26">
        <v>0</v>
      </c>
      <c r="N51" s="31">
        <v>55185</v>
      </c>
      <c r="O51" s="26">
        <v>10</v>
      </c>
      <c r="P51" s="26">
        <v>150</v>
      </c>
      <c r="Q51" s="49">
        <v>1950</v>
      </c>
      <c r="R51" s="26">
        <v>9</v>
      </c>
      <c r="S51" s="50">
        <v>671.21052631578948</v>
      </c>
      <c r="T51" s="51">
        <v>57806.210526315786</v>
      </c>
      <c r="U51" s="26">
        <v>0</v>
      </c>
      <c r="V51" s="52">
        <v>0</v>
      </c>
      <c r="X51" s="53">
        <f t="shared" si="1"/>
        <v>46244.968421052632</v>
      </c>
      <c r="Z51" s="54">
        <v>46244.968421052632</v>
      </c>
      <c r="AA51" s="55">
        <f t="shared" ref="AA51:AA52" si="4">Z51-X51</f>
        <v>0</v>
      </c>
      <c r="AD51" s="27" t="s">
        <v>32</v>
      </c>
      <c r="AE51" s="27" t="s">
        <v>66</v>
      </c>
      <c r="AI51" s="56"/>
      <c r="AJ51" s="56"/>
      <c r="AK51" s="56"/>
    </row>
    <row r="52" spans="1:37" x14ac:dyDescent="0.3">
      <c r="A52" s="26">
        <v>2055</v>
      </c>
      <c r="B52" s="27" t="s">
        <v>69</v>
      </c>
      <c r="C52" s="27" t="s">
        <v>27</v>
      </c>
      <c r="D52" s="27">
        <v>0</v>
      </c>
      <c r="E52" s="27">
        <v>0</v>
      </c>
      <c r="F52" s="39">
        <v>0</v>
      </c>
      <c r="G52" s="26">
        <v>0</v>
      </c>
      <c r="H52" s="26">
        <v>0</v>
      </c>
      <c r="I52" s="29">
        <v>0</v>
      </c>
      <c r="J52" s="26">
        <v>31</v>
      </c>
      <c r="K52" s="26">
        <v>462</v>
      </c>
      <c r="L52" s="26">
        <v>16</v>
      </c>
      <c r="M52" s="26">
        <v>240</v>
      </c>
      <c r="N52" s="31">
        <v>51653.16</v>
      </c>
      <c r="O52" s="26">
        <v>3</v>
      </c>
      <c r="P52" s="26">
        <v>45</v>
      </c>
      <c r="Q52" s="49">
        <v>585</v>
      </c>
      <c r="R52" s="26">
        <v>0</v>
      </c>
      <c r="S52" s="50">
        <v>0</v>
      </c>
      <c r="T52" s="51">
        <v>52238.16</v>
      </c>
      <c r="U52" s="26">
        <v>0</v>
      </c>
      <c r="V52" s="52">
        <v>0</v>
      </c>
      <c r="X52" s="53">
        <f t="shared" si="1"/>
        <v>41790.528000000006</v>
      </c>
      <c r="Z52" s="54">
        <v>41790.528000000006</v>
      </c>
      <c r="AA52" s="55">
        <f t="shared" si="4"/>
        <v>0</v>
      </c>
      <c r="AD52" s="27" t="s">
        <v>32</v>
      </c>
      <c r="AE52" s="27" t="s">
        <v>68</v>
      </c>
      <c r="AI52" s="56"/>
      <c r="AJ52" s="56"/>
      <c r="AK52" s="56"/>
    </row>
    <row r="53" spans="1:37" x14ac:dyDescent="0.3">
      <c r="A53" s="26">
        <v>2056</v>
      </c>
      <c r="B53" s="27" t="s">
        <v>262</v>
      </c>
      <c r="C53" s="27" t="s">
        <v>49</v>
      </c>
      <c r="D53" s="27">
        <v>0</v>
      </c>
      <c r="E53" s="27">
        <v>0</v>
      </c>
      <c r="F53" s="39">
        <v>0</v>
      </c>
      <c r="G53" s="26">
        <v>0</v>
      </c>
      <c r="H53" s="26">
        <v>0</v>
      </c>
      <c r="I53" s="29">
        <v>0</v>
      </c>
      <c r="J53" s="26">
        <v>38</v>
      </c>
      <c r="K53" s="26">
        <v>570</v>
      </c>
      <c r="L53" s="26">
        <v>3</v>
      </c>
      <c r="M53" s="26">
        <v>0</v>
      </c>
      <c r="N53" s="31">
        <v>41940.6</v>
      </c>
      <c r="O53" s="26">
        <v>9</v>
      </c>
      <c r="P53" s="26">
        <v>135</v>
      </c>
      <c r="Q53" s="49">
        <v>1755</v>
      </c>
      <c r="R53" s="26">
        <v>9</v>
      </c>
      <c r="S53" s="50">
        <v>671.21052631578948</v>
      </c>
      <c r="T53" s="51">
        <v>44366.810526315785</v>
      </c>
      <c r="U53" s="26">
        <v>0</v>
      </c>
      <c r="V53" s="52">
        <v>0</v>
      </c>
      <c r="X53" s="53">
        <f t="shared" si="1"/>
        <v>35493.448421052628</v>
      </c>
      <c r="AA53" s="49"/>
      <c r="AI53" s="56"/>
      <c r="AJ53" s="56"/>
      <c r="AK53" s="56"/>
    </row>
    <row r="54" spans="1:37" x14ac:dyDescent="0.3">
      <c r="A54" s="26">
        <v>2057</v>
      </c>
      <c r="B54" s="27" t="s">
        <v>263</v>
      </c>
      <c r="C54" s="27" t="s">
        <v>49</v>
      </c>
      <c r="D54" s="27">
        <v>0</v>
      </c>
      <c r="E54" s="27">
        <v>0</v>
      </c>
      <c r="F54" s="39">
        <v>0</v>
      </c>
      <c r="G54" s="26">
        <v>0</v>
      </c>
      <c r="H54" s="26">
        <v>0</v>
      </c>
      <c r="I54" s="29">
        <v>0</v>
      </c>
      <c r="J54" s="26">
        <v>37</v>
      </c>
      <c r="K54" s="26">
        <v>555</v>
      </c>
      <c r="L54" s="26">
        <v>0</v>
      </c>
      <c r="M54" s="26">
        <v>0</v>
      </c>
      <c r="N54" s="31">
        <v>40836.9</v>
      </c>
      <c r="O54" s="26">
        <v>17</v>
      </c>
      <c r="P54" s="26">
        <v>255</v>
      </c>
      <c r="Q54" s="49">
        <v>3315</v>
      </c>
      <c r="R54" s="26">
        <v>17</v>
      </c>
      <c r="S54" s="50">
        <v>1267.8421052631579</v>
      </c>
      <c r="T54" s="51">
        <v>45419.742105263162</v>
      </c>
      <c r="U54" s="26">
        <v>0</v>
      </c>
      <c r="V54" s="52">
        <v>0</v>
      </c>
      <c r="X54" s="53">
        <f t="shared" si="1"/>
        <v>36335.793684210534</v>
      </c>
      <c r="AA54" s="49"/>
      <c r="AI54" s="56"/>
      <c r="AJ54" s="56"/>
      <c r="AK54" s="56"/>
    </row>
    <row r="55" spans="1:37" x14ac:dyDescent="0.3">
      <c r="A55" s="26">
        <v>2058</v>
      </c>
      <c r="B55" s="27" t="s">
        <v>264</v>
      </c>
      <c r="C55" s="27" t="s">
        <v>49</v>
      </c>
      <c r="D55" s="27">
        <v>0</v>
      </c>
      <c r="E55" s="27">
        <v>0</v>
      </c>
      <c r="F55" s="39">
        <v>0</v>
      </c>
      <c r="G55" s="26">
        <v>0</v>
      </c>
      <c r="H55" s="26">
        <v>0</v>
      </c>
      <c r="I55" s="29">
        <v>0</v>
      </c>
      <c r="J55" s="26">
        <v>30</v>
      </c>
      <c r="K55" s="26">
        <v>450</v>
      </c>
      <c r="L55" s="26">
        <v>13</v>
      </c>
      <c r="M55" s="26">
        <v>195</v>
      </c>
      <c r="N55" s="31">
        <v>47459.1</v>
      </c>
      <c r="O55" s="26">
        <v>21</v>
      </c>
      <c r="P55" s="26">
        <v>315</v>
      </c>
      <c r="Q55" s="49">
        <v>4095</v>
      </c>
      <c r="R55" s="26">
        <v>16</v>
      </c>
      <c r="S55" s="50">
        <v>1193.2631578947369</v>
      </c>
      <c r="T55" s="51">
        <v>52747.363157894739</v>
      </c>
      <c r="U55" s="26">
        <v>0</v>
      </c>
      <c r="V55" s="52">
        <v>0</v>
      </c>
      <c r="X55" s="53">
        <f t="shared" si="1"/>
        <v>42197.890526315794</v>
      </c>
      <c r="AA55" s="49"/>
      <c r="AI55" s="56"/>
      <c r="AJ55" s="56"/>
      <c r="AK55" s="56"/>
    </row>
    <row r="56" spans="1:37" x14ac:dyDescent="0.3">
      <c r="A56" s="26">
        <v>2059</v>
      </c>
      <c r="B56" s="27" t="s">
        <v>265</v>
      </c>
      <c r="C56" s="27" t="s">
        <v>49</v>
      </c>
      <c r="D56" s="27">
        <v>0</v>
      </c>
      <c r="E56" s="27">
        <v>0</v>
      </c>
      <c r="F56" s="39">
        <v>0</v>
      </c>
      <c r="G56" s="26">
        <v>0</v>
      </c>
      <c r="H56" s="26">
        <v>0</v>
      </c>
      <c r="I56" s="29">
        <v>0</v>
      </c>
      <c r="J56" s="26">
        <v>11</v>
      </c>
      <c r="K56" s="26">
        <v>165</v>
      </c>
      <c r="L56" s="26">
        <v>0</v>
      </c>
      <c r="M56" s="26">
        <v>0</v>
      </c>
      <c r="N56" s="31">
        <v>12140.7</v>
      </c>
      <c r="O56" s="26">
        <v>6</v>
      </c>
      <c r="P56" s="26">
        <v>90</v>
      </c>
      <c r="Q56" s="49">
        <v>1170</v>
      </c>
      <c r="R56" s="26">
        <v>0</v>
      </c>
      <c r="S56" s="50">
        <v>0</v>
      </c>
      <c r="T56" s="51">
        <v>13310.7</v>
      </c>
      <c r="U56" s="26">
        <v>0</v>
      </c>
      <c r="V56" s="52">
        <v>0</v>
      </c>
      <c r="X56" s="53">
        <f t="shared" si="1"/>
        <v>10648.560000000001</v>
      </c>
      <c r="AA56" s="49"/>
      <c r="AI56" s="56"/>
      <c r="AJ56" s="56"/>
      <c r="AK56" s="56"/>
    </row>
    <row r="57" spans="1:37" x14ac:dyDescent="0.3">
      <c r="A57" s="26">
        <v>2060</v>
      </c>
      <c r="B57" s="27" t="s">
        <v>266</v>
      </c>
      <c r="C57" s="27" t="s">
        <v>49</v>
      </c>
      <c r="D57" s="27">
        <v>0</v>
      </c>
      <c r="E57" s="27">
        <v>0</v>
      </c>
      <c r="F57" s="39">
        <v>0</v>
      </c>
      <c r="G57" s="26">
        <v>0</v>
      </c>
      <c r="H57" s="26">
        <v>0</v>
      </c>
      <c r="I57" s="29">
        <v>0</v>
      </c>
      <c r="J57" s="26">
        <v>30</v>
      </c>
      <c r="K57" s="26">
        <v>450</v>
      </c>
      <c r="L57" s="26">
        <v>0</v>
      </c>
      <c r="M57" s="26">
        <v>0</v>
      </c>
      <c r="N57" s="31">
        <v>33111</v>
      </c>
      <c r="O57" s="26">
        <v>17</v>
      </c>
      <c r="P57" s="26">
        <v>255</v>
      </c>
      <c r="Q57" s="49">
        <v>3315</v>
      </c>
      <c r="R57" s="26">
        <v>17</v>
      </c>
      <c r="S57" s="50">
        <v>1267.8421052631579</v>
      </c>
      <c r="T57" s="51">
        <v>37693.84210526316</v>
      </c>
      <c r="U57" s="26">
        <v>0</v>
      </c>
      <c r="V57" s="52">
        <v>0</v>
      </c>
      <c r="X57" s="53">
        <f t="shared" si="1"/>
        <v>30155.073684210529</v>
      </c>
      <c r="AA57" s="49"/>
      <c r="AI57" s="56"/>
      <c r="AJ57" s="56"/>
      <c r="AK57" s="56"/>
    </row>
    <row r="58" spans="1:37" x14ac:dyDescent="0.3">
      <c r="A58" s="26">
        <v>2062</v>
      </c>
      <c r="B58" s="27" t="s">
        <v>31</v>
      </c>
      <c r="C58" s="27" t="s">
        <v>27</v>
      </c>
      <c r="D58" s="27">
        <v>0</v>
      </c>
      <c r="E58" s="27">
        <v>0</v>
      </c>
      <c r="F58" s="39">
        <v>0</v>
      </c>
      <c r="G58" s="26">
        <v>0</v>
      </c>
      <c r="H58" s="26">
        <v>0</v>
      </c>
      <c r="I58" s="29">
        <v>0</v>
      </c>
      <c r="J58" s="26">
        <v>52</v>
      </c>
      <c r="K58" s="26">
        <v>780</v>
      </c>
      <c r="L58" s="26">
        <v>0</v>
      </c>
      <c r="M58" s="26">
        <v>0</v>
      </c>
      <c r="N58" s="31">
        <v>57392.4</v>
      </c>
      <c r="O58" s="26">
        <v>22</v>
      </c>
      <c r="P58" s="26">
        <v>330</v>
      </c>
      <c r="Q58" s="49">
        <v>4290</v>
      </c>
      <c r="R58" s="26">
        <v>0</v>
      </c>
      <c r="S58" s="50">
        <v>0</v>
      </c>
      <c r="T58" s="51">
        <v>61682.400000000001</v>
      </c>
      <c r="U58" s="26">
        <v>0</v>
      </c>
      <c r="V58" s="52">
        <v>0</v>
      </c>
      <c r="X58" s="53">
        <f t="shared" si="1"/>
        <v>49345.920000000006</v>
      </c>
      <c r="Z58" s="54">
        <v>49345.920000000006</v>
      </c>
      <c r="AA58" s="55">
        <f t="shared" ref="AA58:AA59" si="5">Z58-X58</f>
        <v>0</v>
      </c>
      <c r="AD58" s="27" t="s">
        <v>32</v>
      </c>
      <c r="AE58" s="27" t="s">
        <v>30</v>
      </c>
      <c r="AI58" s="56"/>
      <c r="AJ58" s="56"/>
      <c r="AK58" s="56"/>
    </row>
    <row r="59" spans="1:37" x14ac:dyDescent="0.3">
      <c r="A59" s="26">
        <v>2063</v>
      </c>
      <c r="B59" s="27" t="s">
        <v>127</v>
      </c>
      <c r="C59" s="27" t="s">
        <v>27</v>
      </c>
      <c r="D59" s="27">
        <v>0</v>
      </c>
      <c r="E59" s="27">
        <v>0</v>
      </c>
      <c r="F59" s="39">
        <v>0</v>
      </c>
      <c r="G59" s="26">
        <v>0</v>
      </c>
      <c r="H59" s="26">
        <v>0</v>
      </c>
      <c r="I59" s="29">
        <v>0</v>
      </c>
      <c r="J59" s="26">
        <v>31</v>
      </c>
      <c r="K59" s="26">
        <v>465</v>
      </c>
      <c r="L59" s="26">
        <v>0</v>
      </c>
      <c r="M59" s="26">
        <v>0</v>
      </c>
      <c r="N59" s="31">
        <v>34214.700000000004</v>
      </c>
      <c r="O59" s="26">
        <v>18</v>
      </c>
      <c r="P59" s="26">
        <v>270</v>
      </c>
      <c r="Q59" s="49">
        <v>3510</v>
      </c>
      <c r="R59" s="26">
        <v>0</v>
      </c>
      <c r="S59" s="50">
        <v>0</v>
      </c>
      <c r="T59" s="51">
        <v>37724.700000000004</v>
      </c>
      <c r="U59" s="26">
        <v>0</v>
      </c>
      <c r="V59" s="52">
        <v>0</v>
      </c>
      <c r="X59" s="53">
        <f t="shared" si="1"/>
        <v>30179.760000000006</v>
      </c>
      <c r="Z59" s="54">
        <v>30179.760000000006</v>
      </c>
      <c r="AA59" s="55">
        <f t="shared" si="5"/>
        <v>0</v>
      </c>
      <c r="AD59" s="27" t="s">
        <v>32</v>
      </c>
      <c r="AE59" s="27" t="s">
        <v>126</v>
      </c>
      <c r="AI59" s="56"/>
      <c r="AJ59" s="56"/>
      <c r="AK59" s="56"/>
    </row>
    <row r="60" spans="1:37" x14ac:dyDescent="0.3">
      <c r="A60" s="26">
        <v>2064</v>
      </c>
      <c r="B60" s="27" t="s">
        <v>267</v>
      </c>
      <c r="C60" s="27" t="s">
        <v>49</v>
      </c>
      <c r="D60" s="27">
        <v>0</v>
      </c>
      <c r="E60" s="27">
        <v>0</v>
      </c>
      <c r="F60" s="39">
        <v>0</v>
      </c>
      <c r="G60" s="26">
        <v>0</v>
      </c>
      <c r="H60" s="26">
        <v>0</v>
      </c>
      <c r="I60" s="29">
        <v>0</v>
      </c>
      <c r="J60" s="26">
        <v>32</v>
      </c>
      <c r="K60" s="26">
        <v>480</v>
      </c>
      <c r="L60" s="26">
        <v>0</v>
      </c>
      <c r="M60" s="26">
        <v>0</v>
      </c>
      <c r="N60" s="31">
        <v>35318.400000000001</v>
      </c>
      <c r="O60" s="26">
        <v>15</v>
      </c>
      <c r="P60" s="26">
        <v>225</v>
      </c>
      <c r="Q60" s="49">
        <v>2925</v>
      </c>
      <c r="R60" s="26">
        <v>4</v>
      </c>
      <c r="S60" s="50">
        <v>298.31578947368422</v>
      </c>
      <c r="T60" s="51">
        <v>38541.715789473688</v>
      </c>
      <c r="U60" s="26">
        <v>0</v>
      </c>
      <c r="V60" s="52">
        <v>0</v>
      </c>
      <c r="X60" s="53">
        <f t="shared" si="1"/>
        <v>30833.372631578954</v>
      </c>
      <c r="AA60" s="49"/>
      <c r="AI60" s="56"/>
      <c r="AJ60" s="56"/>
      <c r="AK60" s="56"/>
    </row>
    <row r="61" spans="1:37" x14ac:dyDescent="0.3">
      <c r="A61" s="26">
        <v>2065</v>
      </c>
      <c r="B61" s="27" t="s">
        <v>268</v>
      </c>
      <c r="C61" s="27" t="s">
        <v>49</v>
      </c>
      <c r="D61" s="27">
        <v>0</v>
      </c>
      <c r="E61" s="27">
        <v>0</v>
      </c>
      <c r="F61" s="39">
        <v>0</v>
      </c>
      <c r="G61" s="26">
        <v>0</v>
      </c>
      <c r="H61" s="26">
        <v>0</v>
      </c>
      <c r="I61" s="29">
        <v>0</v>
      </c>
      <c r="J61" s="26">
        <v>41</v>
      </c>
      <c r="K61" s="26">
        <v>615</v>
      </c>
      <c r="L61" s="26">
        <v>0</v>
      </c>
      <c r="M61" s="26">
        <v>0</v>
      </c>
      <c r="N61" s="31">
        <v>45251.700000000004</v>
      </c>
      <c r="O61" s="26">
        <v>0</v>
      </c>
      <c r="P61" s="26">
        <v>0</v>
      </c>
      <c r="Q61" s="49">
        <v>0</v>
      </c>
      <c r="R61" s="26">
        <v>0</v>
      </c>
      <c r="S61" s="50">
        <v>0</v>
      </c>
      <c r="T61" s="51">
        <v>45251.700000000004</v>
      </c>
      <c r="U61" s="26">
        <v>0</v>
      </c>
      <c r="V61" s="52">
        <v>0</v>
      </c>
      <c r="X61" s="53">
        <f t="shared" si="1"/>
        <v>36201.360000000008</v>
      </c>
      <c r="AA61" s="49"/>
      <c r="AI61" s="56"/>
      <c r="AJ61" s="56"/>
      <c r="AK61" s="56"/>
    </row>
    <row r="62" spans="1:37" x14ac:dyDescent="0.3">
      <c r="A62" s="26">
        <v>2214</v>
      </c>
      <c r="B62" s="27" t="s">
        <v>269</v>
      </c>
      <c r="C62" s="27" t="s">
        <v>49</v>
      </c>
      <c r="D62" s="27">
        <v>0</v>
      </c>
      <c r="E62" s="27">
        <v>0</v>
      </c>
      <c r="F62" s="39">
        <v>0</v>
      </c>
      <c r="G62" s="26">
        <v>0</v>
      </c>
      <c r="H62" s="26">
        <v>0</v>
      </c>
      <c r="I62" s="29">
        <v>0</v>
      </c>
      <c r="J62" s="26">
        <v>44</v>
      </c>
      <c r="K62" s="26">
        <v>660</v>
      </c>
      <c r="L62" s="26">
        <v>0</v>
      </c>
      <c r="M62" s="26">
        <v>0</v>
      </c>
      <c r="N62" s="31">
        <v>48562.8</v>
      </c>
      <c r="O62" s="26">
        <v>20</v>
      </c>
      <c r="P62" s="26">
        <v>300</v>
      </c>
      <c r="Q62" s="49">
        <v>3900</v>
      </c>
      <c r="R62" s="26">
        <v>0</v>
      </c>
      <c r="S62" s="50">
        <v>0</v>
      </c>
      <c r="T62" s="51">
        <v>52462.8</v>
      </c>
      <c r="U62" s="26">
        <v>0</v>
      </c>
      <c r="V62" s="52">
        <v>0</v>
      </c>
      <c r="X62" s="53">
        <f t="shared" si="1"/>
        <v>41970.240000000005</v>
      </c>
      <c r="AA62" s="49"/>
      <c r="AI62" s="56"/>
      <c r="AJ62" s="56"/>
      <c r="AK62" s="56"/>
    </row>
    <row r="63" spans="1:37" x14ac:dyDescent="0.3">
      <c r="A63" s="26">
        <v>2068</v>
      </c>
      <c r="B63" s="27" t="s">
        <v>270</v>
      </c>
      <c r="C63" s="27" t="s">
        <v>49</v>
      </c>
      <c r="D63" s="27">
        <v>0</v>
      </c>
      <c r="E63" s="27">
        <v>0</v>
      </c>
      <c r="F63" s="39">
        <v>0</v>
      </c>
      <c r="G63" s="26">
        <v>0</v>
      </c>
      <c r="H63" s="26">
        <v>0</v>
      </c>
      <c r="I63" s="29">
        <v>0</v>
      </c>
      <c r="J63" s="26">
        <v>31</v>
      </c>
      <c r="K63" s="26">
        <v>465</v>
      </c>
      <c r="L63" s="26">
        <v>7</v>
      </c>
      <c r="M63" s="26">
        <v>105</v>
      </c>
      <c r="N63" s="31">
        <v>41940.600000000006</v>
      </c>
      <c r="O63" s="26">
        <v>14</v>
      </c>
      <c r="P63" s="26">
        <v>210</v>
      </c>
      <c r="Q63" s="49">
        <v>2730</v>
      </c>
      <c r="R63" s="26">
        <v>14</v>
      </c>
      <c r="S63" s="50">
        <v>1044.1052631578948</v>
      </c>
      <c r="T63" s="51">
        <v>45714.705263157899</v>
      </c>
      <c r="U63" s="26">
        <v>0</v>
      </c>
      <c r="V63" s="52">
        <v>0</v>
      </c>
      <c r="X63" s="53">
        <f t="shared" si="1"/>
        <v>36571.764210526322</v>
      </c>
      <c r="AA63" s="49"/>
      <c r="AI63" s="56"/>
      <c r="AJ63" s="56"/>
      <c r="AK63" s="56"/>
    </row>
    <row r="64" spans="1:37" x14ac:dyDescent="0.3">
      <c r="A64" s="26">
        <v>2070</v>
      </c>
      <c r="B64" s="27" t="s">
        <v>271</v>
      </c>
      <c r="C64" s="27" t="s">
        <v>49</v>
      </c>
      <c r="D64" s="27">
        <v>0</v>
      </c>
      <c r="E64" s="27">
        <v>0</v>
      </c>
      <c r="F64" s="39">
        <v>0</v>
      </c>
      <c r="G64" s="26">
        <v>0</v>
      </c>
      <c r="H64" s="26">
        <v>0</v>
      </c>
      <c r="I64" s="29">
        <v>0</v>
      </c>
      <c r="J64" s="26">
        <v>21</v>
      </c>
      <c r="K64" s="26">
        <v>315</v>
      </c>
      <c r="L64" s="26">
        <v>0</v>
      </c>
      <c r="M64" s="26">
        <v>0</v>
      </c>
      <c r="N64" s="31">
        <v>23177.7</v>
      </c>
      <c r="O64" s="26">
        <v>11</v>
      </c>
      <c r="P64" s="26">
        <v>165</v>
      </c>
      <c r="Q64" s="49">
        <v>2145</v>
      </c>
      <c r="R64" s="26">
        <v>11</v>
      </c>
      <c r="S64" s="50">
        <v>820.36842105263156</v>
      </c>
      <c r="T64" s="51">
        <v>26143.068421052631</v>
      </c>
      <c r="U64" s="26">
        <v>0</v>
      </c>
      <c r="V64" s="52">
        <v>0</v>
      </c>
      <c r="X64" s="53">
        <f t="shared" si="1"/>
        <v>20914.454736842104</v>
      </c>
      <c r="AA64" s="49"/>
      <c r="AI64" s="56"/>
      <c r="AJ64" s="56"/>
      <c r="AK64" s="56"/>
    </row>
    <row r="65" spans="1:37" x14ac:dyDescent="0.3">
      <c r="A65" s="26">
        <v>2072</v>
      </c>
      <c r="B65" s="27" t="s">
        <v>272</v>
      </c>
      <c r="C65" s="27" t="s">
        <v>49</v>
      </c>
      <c r="D65" s="27">
        <v>0</v>
      </c>
      <c r="E65" s="27">
        <v>0</v>
      </c>
      <c r="F65" s="39">
        <v>0</v>
      </c>
      <c r="G65" s="26">
        <v>0</v>
      </c>
      <c r="H65" s="26">
        <v>0</v>
      </c>
      <c r="I65" s="29">
        <v>0</v>
      </c>
      <c r="J65" s="26">
        <v>52</v>
      </c>
      <c r="K65" s="26">
        <v>780</v>
      </c>
      <c r="L65" s="26">
        <v>11</v>
      </c>
      <c r="M65" s="26">
        <v>165</v>
      </c>
      <c r="N65" s="31">
        <v>69533.100000000006</v>
      </c>
      <c r="O65" s="26">
        <v>23</v>
      </c>
      <c r="P65" s="26">
        <v>345</v>
      </c>
      <c r="Q65" s="49">
        <v>4485</v>
      </c>
      <c r="R65" s="26">
        <v>9</v>
      </c>
      <c r="S65" s="50">
        <v>671.21052631578948</v>
      </c>
      <c r="T65" s="51">
        <v>74689.310526315792</v>
      </c>
      <c r="U65" s="26">
        <v>0</v>
      </c>
      <c r="V65" s="52">
        <v>0</v>
      </c>
      <c r="X65" s="53">
        <f t="shared" si="1"/>
        <v>59751.448421052635</v>
      </c>
      <c r="AA65" s="49"/>
      <c r="AI65" s="56"/>
      <c r="AJ65" s="56"/>
      <c r="AK65" s="56"/>
    </row>
    <row r="66" spans="1:37" x14ac:dyDescent="0.3">
      <c r="A66" s="26">
        <v>2073</v>
      </c>
      <c r="B66" s="27" t="s">
        <v>273</v>
      </c>
      <c r="C66" s="27" t="s">
        <v>49</v>
      </c>
      <c r="D66" s="27">
        <v>0</v>
      </c>
      <c r="E66" s="27">
        <v>0</v>
      </c>
      <c r="F66" s="39">
        <v>0</v>
      </c>
      <c r="G66" s="26">
        <v>0</v>
      </c>
      <c r="H66" s="26">
        <v>0</v>
      </c>
      <c r="I66" s="29">
        <v>0</v>
      </c>
      <c r="J66" s="26">
        <v>53</v>
      </c>
      <c r="K66" s="26">
        <v>795</v>
      </c>
      <c r="L66" s="26">
        <v>11</v>
      </c>
      <c r="M66" s="26">
        <v>165</v>
      </c>
      <c r="N66" s="31">
        <v>70636.800000000003</v>
      </c>
      <c r="O66" s="26">
        <v>27</v>
      </c>
      <c r="P66" s="26">
        <v>405</v>
      </c>
      <c r="Q66" s="49">
        <v>5265</v>
      </c>
      <c r="R66" s="26">
        <v>12</v>
      </c>
      <c r="S66" s="50">
        <v>894.94736842105272</v>
      </c>
      <c r="T66" s="51">
        <v>76796.747368421056</v>
      </c>
      <c r="U66" s="26">
        <v>0</v>
      </c>
      <c r="V66" s="52">
        <v>0</v>
      </c>
      <c r="X66" s="53">
        <f t="shared" si="1"/>
        <v>61437.397894736845</v>
      </c>
      <c r="AA66" s="49"/>
      <c r="AI66" s="56"/>
      <c r="AJ66" s="56"/>
      <c r="AK66" s="56"/>
    </row>
    <row r="67" spans="1:37" x14ac:dyDescent="0.3">
      <c r="A67" s="26">
        <v>2075</v>
      </c>
      <c r="B67" s="27" t="s">
        <v>274</v>
      </c>
      <c r="C67" s="27" t="s">
        <v>49</v>
      </c>
      <c r="D67" s="27">
        <v>0</v>
      </c>
      <c r="E67" s="27">
        <v>0</v>
      </c>
      <c r="F67" s="39">
        <v>0</v>
      </c>
      <c r="G67" s="26">
        <v>0</v>
      </c>
      <c r="H67" s="26">
        <v>0</v>
      </c>
      <c r="I67" s="29">
        <v>0</v>
      </c>
      <c r="J67" s="26">
        <v>36</v>
      </c>
      <c r="K67" s="26">
        <v>540</v>
      </c>
      <c r="L67" s="26">
        <v>0</v>
      </c>
      <c r="M67" s="26">
        <v>0</v>
      </c>
      <c r="N67" s="31">
        <v>39733.200000000004</v>
      </c>
      <c r="O67" s="26">
        <v>1</v>
      </c>
      <c r="P67" s="26">
        <v>15</v>
      </c>
      <c r="Q67" s="49">
        <v>195</v>
      </c>
      <c r="R67" s="26">
        <v>0</v>
      </c>
      <c r="S67" s="50">
        <v>0</v>
      </c>
      <c r="T67" s="51">
        <v>39928.200000000004</v>
      </c>
      <c r="U67" s="26">
        <v>0</v>
      </c>
      <c r="V67" s="52">
        <v>0</v>
      </c>
      <c r="X67" s="53">
        <f t="shared" si="1"/>
        <v>31942.560000000005</v>
      </c>
      <c r="AA67" s="49"/>
      <c r="AI67" s="56"/>
      <c r="AJ67" s="56"/>
      <c r="AK67" s="56"/>
    </row>
    <row r="68" spans="1:37" x14ac:dyDescent="0.3">
      <c r="A68" s="26">
        <v>2078</v>
      </c>
      <c r="B68" s="27" t="s">
        <v>275</v>
      </c>
      <c r="C68" s="27" t="s">
        <v>49</v>
      </c>
      <c r="D68" s="27">
        <v>0</v>
      </c>
      <c r="E68" s="27">
        <v>0</v>
      </c>
      <c r="F68" s="39">
        <v>0</v>
      </c>
      <c r="G68" s="26">
        <v>0</v>
      </c>
      <c r="H68" s="26">
        <v>0</v>
      </c>
      <c r="I68" s="29">
        <v>0</v>
      </c>
      <c r="J68" s="26">
        <v>30</v>
      </c>
      <c r="K68" s="26">
        <v>436.8</v>
      </c>
      <c r="L68" s="26">
        <v>11</v>
      </c>
      <c r="M68" s="26">
        <v>151</v>
      </c>
      <c r="N68" s="31">
        <v>43250.324000000001</v>
      </c>
      <c r="O68" s="26">
        <v>6</v>
      </c>
      <c r="P68" s="26">
        <v>90</v>
      </c>
      <c r="Q68" s="49">
        <v>1170</v>
      </c>
      <c r="R68" s="26">
        <v>6</v>
      </c>
      <c r="S68" s="50">
        <v>447.47368421052636</v>
      </c>
      <c r="T68" s="51">
        <v>44867.797684210527</v>
      </c>
      <c r="U68" s="26">
        <v>0</v>
      </c>
      <c r="V68" s="52">
        <v>0</v>
      </c>
      <c r="X68" s="53">
        <f t="shared" si="1"/>
        <v>35894.238147368422</v>
      </c>
      <c r="AA68" s="49"/>
      <c r="AI68" s="56"/>
      <c r="AJ68" s="56"/>
      <c r="AK68" s="56"/>
    </row>
    <row r="69" spans="1:37" x14ac:dyDescent="0.3">
      <c r="A69" s="26">
        <v>2082</v>
      </c>
      <c r="B69" s="27" t="s">
        <v>276</v>
      </c>
      <c r="C69" s="27" t="s">
        <v>49</v>
      </c>
      <c r="D69" s="27">
        <v>0</v>
      </c>
      <c r="E69" s="27">
        <v>0</v>
      </c>
      <c r="F69" s="39">
        <v>0</v>
      </c>
      <c r="G69" s="26">
        <v>0</v>
      </c>
      <c r="H69" s="26">
        <v>0</v>
      </c>
      <c r="I69" s="29">
        <v>0</v>
      </c>
      <c r="J69" s="26">
        <v>26</v>
      </c>
      <c r="K69" s="26">
        <v>390</v>
      </c>
      <c r="L69" s="26">
        <v>0</v>
      </c>
      <c r="M69" s="26">
        <v>0</v>
      </c>
      <c r="N69" s="31">
        <v>28696.2</v>
      </c>
      <c r="O69" s="26">
        <v>12</v>
      </c>
      <c r="P69" s="26">
        <v>180</v>
      </c>
      <c r="Q69" s="49">
        <v>2340</v>
      </c>
      <c r="R69" s="26">
        <v>0</v>
      </c>
      <c r="S69" s="50">
        <v>0</v>
      </c>
      <c r="T69" s="51">
        <v>31036.2</v>
      </c>
      <c r="U69" s="26">
        <v>0</v>
      </c>
      <c r="V69" s="52">
        <v>0</v>
      </c>
      <c r="X69" s="53">
        <f t="shared" si="1"/>
        <v>24828.960000000003</v>
      </c>
      <c r="AA69" s="49"/>
      <c r="AI69" s="56"/>
      <c r="AJ69" s="56"/>
      <c r="AK69" s="56"/>
    </row>
    <row r="70" spans="1:37" x14ac:dyDescent="0.3">
      <c r="A70" s="26">
        <v>2086</v>
      </c>
      <c r="B70" s="27" t="s">
        <v>277</v>
      </c>
      <c r="C70" s="27" t="s">
        <v>49</v>
      </c>
      <c r="D70" s="27">
        <v>0</v>
      </c>
      <c r="E70" s="27">
        <v>0</v>
      </c>
      <c r="F70" s="39">
        <v>0</v>
      </c>
      <c r="G70" s="26">
        <v>0</v>
      </c>
      <c r="H70" s="26">
        <v>0</v>
      </c>
      <c r="I70" s="29">
        <v>0</v>
      </c>
      <c r="J70" s="26">
        <v>40</v>
      </c>
      <c r="K70" s="26">
        <v>600</v>
      </c>
      <c r="L70" s="26">
        <v>0</v>
      </c>
      <c r="M70" s="26">
        <v>0</v>
      </c>
      <c r="N70" s="31">
        <v>44148</v>
      </c>
      <c r="O70" s="26">
        <v>5</v>
      </c>
      <c r="P70" s="26">
        <v>75</v>
      </c>
      <c r="Q70" s="49">
        <v>975</v>
      </c>
      <c r="R70" s="26">
        <v>0</v>
      </c>
      <c r="S70" s="50">
        <v>0</v>
      </c>
      <c r="T70" s="51">
        <v>45123</v>
      </c>
      <c r="U70" s="26">
        <v>0</v>
      </c>
      <c r="V70" s="52">
        <v>0</v>
      </c>
      <c r="X70" s="53">
        <f t="shared" si="1"/>
        <v>36098.400000000001</v>
      </c>
      <c r="AA70" s="49"/>
      <c r="AI70" s="56"/>
      <c r="AJ70" s="56"/>
      <c r="AK70" s="56"/>
    </row>
    <row r="71" spans="1:37" x14ac:dyDescent="0.3">
      <c r="A71" s="26">
        <v>2093</v>
      </c>
      <c r="B71" s="27" t="s">
        <v>278</v>
      </c>
      <c r="C71" s="27" t="s">
        <v>27</v>
      </c>
      <c r="D71" s="27">
        <v>0</v>
      </c>
      <c r="E71" s="27">
        <v>0</v>
      </c>
      <c r="F71" s="39">
        <v>0</v>
      </c>
      <c r="G71" s="26">
        <v>0</v>
      </c>
      <c r="H71" s="26">
        <v>0</v>
      </c>
      <c r="I71" s="29">
        <v>0</v>
      </c>
      <c r="J71" s="26">
        <v>52</v>
      </c>
      <c r="K71" s="26">
        <v>780</v>
      </c>
      <c r="L71" s="26">
        <v>0</v>
      </c>
      <c r="M71" s="26">
        <v>0</v>
      </c>
      <c r="N71" s="31">
        <v>57392.4</v>
      </c>
      <c r="O71" s="26">
        <v>7</v>
      </c>
      <c r="P71" s="26">
        <v>105</v>
      </c>
      <c r="Q71" s="49">
        <v>1365</v>
      </c>
      <c r="R71" s="26">
        <v>0</v>
      </c>
      <c r="S71" s="50">
        <v>0</v>
      </c>
      <c r="T71" s="51">
        <v>58757.4</v>
      </c>
      <c r="U71" s="26">
        <v>0</v>
      </c>
      <c r="V71" s="52">
        <v>0</v>
      </c>
      <c r="X71" s="53">
        <f t="shared" si="1"/>
        <v>47005.920000000006</v>
      </c>
      <c r="Z71" s="54">
        <v>47005.920000000006</v>
      </c>
      <c r="AA71" s="55">
        <f>Z71-X71</f>
        <v>0</v>
      </c>
      <c r="AD71" s="27" t="s">
        <v>32</v>
      </c>
      <c r="AE71" s="27" t="s">
        <v>84</v>
      </c>
      <c r="AI71" s="56"/>
      <c r="AJ71" s="56"/>
      <c r="AK71" s="56"/>
    </row>
    <row r="72" spans="1:37" x14ac:dyDescent="0.3">
      <c r="A72" s="26">
        <v>2096</v>
      </c>
      <c r="B72" s="27" t="s">
        <v>279</v>
      </c>
      <c r="C72" s="27" t="s">
        <v>49</v>
      </c>
      <c r="D72" s="27">
        <v>0</v>
      </c>
      <c r="E72" s="27">
        <v>0</v>
      </c>
      <c r="F72" s="39">
        <v>0</v>
      </c>
      <c r="G72" s="26">
        <v>0</v>
      </c>
      <c r="H72" s="26">
        <v>0</v>
      </c>
      <c r="I72" s="29">
        <v>0</v>
      </c>
      <c r="J72" s="26">
        <v>26</v>
      </c>
      <c r="K72" s="26">
        <v>390</v>
      </c>
      <c r="L72" s="26">
        <v>0</v>
      </c>
      <c r="M72" s="26">
        <v>0</v>
      </c>
      <c r="N72" s="31">
        <v>28696.2</v>
      </c>
      <c r="O72" s="26">
        <v>8</v>
      </c>
      <c r="P72" s="26">
        <v>120</v>
      </c>
      <c r="Q72" s="49">
        <v>1560</v>
      </c>
      <c r="R72" s="26">
        <v>0</v>
      </c>
      <c r="S72" s="50">
        <v>0</v>
      </c>
      <c r="T72" s="51">
        <v>30256.2</v>
      </c>
      <c r="U72" s="26">
        <v>0</v>
      </c>
      <c r="V72" s="52">
        <v>0</v>
      </c>
      <c r="X72" s="53">
        <f t="shared" ref="X72:X135" si="6">(T72+V72)*0.8</f>
        <v>24204.960000000003</v>
      </c>
      <c r="AA72" s="49"/>
      <c r="AI72" s="56"/>
      <c r="AJ72" s="56"/>
      <c r="AK72" s="56"/>
    </row>
    <row r="73" spans="1:37" x14ac:dyDescent="0.3">
      <c r="A73" s="26">
        <v>2097</v>
      </c>
      <c r="B73" s="27" t="s">
        <v>280</v>
      </c>
      <c r="C73" s="27" t="s">
        <v>49</v>
      </c>
      <c r="D73" s="27">
        <v>0</v>
      </c>
      <c r="E73" s="27">
        <v>0</v>
      </c>
      <c r="F73" s="39">
        <v>0</v>
      </c>
      <c r="G73" s="26">
        <v>0</v>
      </c>
      <c r="H73" s="26">
        <v>0</v>
      </c>
      <c r="I73" s="29">
        <v>0</v>
      </c>
      <c r="J73" s="26">
        <v>22</v>
      </c>
      <c r="K73" s="26">
        <v>330</v>
      </c>
      <c r="L73" s="26">
        <v>6</v>
      </c>
      <c r="M73" s="26">
        <v>90</v>
      </c>
      <c r="N73" s="31">
        <v>30903.600000000002</v>
      </c>
      <c r="O73" s="26">
        <v>4</v>
      </c>
      <c r="P73" s="26">
        <v>60</v>
      </c>
      <c r="Q73" s="49">
        <v>780</v>
      </c>
      <c r="R73" s="26">
        <v>0</v>
      </c>
      <c r="S73" s="50">
        <v>0</v>
      </c>
      <c r="T73" s="51">
        <v>31683.600000000002</v>
      </c>
      <c r="U73" s="26">
        <v>0</v>
      </c>
      <c r="V73" s="52">
        <v>0</v>
      </c>
      <c r="X73" s="53">
        <f t="shared" si="6"/>
        <v>25346.880000000005</v>
      </c>
      <c r="AA73" s="49"/>
      <c r="AI73" s="56"/>
      <c r="AJ73" s="56"/>
      <c r="AK73" s="56"/>
    </row>
    <row r="74" spans="1:37" x14ac:dyDescent="0.3">
      <c r="A74" s="26">
        <v>2098</v>
      </c>
      <c r="B74" s="27" t="s">
        <v>281</v>
      </c>
      <c r="C74" s="27" t="s">
        <v>49</v>
      </c>
      <c r="D74" s="27">
        <v>0</v>
      </c>
      <c r="E74" s="27">
        <v>0</v>
      </c>
      <c r="F74" s="39">
        <v>0</v>
      </c>
      <c r="G74" s="26">
        <v>0</v>
      </c>
      <c r="H74" s="26">
        <v>0</v>
      </c>
      <c r="I74" s="29">
        <v>0</v>
      </c>
      <c r="J74" s="26">
        <v>26</v>
      </c>
      <c r="K74" s="26">
        <v>390</v>
      </c>
      <c r="L74" s="26">
        <v>0</v>
      </c>
      <c r="M74" s="26">
        <v>0</v>
      </c>
      <c r="N74" s="31">
        <v>28696.2</v>
      </c>
      <c r="O74" s="26">
        <v>14</v>
      </c>
      <c r="P74" s="26">
        <v>210</v>
      </c>
      <c r="Q74" s="49">
        <v>2730</v>
      </c>
      <c r="R74" s="26">
        <v>0</v>
      </c>
      <c r="S74" s="50">
        <v>0</v>
      </c>
      <c r="T74" s="51">
        <v>31426.2</v>
      </c>
      <c r="U74" s="26">
        <v>0</v>
      </c>
      <c r="V74" s="52">
        <v>0</v>
      </c>
      <c r="X74" s="53">
        <f t="shared" si="6"/>
        <v>25140.960000000003</v>
      </c>
      <c r="AA74" s="49"/>
      <c r="AI74" s="56"/>
      <c r="AJ74" s="56"/>
      <c r="AK74" s="56"/>
    </row>
    <row r="75" spans="1:37" x14ac:dyDescent="0.3">
      <c r="A75" s="26">
        <v>2099</v>
      </c>
      <c r="B75" s="27" t="s">
        <v>87</v>
      </c>
      <c r="C75" s="27" t="s">
        <v>27</v>
      </c>
      <c r="D75" s="27">
        <v>0</v>
      </c>
      <c r="E75" s="27">
        <v>0</v>
      </c>
      <c r="F75" s="39">
        <v>0</v>
      </c>
      <c r="G75" s="26">
        <v>0</v>
      </c>
      <c r="H75" s="26">
        <v>0</v>
      </c>
      <c r="I75" s="29">
        <v>0</v>
      </c>
      <c r="J75" s="26">
        <v>25</v>
      </c>
      <c r="K75" s="26">
        <v>375</v>
      </c>
      <c r="L75" s="26">
        <v>0</v>
      </c>
      <c r="M75" s="26">
        <v>0</v>
      </c>
      <c r="N75" s="31">
        <v>27592.5</v>
      </c>
      <c r="O75" s="26">
        <v>12</v>
      </c>
      <c r="P75" s="26">
        <v>180</v>
      </c>
      <c r="Q75" s="49">
        <v>2340</v>
      </c>
      <c r="R75" s="26">
        <v>0</v>
      </c>
      <c r="S75" s="50">
        <v>0</v>
      </c>
      <c r="T75" s="51">
        <v>29932.5</v>
      </c>
      <c r="U75" s="26">
        <v>0</v>
      </c>
      <c r="V75" s="52">
        <v>0</v>
      </c>
      <c r="X75" s="53">
        <f t="shared" si="6"/>
        <v>23946</v>
      </c>
      <c r="Z75" s="54">
        <v>23946</v>
      </c>
      <c r="AA75" s="55">
        <f>Z75-X75</f>
        <v>0</v>
      </c>
      <c r="AD75" s="27" t="s">
        <v>32</v>
      </c>
      <c r="AE75" s="27" t="s">
        <v>86</v>
      </c>
      <c r="AI75" s="56"/>
      <c r="AJ75" s="56"/>
      <c r="AK75" s="56"/>
    </row>
    <row r="76" spans="1:37" x14ac:dyDescent="0.3">
      <c r="A76" s="26">
        <v>2100</v>
      </c>
      <c r="B76" s="27" t="s">
        <v>282</v>
      </c>
      <c r="C76" s="27" t="s">
        <v>49</v>
      </c>
      <c r="D76" s="27">
        <v>0</v>
      </c>
      <c r="E76" s="27">
        <v>0</v>
      </c>
      <c r="F76" s="39">
        <v>0</v>
      </c>
      <c r="G76" s="26">
        <v>0</v>
      </c>
      <c r="H76" s="26">
        <v>0</v>
      </c>
      <c r="I76" s="29">
        <v>0</v>
      </c>
      <c r="J76" s="26">
        <v>26</v>
      </c>
      <c r="K76" s="26">
        <v>390</v>
      </c>
      <c r="L76" s="26">
        <v>0</v>
      </c>
      <c r="M76" s="26">
        <v>0</v>
      </c>
      <c r="N76" s="31">
        <v>28696.2</v>
      </c>
      <c r="O76" s="26">
        <v>19</v>
      </c>
      <c r="P76" s="26">
        <v>285</v>
      </c>
      <c r="Q76" s="49">
        <v>3705</v>
      </c>
      <c r="R76" s="26">
        <v>0</v>
      </c>
      <c r="S76" s="50">
        <v>0</v>
      </c>
      <c r="T76" s="51">
        <v>32401.200000000001</v>
      </c>
      <c r="U76" s="26">
        <v>0</v>
      </c>
      <c r="V76" s="52">
        <v>0</v>
      </c>
      <c r="X76" s="53">
        <f t="shared" si="6"/>
        <v>25920.960000000003</v>
      </c>
      <c r="AA76" s="49"/>
      <c r="AI76" s="56"/>
      <c r="AJ76" s="56"/>
      <c r="AK76" s="56"/>
    </row>
    <row r="77" spans="1:37" x14ac:dyDescent="0.3">
      <c r="A77" s="26">
        <v>2102</v>
      </c>
      <c r="B77" s="27" t="s">
        <v>283</v>
      </c>
      <c r="C77" s="27" t="s">
        <v>49</v>
      </c>
      <c r="D77" s="27">
        <v>0</v>
      </c>
      <c r="E77" s="27">
        <v>0</v>
      </c>
      <c r="F77" s="39">
        <v>0</v>
      </c>
      <c r="G77" s="26">
        <v>0</v>
      </c>
      <c r="H77" s="26">
        <v>0</v>
      </c>
      <c r="I77" s="29">
        <v>0</v>
      </c>
      <c r="J77" s="26">
        <v>29</v>
      </c>
      <c r="K77" s="26">
        <v>435</v>
      </c>
      <c r="L77" s="26">
        <v>0</v>
      </c>
      <c r="M77" s="26">
        <v>0</v>
      </c>
      <c r="N77" s="31">
        <v>32007.3</v>
      </c>
      <c r="O77" s="26">
        <v>14</v>
      </c>
      <c r="P77" s="26">
        <v>210</v>
      </c>
      <c r="Q77" s="49">
        <v>2730</v>
      </c>
      <c r="R77" s="26">
        <v>0</v>
      </c>
      <c r="S77" s="50">
        <v>0</v>
      </c>
      <c r="T77" s="51">
        <v>34737.300000000003</v>
      </c>
      <c r="U77" s="26">
        <v>0</v>
      </c>
      <c r="V77" s="52">
        <v>0</v>
      </c>
      <c r="X77" s="53">
        <f t="shared" si="6"/>
        <v>27789.840000000004</v>
      </c>
      <c r="AA77" s="49"/>
      <c r="AI77" s="56"/>
      <c r="AJ77" s="56"/>
      <c r="AK77" s="56"/>
    </row>
    <row r="78" spans="1:37" x14ac:dyDescent="0.3">
      <c r="A78" s="26">
        <v>2103</v>
      </c>
      <c r="B78" s="27" t="s">
        <v>284</v>
      </c>
      <c r="C78" s="27" t="s">
        <v>49</v>
      </c>
      <c r="D78" s="27">
        <v>0</v>
      </c>
      <c r="E78" s="27">
        <v>0</v>
      </c>
      <c r="F78" s="39">
        <v>0</v>
      </c>
      <c r="G78" s="26">
        <v>0</v>
      </c>
      <c r="H78" s="26">
        <v>0</v>
      </c>
      <c r="I78" s="29">
        <v>0</v>
      </c>
      <c r="J78" s="26">
        <v>40</v>
      </c>
      <c r="K78" s="26">
        <v>600</v>
      </c>
      <c r="L78" s="26">
        <v>19</v>
      </c>
      <c r="M78" s="26">
        <v>270</v>
      </c>
      <c r="N78" s="31">
        <v>64014.600000000006</v>
      </c>
      <c r="O78" s="26">
        <v>20</v>
      </c>
      <c r="P78" s="26">
        <v>300</v>
      </c>
      <c r="Q78" s="49">
        <v>3900</v>
      </c>
      <c r="R78" s="26">
        <v>4</v>
      </c>
      <c r="S78" s="50">
        <v>298.31578947368422</v>
      </c>
      <c r="T78" s="51">
        <v>68212.915789473685</v>
      </c>
      <c r="U78" s="26">
        <v>0</v>
      </c>
      <c r="V78" s="52">
        <v>0</v>
      </c>
      <c r="X78" s="53">
        <f t="shared" si="6"/>
        <v>54570.332631578953</v>
      </c>
      <c r="AA78" s="49"/>
      <c r="AI78" s="56"/>
      <c r="AJ78" s="56"/>
      <c r="AK78" s="56"/>
    </row>
    <row r="79" spans="1:37" x14ac:dyDescent="0.3">
      <c r="A79" s="26">
        <v>2108</v>
      </c>
      <c r="B79" s="27" t="s">
        <v>161</v>
      </c>
      <c r="C79" s="27" t="s">
        <v>27</v>
      </c>
      <c r="D79" s="27">
        <v>0</v>
      </c>
      <c r="E79" s="27">
        <v>0</v>
      </c>
      <c r="F79" s="39">
        <v>0</v>
      </c>
      <c r="G79" s="26">
        <v>0</v>
      </c>
      <c r="H79" s="26">
        <v>0</v>
      </c>
      <c r="I79" s="29">
        <v>0</v>
      </c>
      <c r="J79" s="26">
        <v>52</v>
      </c>
      <c r="K79" s="26">
        <v>780</v>
      </c>
      <c r="L79" s="26">
        <v>0</v>
      </c>
      <c r="M79" s="26">
        <v>0</v>
      </c>
      <c r="N79" s="31">
        <v>57392.4</v>
      </c>
      <c r="O79" s="26">
        <v>0</v>
      </c>
      <c r="P79" s="26">
        <v>0</v>
      </c>
      <c r="Q79" s="49">
        <v>0</v>
      </c>
      <c r="R79" s="26">
        <v>0</v>
      </c>
      <c r="S79" s="50">
        <v>0</v>
      </c>
      <c r="T79" s="51">
        <v>57392.4</v>
      </c>
      <c r="U79" s="26">
        <v>0</v>
      </c>
      <c r="V79" s="52">
        <v>0</v>
      </c>
      <c r="X79" s="53">
        <f t="shared" si="6"/>
        <v>45913.920000000006</v>
      </c>
      <c r="Z79" s="54">
        <v>45913.920000000006</v>
      </c>
      <c r="AA79" s="55">
        <f>Z79-X79</f>
        <v>0</v>
      </c>
      <c r="AD79" s="27" t="s">
        <v>32</v>
      </c>
      <c r="AE79" s="27" t="s">
        <v>160</v>
      </c>
      <c r="AI79" s="56"/>
      <c r="AJ79" s="56"/>
      <c r="AK79" s="56"/>
    </row>
    <row r="80" spans="1:37" x14ac:dyDescent="0.3">
      <c r="A80" s="26">
        <v>2109</v>
      </c>
      <c r="B80" s="27" t="s">
        <v>285</v>
      </c>
      <c r="C80" s="27" t="s">
        <v>49</v>
      </c>
      <c r="D80" s="27">
        <v>0</v>
      </c>
      <c r="E80" s="27">
        <v>0</v>
      </c>
      <c r="F80" s="39">
        <v>0</v>
      </c>
      <c r="G80" s="26">
        <v>0</v>
      </c>
      <c r="H80" s="26">
        <v>0</v>
      </c>
      <c r="I80" s="29">
        <v>0</v>
      </c>
      <c r="J80" s="26">
        <v>24</v>
      </c>
      <c r="K80" s="26">
        <v>360</v>
      </c>
      <c r="L80" s="26">
        <v>0</v>
      </c>
      <c r="M80" s="26">
        <v>0</v>
      </c>
      <c r="N80" s="31">
        <v>26488.799999999999</v>
      </c>
      <c r="O80" s="26">
        <v>0</v>
      </c>
      <c r="P80" s="26">
        <v>0</v>
      </c>
      <c r="Q80" s="49">
        <v>0</v>
      </c>
      <c r="R80" s="26">
        <v>0</v>
      </c>
      <c r="S80" s="50">
        <v>0</v>
      </c>
      <c r="T80" s="51">
        <v>26488.799999999999</v>
      </c>
      <c r="U80" s="26">
        <v>0</v>
      </c>
      <c r="V80" s="52">
        <v>0</v>
      </c>
      <c r="X80" s="53">
        <f t="shared" si="6"/>
        <v>21191.040000000001</v>
      </c>
      <c r="AA80" s="49"/>
      <c r="AI80" s="56"/>
      <c r="AJ80" s="56"/>
      <c r="AK80" s="56"/>
    </row>
    <row r="81" spans="1:37" x14ac:dyDescent="0.3">
      <c r="A81" s="26">
        <v>2110</v>
      </c>
      <c r="B81" s="27" t="s">
        <v>286</v>
      </c>
      <c r="C81" s="27" t="s">
        <v>49</v>
      </c>
      <c r="D81" s="27">
        <v>0</v>
      </c>
      <c r="E81" s="27">
        <v>0</v>
      </c>
      <c r="F81" s="39">
        <v>0</v>
      </c>
      <c r="G81" s="26">
        <v>0</v>
      </c>
      <c r="H81" s="26">
        <v>0</v>
      </c>
      <c r="I81" s="29">
        <v>0</v>
      </c>
      <c r="J81" s="26">
        <v>64</v>
      </c>
      <c r="K81" s="26">
        <v>960</v>
      </c>
      <c r="L81" s="26">
        <v>0</v>
      </c>
      <c r="M81" s="26">
        <v>0</v>
      </c>
      <c r="N81" s="31">
        <v>70636.800000000003</v>
      </c>
      <c r="O81" s="26">
        <v>8</v>
      </c>
      <c r="P81" s="26">
        <v>120</v>
      </c>
      <c r="Q81" s="49">
        <v>1560</v>
      </c>
      <c r="R81" s="26">
        <v>0</v>
      </c>
      <c r="S81" s="50">
        <v>0</v>
      </c>
      <c r="T81" s="51">
        <v>72196.800000000003</v>
      </c>
      <c r="U81" s="26">
        <v>0</v>
      </c>
      <c r="V81" s="52">
        <v>0</v>
      </c>
      <c r="X81" s="53">
        <f t="shared" si="6"/>
        <v>57757.440000000002</v>
      </c>
      <c r="AA81" s="49"/>
      <c r="AI81" s="56"/>
      <c r="AJ81" s="56"/>
      <c r="AK81" s="56"/>
    </row>
    <row r="82" spans="1:37" x14ac:dyDescent="0.3">
      <c r="A82" s="26">
        <v>2115</v>
      </c>
      <c r="B82" s="27" t="s">
        <v>287</v>
      </c>
      <c r="C82" s="27" t="s">
        <v>27</v>
      </c>
      <c r="D82" s="27">
        <v>0</v>
      </c>
      <c r="E82" s="27">
        <v>0</v>
      </c>
      <c r="F82" s="39">
        <v>0</v>
      </c>
      <c r="G82" s="26">
        <v>0</v>
      </c>
      <c r="H82" s="26">
        <v>0</v>
      </c>
      <c r="I82" s="29">
        <v>0</v>
      </c>
      <c r="J82" s="26">
        <v>34</v>
      </c>
      <c r="K82" s="26">
        <v>510</v>
      </c>
      <c r="L82" s="26">
        <v>12</v>
      </c>
      <c r="M82" s="26">
        <v>180</v>
      </c>
      <c r="N82" s="31">
        <v>50770.200000000004</v>
      </c>
      <c r="O82" s="26">
        <v>11</v>
      </c>
      <c r="P82" s="26">
        <v>165</v>
      </c>
      <c r="Q82" s="49">
        <v>2145</v>
      </c>
      <c r="R82" s="26">
        <v>0</v>
      </c>
      <c r="S82" s="50">
        <v>0</v>
      </c>
      <c r="T82" s="51">
        <v>52915.200000000004</v>
      </c>
      <c r="U82" s="26">
        <v>0</v>
      </c>
      <c r="V82" s="52">
        <v>0</v>
      </c>
      <c r="X82" s="53">
        <f t="shared" si="6"/>
        <v>42332.160000000003</v>
      </c>
      <c r="Z82" s="54">
        <v>42332.160000000003</v>
      </c>
      <c r="AA82" s="55">
        <f>Z82-X82</f>
        <v>0</v>
      </c>
      <c r="AD82" s="27" t="s">
        <v>32</v>
      </c>
      <c r="AE82" s="27" t="s">
        <v>102</v>
      </c>
      <c r="AI82" s="56"/>
      <c r="AJ82" s="56"/>
      <c r="AK82" s="56"/>
    </row>
    <row r="83" spans="1:37" x14ac:dyDescent="0.3">
      <c r="A83" s="26">
        <v>2117</v>
      </c>
      <c r="B83" s="27" t="s">
        <v>288</v>
      </c>
      <c r="C83" s="27" t="s">
        <v>49</v>
      </c>
      <c r="D83" s="27">
        <v>0</v>
      </c>
      <c r="E83" s="27">
        <v>0</v>
      </c>
      <c r="F83" s="39">
        <v>0</v>
      </c>
      <c r="G83" s="26">
        <v>0</v>
      </c>
      <c r="H83" s="26">
        <v>0</v>
      </c>
      <c r="I83" s="29">
        <v>0</v>
      </c>
      <c r="J83" s="26">
        <v>36</v>
      </c>
      <c r="K83" s="26">
        <v>540</v>
      </c>
      <c r="L83" s="26">
        <v>0</v>
      </c>
      <c r="M83" s="26">
        <v>0</v>
      </c>
      <c r="N83" s="31">
        <v>39733.200000000004</v>
      </c>
      <c r="O83" s="26">
        <v>8</v>
      </c>
      <c r="P83" s="26">
        <v>120</v>
      </c>
      <c r="Q83" s="49">
        <v>1560</v>
      </c>
      <c r="R83" s="26">
        <v>0</v>
      </c>
      <c r="S83" s="50">
        <v>0</v>
      </c>
      <c r="T83" s="51">
        <v>41293.200000000004</v>
      </c>
      <c r="U83" s="26">
        <v>0</v>
      </c>
      <c r="V83" s="52">
        <v>0</v>
      </c>
      <c r="X83" s="53">
        <f t="shared" si="6"/>
        <v>33034.560000000005</v>
      </c>
      <c r="AA83" s="49"/>
      <c r="AI83" s="56"/>
      <c r="AJ83" s="56"/>
      <c r="AK83" s="56"/>
    </row>
    <row r="84" spans="1:37" x14ac:dyDescent="0.3">
      <c r="A84" s="26">
        <v>2119</v>
      </c>
      <c r="B84" s="27" t="s">
        <v>289</v>
      </c>
      <c r="C84" s="27" t="s">
        <v>49</v>
      </c>
      <c r="D84" s="27">
        <v>0</v>
      </c>
      <c r="E84" s="27">
        <v>0</v>
      </c>
      <c r="F84" s="39">
        <v>0</v>
      </c>
      <c r="G84" s="26">
        <v>0</v>
      </c>
      <c r="H84" s="26">
        <v>0</v>
      </c>
      <c r="I84" s="29">
        <v>0</v>
      </c>
      <c r="J84" s="26">
        <v>26</v>
      </c>
      <c r="K84" s="26">
        <v>390</v>
      </c>
      <c r="L84" s="26">
        <v>0</v>
      </c>
      <c r="M84" s="26">
        <v>0</v>
      </c>
      <c r="N84" s="31">
        <v>28696.2</v>
      </c>
      <c r="O84" s="26">
        <v>13</v>
      </c>
      <c r="P84" s="26">
        <v>195</v>
      </c>
      <c r="Q84" s="49">
        <v>2535</v>
      </c>
      <c r="R84" s="26">
        <v>0</v>
      </c>
      <c r="S84" s="50">
        <v>0</v>
      </c>
      <c r="T84" s="51">
        <v>31231.200000000001</v>
      </c>
      <c r="U84" s="26">
        <v>0</v>
      </c>
      <c r="V84" s="52">
        <v>0</v>
      </c>
      <c r="X84" s="53">
        <f t="shared" si="6"/>
        <v>24984.960000000003</v>
      </c>
      <c r="AA84" s="49"/>
      <c r="AI84" s="56"/>
      <c r="AJ84" s="56"/>
      <c r="AK84" s="56"/>
    </row>
    <row r="85" spans="1:37" x14ac:dyDescent="0.3">
      <c r="A85" s="26">
        <v>2121</v>
      </c>
      <c r="B85" s="27" t="s">
        <v>290</v>
      </c>
      <c r="C85" s="27" t="s">
        <v>49</v>
      </c>
      <c r="D85" s="27">
        <v>0</v>
      </c>
      <c r="E85" s="27">
        <v>0</v>
      </c>
      <c r="F85" s="39">
        <v>0</v>
      </c>
      <c r="G85" s="26">
        <v>0</v>
      </c>
      <c r="H85" s="26">
        <v>0</v>
      </c>
      <c r="I85" s="29">
        <v>0</v>
      </c>
      <c r="J85" s="26">
        <v>32</v>
      </c>
      <c r="K85" s="26">
        <v>480</v>
      </c>
      <c r="L85" s="26">
        <v>0</v>
      </c>
      <c r="M85" s="26">
        <v>0</v>
      </c>
      <c r="N85" s="31">
        <v>35318.400000000001</v>
      </c>
      <c r="O85" s="26">
        <v>21</v>
      </c>
      <c r="P85" s="26">
        <v>315</v>
      </c>
      <c r="Q85" s="49">
        <v>4095</v>
      </c>
      <c r="R85" s="26">
        <v>17</v>
      </c>
      <c r="S85" s="50">
        <v>1267.8421052631579</v>
      </c>
      <c r="T85" s="51">
        <v>40681.242105263162</v>
      </c>
      <c r="U85" s="26">
        <v>0</v>
      </c>
      <c r="V85" s="52">
        <v>0</v>
      </c>
      <c r="X85" s="53">
        <f t="shared" si="6"/>
        <v>32544.993684210531</v>
      </c>
      <c r="AA85" s="49"/>
      <c r="AI85" s="56"/>
      <c r="AJ85" s="56"/>
      <c r="AK85" s="56"/>
    </row>
    <row r="86" spans="1:37" x14ac:dyDescent="0.3">
      <c r="A86" s="26">
        <v>2122</v>
      </c>
      <c r="B86" s="27" t="s">
        <v>291</v>
      </c>
      <c r="C86" s="27" t="s">
        <v>49</v>
      </c>
      <c r="D86" s="27">
        <v>0</v>
      </c>
      <c r="E86" s="27">
        <v>0</v>
      </c>
      <c r="F86" s="39">
        <v>0</v>
      </c>
      <c r="G86" s="26">
        <v>0</v>
      </c>
      <c r="H86" s="26">
        <v>0</v>
      </c>
      <c r="I86" s="29">
        <v>0</v>
      </c>
      <c r="J86" s="26">
        <v>71</v>
      </c>
      <c r="K86" s="26">
        <v>1065</v>
      </c>
      <c r="L86" s="26">
        <v>2</v>
      </c>
      <c r="M86" s="26">
        <v>30</v>
      </c>
      <c r="N86" s="31">
        <v>80570.099999999991</v>
      </c>
      <c r="O86" s="26">
        <v>29</v>
      </c>
      <c r="P86" s="26">
        <v>435</v>
      </c>
      <c r="Q86" s="49">
        <v>5655</v>
      </c>
      <c r="R86" s="26">
        <v>4</v>
      </c>
      <c r="S86" s="50">
        <v>298.31578947368422</v>
      </c>
      <c r="T86" s="51">
        <v>86523.415789473671</v>
      </c>
      <c r="U86" s="26">
        <v>0</v>
      </c>
      <c r="V86" s="52">
        <v>0</v>
      </c>
      <c r="X86" s="53">
        <f t="shared" si="6"/>
        <v>69218.73263157894</v>
      </c>
      <c r="AA86" s="49"/>
      <c r="AI86" s="56"/>
      <c r="AJ86" s="56"/>
      <c r="AK86" s="56"/>
    </row>
    <row r="87" spans="1:37" x14ac:dyDescent="0.3">
      <c r="A87" s="26">
        <v>2127</v>
      </c>
      <c r="B87" s="27" t="s">
        <v>292</v>
      </c>
      <c r="C87" s="27" t="s">
        <v>27</v>
      </c>
      <c r="D87" s="27">
        <v>0</v>
      </c>
      <c r="E87" s="27">
        <v>0</v>
      </c>
      <c r="F87" s="39">
        <v>0</v>
      </c>
      <c r="G87" s="26">
        <v>0</v>
      </c>
      <c r="H87" s="26">
        <v>0</v>
      </c>
      <c r="I87" s="29">
        <v>0</v>
      </c>
      <c r="J87" s="26">
        <v>42</v>
      </c>
      <c r="K87" s="26">
        <v>630</v>
      </c>
      <c r="L87" s="26">
        <v>10</v>
      </c>
      <c r="M87" s="26">
        <v>150</v>
      </c>
      <c r="N87" s="31">
        <v>57392.4</v>
      </c>
      <c r="O87" s="26">
        <v>13</v>
      </c>
      <c r="P87" s="26">
        <v>195</v>
      </c>
      <c r="Q87" s="49">
        <v>2535</v>
      </c>
      <c r="R87" s="26">
        <v>4</v>
      </c>
      <c r="S87" s="50">
        <v>298.31578947368422</v>
      </c>
      <c r="T87" s="51">
        <v>60225.715789473688</v>
      </c>
      <c r="U87" s="26">
        <v>0</v>
      </c>
      <c r="V87" s="52">
        <v>0</v>
      </c>
      <c r="X87" s="53">
        <f t="shared" si="6"/>
        <v>48180.572631578951</v>
      </c>
      <c r="Z87" s="54">
        <v>48180.572631578951</v>
      </c>
      <c r="AA87" s="55">
        <f>Z87-X87</f>
        <v>0</v>
      </c>
      <c r="AD87" s="27" t="s">
        <v>32</v>
      </c>
      <c r="AE87" s="27" t="s">
        <v>106</v>
      </c>
      <c r="AI87" s="56"/>
      <c r="AJ87" s="56"/>
      <c r="AK87" s="56"/>
    </row>
    <row r="88" spans="1:37" x14ac:dyDescent="0.3">
      <c r="A88" s="26">
        <v>2132</v>
      </c>
      <c r="B88" s="27" t="s">
        <v>293</v>
      </c>
      <c r="C88" s="27" t="s">
        <v>49</v>
      </c>
      <c r="D88" s="27">
        <v>0</v>
      </c>
      <c r="E88" s="27">
        <v>0</v>
      </c>
      <c r="F88" s="39">
        <v>0</v>
      </c>
      <c r="G88" s="26">
        <v>0</v>
      </c>
      <c r="H88" s="26">
        <v>0</v>
      </c>
      <c r="I88" s="29">
        <v>0</v>
      </c>
      <c r="J88" s="26">
        <v>52</v>
      </c>
      <c r="K88" s="26">
        <v>780</v>
      </c>
      <c r="L88" s="26">
        <v>0</v>
      </c>
      <c r="M88" s="26">
        <v>0</v>
      </c>
      <c r="N88" s="31">
        <v>57392.4</v>
      </c>
      <c r="O88" s="26">
        <v>17</v>
      </c>
      <c r="P88" s="26">
        <v>255</v>
      </c>
      <c r="Q88" s="49">
        <v>3315</v>
      </c>
      <c r="R88" s="26">
        <v>0</v>
      </c>
      <c r="S88" s="50">
        <v>0</v>
      </c>
      <c r="T88" s="51">
        <v>60707.4</v>
      </c>
      <c r="U88" s="26">
        <v>0</v>
      </c>
      <c r="V88" s="52">
        <v>0</v>
      </c>
      <c r="X88" s="53">
        <f t="shared" si="6"/>
        <v>48565.920000000006</v>
      </c>
      <c r="AA88" s="49"/>
      <c r="AI88" s="56"/>
      <c r="AJ88" s="56"/>
      <c r="AK88" s="56"/>
    </row>
    <row r="89" spans="1:37" x14ac:dyDescent="0.3">
      <c r="A89" s="26">
        <v>2136</v>
      </c>
      <c r="B89" s="27" t="s">
        <v>294</v>
      </c>
      <c r="C89" s="27" t="s">
        <v>49</v>
      </c>
      <c r="D89" s="27">
        <v>0</v>
      </c>
      <c r="E89" s="27">
        <v>0</v>
      </c>
      <c r="F89" s="39">
        <v>0</v>
      </c>
      <c r="G89" s="26">
        <v>0</v>
      </c>
      <c r="H89" s="26">
        <v>0</v>
      </c>
      <c r="I89" s="29">
        <v>0</v>
      </c>
      <c r="J89" s="26">
        <v>41</v>
      </c>
      <c r="K89" s="26">
        <v>615</v>
      </c>
      <c r="L89" s="26">
        <v>14</v>
      </c>
      <c r="M89" s="26">
        <v>195</v>
      </c>
      <c r="N89" s="31">
        <v>59599.8</v>
      </c>
      <c r="O89" s="26">
        <v>17</v>
      </c>
      <c r="P89" s="26">
        <v>255</v>
      </c>
      <c r="Q89" s="49">
        <v>3315</v>
      </c>
      <c r="R89" s="26">
        <v>17</v>
      </c>
      <c r="S89" s="50">
        <v>1267.8421052631579</v>
      </c>
      <c r="T89" s="51">
        <v>64182.642105263163</v>
      </c>
      <c r="U89" s="26">
        <v>0</v>
      </c>
      <c r="V89" s="52">
        <v>0</v>
      </c>
      <c r="X89" s="53">
        <f t="shared" si="6"/>
        <v>51346.113684210533</v>
      </c>
      <c r="AA89" s="49"/>
      <c r="AI89" s="56"/>
      <c r="AJ89" s="56"/>
      <c r="AK89" s="56"/>
    </row>
    <row r="90" spans="1:37" x14ac:dyDescent="0.3">
      <c r="A90" s="26">
        <v>2138</v>
      </c>
      <c r="B90" s="27" t="s">
        <v>295</v>
      </c>
      <c r="C90" s="27" t="s">
        <v>49</v>
      </c>
      <c r="D90" s="27">
        <v>0</v>
      </c>
      <c r="E90" s="27">
        <v>0</v>
      </c>
      <c r="F90" s="39">
        <v>0</v>
      </c>
      <c r="G90" s="26">
        <v>0</v>
      </c>
      <c r="H90" s="26">
        <v>0</v>
      </c>
      <c r="I90" s="29">
        <v>0</v>
      </c>
      <c r="J90" s="26">
        <v>40</v>
      </c>
      <c r="K90" s="26">
        <v>600</v>
      </c>
      <c r="L90" s="26">
        <v>9</v>
      </c>
      <c r="M90" s="26">
        <v>120</v>
      </c>
      <c r="N90" s="31">
        <v>52977.599999999999</v>
      </c>
      <c r="O90" s="26">
        <v>8</v>
      </c>
      <c r="P90" s="26">
        <v>120</v>
      </c>
      <c r="Q90" s="49">
        <v>1560</v>
      </c>
      <c r="R90" s="26">
        <v>8</v>
      </c>
      <c r="S90" s="50">
        <v>596.63157894736844</v>
      </c>
      <c r="T90" s="51">
        <v>55134.231578947365</v>
      </c>
      <c r="U90" s="26">
        <v>0</v>
      </c>
      <c r="V90" s="52">
        <v>0</v>
      </c>
      <c r="X90" s="53">
        <f t="shared" si="6"/>
        <v>44107.385263157892</v>
      </c>
      <c r="AA90" s="49"/>
      <c r="AI90" s="56"/>
      <c r="AJ90" s="56"/>
      <c r="AK90" s="56"/>
    </row>
    <row r="91" spans="1:37" x14ac:dyDescent="0.3">
      <c r="A91" s="26">
        <v>2141</v>
      </c>
      <c r="B91" s="27" t="s">
        <v>296</v>
      </c>
      <c r="C91" s="27" t="s">
        <v>49</v>
      </c>
      <c r="D91" s="27">
        <v>0</v>
      </c>
      <c r="E91" s="27">
        <v>0</v>
      </c>
      <c r="F91" s="39">
        <v>0</v>
      </c>
      <c r="G91" s="26">
        <v>0</v>
      </c>
      <c r="H91" s="26">
        <v>0</v>
      </c>
      <c r="I91" s="29">
        <v>0</v>
      </c>
      <c r="J91" s="26">
        <v>18</v>
      </c>
      <c r="K91" s="26">
        <v>270</v>
      </c>
      <c r="L91" s="26">
        <v>0</v>
      </c>
      <c r="M91" s="26">
        <v>0</v>
      </c>
      <c r="N91" s="31">
        <v>19866.600000000002</v>
      </c>
      <c r="O91" s="26">
        <v>15</v>
      </c>
      <c r="P91" s="26">
        <v>225</v>
      </c>
      <c r="Q91" s="49">
        <v>2925</v>
      </c>
      <c r="R91" s="26">
        <v>15</v>
      </c>
      <c r="S91" s="50">
        <v>1118.6842105263158</v>
      </c>
      <c r="T91" s="51">
        <v>23910.284210526319</v>
      </c>
      <c r="U91" s="26">
        <v>0</v>
      </c>
      <c r="V91" s="52">
        <v>0</v>
      </c>
      <c r="X91" s="53">
        <f t="shared" si="6"/>
        <v>19128.227368421056</v>
      </c>
      <c r="AA91" s="49"/>
      <c r="AI91" s="56"/>
      <c r="AJ91" s="56"/>
      <c r="AK91" s="56"/>
    </row>
    <row r="92" spans="1:37" x14ac:dyDescent="0.3">
      <c r="A92" s="26">
        <v>2142</v>
      </c>
      <c r="B92" s="27" t="s">
        <v>297</v>
      </c>
      <c r="C92" s="27" t="s">
        <v>27</v>
      </c>
      <c r="D92" s="27">
        <v>0</v>
      </c>
      <c r="E92" s="27">
        <v>0</v>
      </c>
      <c r="F92" s="39">
        <v>0</v>
      </c>
      <c r="G92" s="26">
        <v>0</v>
      </c>
      <c r="H92" s="26">
        <v>0</v>
      </c>
      <c r="I92" s="29">
        <v>0</v>
      </c>
      <c r="J92" s="26">
        <v>25</v>
      </c>
      <c r="K92" s="26">
        <v>375</v>
      </c>
      <c r="L92" s="26">
        <v>0</v>
      </c>
      <c r="M92" s="26">
        <v>0</v>
      </c>
      <c r="N92" s="31">
        <v>27592.5</v>
      </c>
      <c r="O92" s="26">
        <v>0</v>
      </c>
      <c r="P92" s="26">
        <v>0</v>
      </c>
      <c r="Q92" s="49">
        <v>0</v>
      </c>
      <c r="R92" s="26">
        <v>0</v>
      </c>
      <c r="S92" s="50">
        <v>0</v>
      </c>
      <c r="T92" s="51">
        <v>27592.5</v>
      </c>
      <c r="U92" s="26">
        <v>0</v>
      </c>
      <c r="V92" s="52">
        <v>0</v>
      </c>
      <c r="X92" s="53">
        <f t="shared" si="6"/>
        <v>22074</v>
      </c>
      <c r="Z92" s="54">
        <v>22074</v>
      </c>
      <c r="AA92" s="55">
        <f>Z92-X92</f>
        <v>0</v>
      </c>
      <c r="AD92" s="27" t="s">
        <v>32</v>
      </c>
      <c r="AE92" s="27" t="s">
        <v>114</v>
      </c>
      <c r="AI92" s="56"/>
      <c r="AJ92" s="56"/>
      <c r="AK92" s="56"/>
    </row>
    <row r="93" spans="1:37" x14ac:dyDescent="0.3">
      <c r="A93" s="26">
        <v>2144</v>
      </c>
      <c r="B93" s="27" t="s">
        <v>298</v>
      </c>
      <c r="C93" s="27" t="s">
        <v>49</v>
      </c>
      <c r="D93" s="27">
        <v>0</v>
      </c>
      <c r="E93" s="27">
        <v>0</v>
      </c>
      <c r="F93" s="39">
        <v>0</v>
      </c>
      <c r="G93" s="26">
        <v>0</v>
      </c>
      <c r="H93" s="26">
        <v>0</v>
      </c>
      <c r="I93" s="29">
        <v>0</v>
      </c>
      <c r="J93" s="26">
        <v>39</v>
      </c>
      <c r="K93" s="26">
        <v>585</v>
      </c>
      <c r="L93" s="26">
        <v>0</v>
      </c>
      <c r="M93" s="26">
        <v>0</v>
      </c>
      <c r="N93" s="31">
        <v>43044.3</v>
      </c>
      <c r="O93" s="26">
        <v>12</v>
      </c>
      <c r="P93" s="26">
        <v>180</v>
      </c>
      <c r="Q93" s="49">
        <v>2340</v>
      </c>
      <c r="R93" s="26">
        <v>8</v>
      </c>
      <c r="S93" s="50">
        <v>596.63157894736844</v>
      </c>
      <c r="T93" s="51">
        <v>45980.931578947369</v>
      </c>
      <c r="U93" s="26">
        <v>0</v>
      </c>
      <c r="V93" s="52">
        <v>0</v>
      </c>
      <c r="X93" s="53">
        <f t="shared" si="6"/>
        <v>36784.7452631579</v>
      </c>
      <c r="AA93" s="49"/>
      <c r="AI93" s="56"/>
      <c r="AJ93" s="56"/>
      <c r="AK93" s="56"/>
    </row>
    <row r="94" spans="1:37" x14ac:dyDescent="0.3">
      <c r="A94" s="26">
        <v>2146</v>
      </c>
      <c r="B94" s="27" t="s">
        <v>299</v>
      </c>
      <c r="C94" s="27" t="s">
        <v>49</v>
      </c>
      <c r="D94" s="27">
        <v>0</v>
      </c>
      <c r="E94" s="27">
        <v>0</v>
      </c>
      <c r="F94" s="39">
        <v>0</v>
      </c>
      <c r="G94" s="26">
        <v>0</v>
      </c>
      <c r="H94" s="26">
        <v>0</v>
      </c>
      <c r="I94" s="29">
        <v>0</v>
      </c>
      <c r="J94" s="26">
        <v>36</v>
      </c>
      <c r="K94" s="26">
        <v>540</v>
      </c>
      <c r="L94" s="26">
        <v>0</v>
      </c>
      <c r="M94" s="26">
        <v>0</v>
      </c>
      <c r="N94" s="31">
        <v>39733.200000000004</v>
      </c>
      <c r="O94" s="26">
        <v>17</v>
      </c>
      <c r="P94" s="26">
        <v>255</v>
      </c>
      <c r="Q94" s="49">
        <v>3315</v>
      </c>
      <c r="R94" s="26">
        <v>17</v>
      </c>
      <c r="S94" s="50">
        <v>1267.8421052631579</v>
      </c>
      <c r="T94" s="51">
        <v>44316.042105263165</v>
      </c>
      <c r="U94" s="26">
        <v>0</v>
      </c>
      <c r="V94" s="52">
        <v>0</v>
      </c>
      <c r="X94" s="53">
        <f t="shared" si="6"/>
        <v>35452.833684210535</v>
      </c>
      <c r="AA94" s="49"/>
      <c r="AI94" s="56"/>
      <c r="AJ94" s="56"/>
      <c r="AK94" s="56"/>
    </row>
    <row r="95" spans="1:37" x14ac:dyDescent="0.3">
      <c r="A95" s="26">
        <v>2149</v>
      </c>
      <c r="B95" s="27" t="s">
        <v>300</v>
      </c>
      <c r="C95" s="27" t="s">
        <v>49</v>
      </c>
      <c r="D95" s="27">
        <v>0</v>
      </c>
      <c r="E95" s="27">
        <v>0</v>
      </c>
      <c r="F95" s="39">
        <v>0</v>
      </c>
      <c r="G95" s="26">
        <v>0</v>
      </c>
      <c r="H95" s="26">
        <v>0</v>
      </c>
      <c r="I95" s="29">
        <v>0</v>
      </c>
      <c r="J95" s="26">
        <v>26</v>
      </c>
      <c r="K95" s="26">
        <v>390</v>
      </c>
      <c r="L95" s="26">
        <v>0</v>
      </c>
      <c r="M95" s="26">
        <v>0</v>
      </c>
      <c r="N95" s="31">
        <v>28696.2</v>
      </c>
      <c r="O95" s="26">
        <v>18</v>
      </c>
      <c r="P95" s="26">
        <v>270</v>
      </c>
      <c r="Q95" s="49">
        <v>3510</v>
      </c>
      <c r="R95" s="26">
        <v>18</v>
      </c>
      <c r="S95" s="50">
        <v>1342.421052631579</v>
      </c>
      <c r="T95" s="51">
        <v>33548.621052631577</v>
      </c>
      <c r="U95" s="26">
        <v>0</v>
      </c>
      <c r="V95" s="52">
        <v>0</v>
      </c>
      <c r="X95" s="53">
        <f t="shared" si="6"/>
        <v>26838.896842105263</v>
      </c>
      <c r="AA95" s="49"/>
      <c r="AI95" s="56"/>
      <c r="AJ95" s="56"/>
      <c r="AK95" s="56"/>
    </row>
    <row r="96" spans="1:37" x14ac:dyDescent="0.3">
      <c r="A96" s="26">
        <v>2150</v>
      </c>
      <c r="B96" s="27" t="s">
        <v>203</v>
      </c>
      <c r="C96" s="27" t="s">
        <v>245</v>
      </c>
      <c r="D96" s="27">
        <v>0</v>
      </c>
      <c r="E96" s="27">
        <v>0</v>
      </c>
      <c r="F96" s="39">
        <v>0</v>
      </c>
      <c r="G96" s="26">
        <v>0</v>
      </c>
      <c r="H96" s="26">
        <v>0</v>
      </c>
      <c r="I96" s="29">
        <v>0</v>
      </c>
      <c r="J96" s="26">
        <v>25</v>
      </c>
      <c r="K96" s="26">
        <v>375</v>
      </c>
      <c r="L96" s="26">
        <v>0</v>
      </c>
      <c r="M96" s="26">
        <v>0</v>
      </c>
      <c r="N96" s="31">
        <v>27592.5</v>
      </c>
      <c r="O96" s="26">
        <v>0</v>
      </c>
      <c r="P96" s="26">
        <v>0</v>
      </c>
      <c r="Q96" s="49">
        <v>0</v>
      </c>
      <c r="R96" s="26">
        <v>0</v>
      </c>
      <c r="S96" s="50">
        <v>0</v>
      </c>
      <c r="T96" s="51">
        <v>27592.5</v>
      </c>
      <c r="U96" s="26">
        <v>0</v>
      </c>
      <c r="V96" s="52">
        <v>0</v>
      </c>
      <c r="X96" s="53">
        <f t="shared" si="6"/>
        <v>22074</v>
      </c>
      <c r="Z96" s="54">
        <v>22074</v>
      </c>
      <c r="AA96" s="55">
        <f>Z96-X96</f>
        <v>0</v>
      </c>
      <c r="AD96" s="27" t="s">
        <v>32</v>
      </c>
      <c r="AE96" s="27" t="s">
        <v>202</v>
      </c>
      <c r="AI96" s="56"/>
      <c r="AJ96" s="56"/>
      <c r="AK96" s="56"/>
    </row>
    <row r="97" spans="1:37" x14ac:dyDescent="0.3">
      <c r="A97" s="26">
        <v>2156</v>
      </c>
      <c r="B97" s="27" t="s">
        <v>301</v>
      </c>
      <c r="C97" s="27" t="s">
        <v>49</v>
      </c>
      <c r="D97" s="27">
        <v>0</v>
      </c>
      <c r="E97" s="27">
        <v>0</v>
      </c>
      <c r="F97" s="39">
        <v>0</v>
      </c>
      <c r="G97" s="26">
        <v>0</v>
      </c>
      <c r="H97" s="26">
        <v>0</v>
      </c>
      <c r="I97" s="29">
        <v>0</v>
      </c>
      <c r="J97" s="26">
        <v>25</v>
      </c>
      <c r="K97" s="26">
        <v>375</v>
      </c>
      <c r="L97" s="26">
        <v>0</v>
      </c>
      <c r="M97" s="26">
        <v>0</v>
      </c>
      <c r="N97" s="31">
        <v>27592.5</v>
      </c>
      <c r="O97" s="26">
        <v>16</v>
      </c>
      <c r="P97" s="26">
        <v>240</v>
      </c>
      <c r="Q97" s="49">
        <v>3120</v>
      </c>
      <c r="R97" s="26">
        <v>15</v>
      </c>
      <c r="S97" s="50">
        <v>1118.6842105263158</v>
      </c>
      <c r="T97" s="51">
        <v>31831.184210526317</v>
      </c>
      <c r="U97" s="26">
        <v>0</v>
      </c>
      <c r="V97" s="52">
        <v>0</v>
      </c>
      <c r="X97" s="53">
        <f t="shared" si="6"/>
        <v>25464.947368421053</v>
      </c>
      <c r="AA97" s="49"/>
      <c r="AI97" s="56"/>
      <c r="AJ97" s="56"/>
      <c r="AK97" s="56"/>
    </row>
    <row r="98" spans="1:37" x14ac:dyDescent="0.3">
      <c r="A98" s="26">
        <v>2157</v>
      </c>
      <c r="B98" s="27" t="s">
        <v>205</v>
      </c>
      <c r="C98" s="27" t="s">
        <v>245</v>
      </c>
      <c r="D98" s="27">
        <v>0</v>
      </c>
      <c r="E98" s="27">
        <v>0</v>
      </c>
      <c r="F98" s="39">
        <v>0</v>
      </c>
      <c r="G98" s="26">
        <v>0</v>
      </c>
      <c r="H98" s="26">
        <v>0</v>
      </c>
      <c r="I98" s="29">
        <v>0</v>
      </c>
      <c r="J98" s="26">
        <v>28</v>
      </c>
      <c r="K98" s="26">
        <v>420</v>
      </c>
      <c r="L98" s="26">
        <v>11</v>
      </c>
      <c r="M98" s="26">
        <v>165</v>
      </c>
      <c r="N98" s="31">
        <v>43044.3</v>
      </c>
      <c r="O98" s="26">
        <v>0</v>
      </c>
      <c r="P98" s="26">
        <v>0</v>
      </c>
      <c r="Q98" s="49">
        <v>0</v>
      </c>
      <c r="R98" s="26">
        <v>0</v>
      </c>
      <c r="S98" s="50">
        <v>0</v>
      </c>
      <c r="T98" s="51">
        <v>43044.3</v>
      </c>
      <c r="U98" s="26">
        <v>0</v>
      </c>
      <c r="V98" s="52">
        <v>0</v>
      </c>
      <c r="X98" s="53">
        <f t="shared" si="6"/>
        <v>34435.440000000002</v>
      </c>
      <c r="Z98" s="54">
        <v>34435.440000000002</v>
      </c>
      <c r="AA98" s="55">
        <f t="shared" ref="AA98:AA99" si="7">Z98-X98</f>
        <v>0</v>
      </c>
      <c r="AD98" s="27" t="s">
        <v>32</v>
      </c>
      <c r="AE98" s="27" t="s">
        <v>204</v>
      </c>
      <c r="AI98" s="56"/>
      <c r="AJ98" s="56"/>
      <c r="AK98" s="56"/>
    </row>
    <row r="99" spans="1:37" x14ac:dyDescent="0.3">
      <c r="A99" s="26">
        <v>2161</v>
      </c>
      <c r="B99" s="27" t="s">
        <v>302</v>
      </c>
      <c r="C99" s="27" t="s">
        <v>27</v>
      </c>
      <c r="D99" s="27">
        <v>0</v>
      </c>
      <c r="E99" s="27">
        <v>0</v>
      </c>
      <c r="F99" s="39">
        <v>0</v>
      </c>
      <c r="G99" s="26">
        <v>0</v>
      </c>
      <c r="H99" s="26">
        <v>0</v>
      </c>
      <c r="I99" s="29">
        <v>0</v>
      </c>
      <c r="J99" s="26">
        <v>40</v>
      </c>
      <c r="K99" s="26">
        <v>600</v>
      </c>
      <c r="L99" s="26">
        <v>11</v>
      </c>
      <c r="M99" s="26">
        <v>165</v>
      </c>
      <c r="N99" s="31">
        <v>56288.7</v>
      </c>
      <c r="O99" s="26">
        <v>19</v>
      </c>
      <c r="P99" s="26">
        <v>285</v>
      </c>
      <c r="Q99" s="49">
        <v>3705</v>
      </c>
      <c r="R99" s="26">
        <v>0</v>
      </c>
      <c r="S99" s="50">
        <v>0</v>
      </c>
      <c r="T99" s="51">
        <v>59993.7</v>
      </c>
      <c r="U99" s="26">
        <v>0</v>
      </c>
      <c r="V99" s="52">
        <v>0</v>
      </c>
      <c r="X99" s="53">
        <f t="shared" si="6"/>
        <v>47994.96</v>
      </c>
      <c r="Z99" s="54">
        <v>47994.96</v>
      </c>
      <c r="AA99" s="55">
        <f t="shared" si="7"/>
        <v>0</v>
      </c>
      <c r="AD99" s="27" t="s">
        <v>32</v>
      </c>
      <c r="AE99" s="27" t="s">
        <v>124</v>
      </c>
      <c r="AI99" s="56"/>
      <c r="AJ99" s="56"/>
      <c r="AK99" s="56"/>
    </row>
    <row r="100" spans="1:37" x14ac:dyDescent="0.3">
      <c r="A100" s="26">
        <v>2162</v>
      </c>
      <c r="B100" s="27" t="s">
        <v>303</v>
      </c>
      <c r="C100" s="27" t="s">
        <v>49</v>
      </c>
      <c r="D100" s="27">
        <v>0</v>
      </c>
      <c r="E100" s="27">
        <v>0</v>
      </c>
      <c r="F100" s="39">
        <v>0</v>
      </c>
      <c r="G100" s="26">
        <v>0</v>
      </c>
      <c r="H100" s="26">
        <v>0</v>
      </c>
      <c r="I100" s="29">
        <v>0</v>
      </c>
      <c r="J100" s="26">
        <v>19</v>
      </c>
      <c r="K100" s="26">
        <v>285</v>
      </c>
      <c r="L100" s="26">
        <v>0</v>
      </c>
      <c r="M100" s="26">
        <v>0</v>
      </c>
      <c r="N100" s="31">
        <v>20970.3</v>
      </c>
      <c r="O100" s="26">
        <v>3</v>
      </c>
      <c r="P100" s="26">
        <v>45</v>
      </c>
      <c r="Q100" s="49">
        <v>585</v>
      </c>
      <c r="R100" s="26">
        <v>0</v>
      </c>
      <c r="S100" s="50">
        <v>0</v>
      </c>
      <c r="T100" s="51">
        <v>21555.3</v>
      </c>
      <c r="U100" s="26">
        <v>0</v>
      </c>
      <c r="V100" s="52">
        <v>0</v>
      </c>
      <c r="X100" s="53">
        <f t="shared" si="6"/>
        <v>17244.240000000002</v>
      </c>
      <c r="AA100" s="49"/>
      <c r="AI100" s="56"/>
      <c r="AJ100" s="56"/>
      <c r="AK100" s="56"/>
    </row>
    <row r="101" spans="1:37" x14ac:dyDescent="0.3">
      <c r="A101" s="26">
        <v>2169</v>
      </c>
      <c r="B101" s="27" t="s">
        <v>304</v>
      </c>
      <c r="C101" s="27" t="s">
        <v>27</v>
      </c>
      <c r="D101" s="27">
        <v>0</v>
      </c>
      <c r="E101" s="27">
        <v>0</v>
      </c>
      <c r="F101" s="39">
        <v>0</v>
      </c>
      <c r="G101" s="26">
        <v>0</v>
      </c>
      <c r="H101" s="26">
        <v>0</v>
      </c>
      <c r="I101" s="29">
        <v>0</v>
      </c>
      <c r="J101" s="26">
        <v>32</v>
      </c>
      <c r="K101" s="26">
        <v>480</v>
      </c>
      <c r="L101" s="26">
        <v>4</v>
      </c>
      <c r="M101" s="26">
        <v>60</v>
      </c>
      <c r="N101" s="31">
        <v>39733.200000000004</v>
      </c>
      <c r="O101" s="26">
        <v>20</v>
      </c>
      <c r="P101" s="26">
        <v>300</v>
      </c>
      <c r="Q101" s="49">
        <v>3900</v>
      </c>
      <c r="R101" s="26">
        <v>0</v>
      </c>
      <c r="S101" s="50">
        <v>0</v>
      </c>
      <c r="T101" s="51">
        <v>43633.200000000004</v>
      </c>
      <c r="U101" s="26">
        <v>0</v>
      </c>
      <c r="V101" s="52">
        <v>0</v>
      </c>
      <c r="X101" s="53">
        <f t="shared" si="6"/>
        <v>34906.560000000005</v>
      </c>
      <c r="Z101" s="54">
        <v>34906.560000000005</v>
      </c>
      <c r="AA101" s="55">
        <f>Z101-X101</f>
        <v>0</v>
      </c>
      <c r="AD101" s="27" t="s">
        <v>32</v>
      </c>
      <c r="AE101" s="27" t="s">
        <v>130</v>
      </c>
      <c r="AI101" s="56"/>
      <c r="AJ101" s="56"/>
      <c r="AK101" s="56"/>
    </row>
    <row r="102" spans="1:37" x14ac:dyDescent="0.3">
      <c r="A102" s="26">
        <v>2170</v>
      </c>
      <c r="B102" s="27" t="s">
        <v>305</v>
      </c>
      <c r="C102" s="27" t="s">
        <v>49</v>
      </c>
      <c r="D102" s="27">
        <v>0</v>
      </c>
      <c r="E102" s="27">
        <v>0</v>
      </c>
      <c r="F102" s="39">
        <v>0</v>
      </c>
      <c r="G102" s="26">
        <v>10</v>
      </c>
      <c r="H102" s="26">
        <v>150</v>
      </c>
      <c r="I102" s="29">
        <v>16594.5</v>
      </c>
      <c r="J102" s="26">
        <v>50</v>
      </c>
      <c r="K102" s="26">
        <v>750</v>
      </c>
      <c r="L102" s="26">
        <v>2</v>
      </c>
      <c r="M102" s="26">
        <v>30</v>
      </c>
      <c r="N102" s="31">
        <v>57392.4</v>
      </c>
      <c r="O102" s="26">
        <v>0</v>
      </c>
      <c r="P102" s="26">
        <v>0</v>
      </c>
      <c r="Q102" s="49">
        <v>0</v>
      </c>
      <c r="R102" s="26">
        <v>0</v>
      </c>
      <c r="S102" s="50">
        <v>0</v>
      </c>
      <c r="T102" s="51">
        <v>73986.899999999994</v>
      </c>
      <c r="U102" s="26">
        <v>0</v>
      </c>
      <c r="V102" s="52">
        <v>0</v>
      </c>
      <c r="X102" s="53">
        <f t="shared" si="6"/>
        <v>59189.52</v>
      </c>
      <c r="AA102" s="49"/>
      <c r="AI102" s="56"/>
      <c r="AJ102" s="56"/>
      <c r="AK102" s="56"/>
    </row>
    <row r="103" spans="1:37" x14ac:dyDescent="0.3">
      <c r="A103" s="26">
        <v>2171</v>
      </c>
      <c r="B103" s="27" t="s">
        <v>306</v>
      </c>
      <c r="C103" s="27" t="s">
        <v>49</v>
      </c>
      <c r="D103" s="27">
        <v>0</v>
      </c>
      <c r="E103" s="27">
        <v>0</v>
      </c>
      <c r="F103" s="39">
        <v>0</v>
      </c>
      <c r="G103" s="26">
        <v>0</v>
      </c>
      <c r="H103" s="26">
        <v>0</v>
      </c>
      <c r="I103" s="29">
        <v>0</v>
      </c>
      <c r="J103" s="26">
        <v>32</v>
      </c>
      <c r="K103" s="26">
        <v>480</v>
      </c>
      <c r="L103" s="26">
        <v>0</v>
      </c>
      <c r="M103" s="26">
        <v>0</v>
      </c>
      <c r="N103" s="31">
        <v>35318.400000000001</v>
      </c>
      <c r="O103" s="26">
        <v>11</v>
      </c>
      <c r="P103" s="26">
        <v>165</v>
      </c>
      <c r="Q103" s="49">
        <v>2145</v>
      </c>
      <c r="R103" s="26">
        <v>11</v>
      </c>
      <c r="S103" s="50">
        <v>820.36842105263156</v>
      </c>
      <c r="T103" s="51">
        <v>38283.768421052635</v>
      </c>
      <c r="U103" s="26">
        <v>0</v>
      </c>
      <c r="V103" s="52">
        <v>0</v>
      </c>
      <c r="X103" s="53">
        <f t="shared" si="6"/>
        <v>30627.014736842109</v>
      </c>
      <c r="AA103" s="49"/>
      <c r="AI103" s="56"/>
      <c r="AJ103" s="56"/>
      <c r="AK103" s="56"/>
    </row>
    <row r="104" spans="1:37" x14ac:dyDescent="0.3">
      <c r="A104" s="26">
        <v>2176</v>
      </c>
      <c r="B104" s="27" t="s">
        <v>307</v>
      </c>
      <c r="C104" s="27" t="s">
        <v>27</v>
      </c>
      <c r="D104" s="27">
        <v>0</v>
      </c>
      <c r="E104" s="27">
        <v>0</v>
      </c>
      <c r="F104" s="39">
        <v>0</v>
      </c>
      <c r="G104" s="26">
        <v>0</v>
      </c>
      <c r="H104" s="26">
        <v>0</v>
      </c>
      <c r="I104" s="29">
        <v>0</v>
      </c>
      <c r="J104" s="26">
        <v>69</v>
      </c>
      <c r="K104" s="26">
        <v>1035</v>
      </c>
      <c r="L104" s="26">
        <v>7</v>
      </c>
      <c r="M104" s="26">
        <v>105</v>
      </c>
      <c r="N104" s="31">
        <v>83881.2</v>
      </c>
      <c r="O104" s="26">
        <v>29</v>
      </c>
      <c r="P104" s="26">
        <v>435</v>
      </c>
      <c r="Q104" s="49">
        <v>5655</v>
      </c>
      <c r="R104" s="26">
        <v>1</v>
      </c>
      <c r="S104" s="50">
        <v>74.578947368421055</v>
      </c>
      <c r="T104" s="51">
        <v>89610.778947368424</v>
      </c>
      <c r="U104" s="26">
        <v>0</v>
      </c>
      <c r="V104" s="52">
        <v>0</v>
      </c>
      <c r="X104" s="53">
        <f t="shared" si="6"/>
        <v>71688.623157894748</v>
      </c>
      <c r="Z104" s="54">
        <v>71688.623157894748</v>
      </c>
      <c r="AA104" s="55">
        <f t="shared" ref="AA104:AA105" si="8">Z104-X104</f>
        <v>0</v>
      </c>
      <c r="AD104" s="27" t="s">
        <v>32</v>
      </c>
      <c r="AE104" s="27" t="s">
        <v>136</v>
      </c>
      <c r="AI104" s="56"/>
      <c r="AJ104" s="56"/>
      <c r="AK104" s="56"/>
    </row>
    <row r="105" spans="1:37" x14ac:dyDescent="0.3">
      <c r="A105" s="26">
        <v>2178</v>
      </c>
      <c r="B105" s="27" t="s">
        <v>155</v>
      </c>
      <c r="C105" s="27" t="s">
        <v>27</v>
      </c>
      <c r="D105" s="27">
        <v>0</v>
      </c>
      <c r="E105" s="27">
        <v>0</v>
      </c>
      <c r="F105" s="39">
        <v>0</v>
      </c>
      <c r="G105" s="26">
        <v>0</v>
      </c>
      <c r="H105" s="26">
        <v>0</v>
      </c>
      <c r="I105" s="29">
        <v>0</v>
      </c>
      <c r="J105" s="26">
        <v>26</v>
      </c>
      <c r="K105" s="26">
        <v>377</v>
      </c>
      <c r="L105" s="26">
        <v>9</v>
      </c>
      <c r="M105" s="26">
        <v>129</v>
      </c>
      <c r="N105" s="31">
        <v>37231.479999999996</v>
      </c>
      <c r="O105" s="26">
        <v>8</v>
      </c>
      <c r="P105" s="26">
        <v>120</v>
      </c>
      <c r="Q105" s="49">
        <v>1560</v>
      </c>
      <c r="R105" s="26">
        <v>2</v>
      </c>
      <c r="S105" s="50">
        <v>149.15789473684211</v>
      </c>
      <c r="T105" s="51">
        <v>38940.637894736836</v>
      </c>
      <c r="U105" s="26">
        <v>0</v>
      </c>
      <c r="V105" s="52">
        <v>0</v>
      </c>
      <c r="X105" s="53">
        <f t="shared" si="6"/>
        <v>31152.51031578947</v>
      </c>
      <c r="Z105" s="54">
        <v>31152.51031578947</v>
      </c>
      <c r="AA105" s="55">
        <f t="shared" si="8"/>
        <v>0</v>
      </c>
      <c r="AD105" s="27" t="s">
        <v>32</v>
      </c>
      <c r="AE105" s="27" t="s">
        <v>154</v>
      </c>
      <c r="AI105" s="56"/>
      <c r="AJ105" s="56"/>
      <c r="AK105" s="56"/>
    </row>
    <row r="106" spans="1:37" x14ac:dyDescent="0.3">
      <c r="A106" s="26">
        <v>2180</v>
      </c>
      <c r="B106" s="27" t="s">
        <v>308</v>
      </c>
      <c r="C106" s="27" t="s">
        <v>49</v>
      </c>
      <c r="D106" s="27">
        <v>0</v>
      </c>
      <c r="E106" s="27">
        <v>0</v>
      </c>
      <c r="F106" s="39">
        <v>0</v>
      </c>
      <c r="G106" s="26">
        <v>0</v>
      </c>
      <c r="H106" s="26">
        <v>0</v>
      </c>
      <c r="I106" s="29">
        <v>0</v>
      </c>
      <c r="J106" s="26">
        <v>69</v>
      </c>
      <c r="K106" s="26">
        <v>1035</v>
      </c>
      <c r="L106" s="26">
        <v>8</v>
      </c>
      <c r="M106" s="26">
        <v>120</v>
      </c>
      <c r="N106" s="31">
        <v>84984.900000000009</v>
      </c>
      <c r="O106" s="26">
        <v>18</v>
      </c>
      <c r="P106" s="26">
        <v>270</v>
      </c>
      <c r="Q106" s="49">
        <v>3510</v>
      </c>
      <c r="R106" s="26">
        <v>5</v>
      </c>
      <c r="S106" s="50">
        <v>372.89473684210526</v>
      </c>
      <c r="T106" s="51">
        <v>88867.794736842116</v>
      </c>
      <c r="U106" s="26">
        <v>0</v>
      </c>
      <c r="V106" s="52">
        <v>0</v>
      </c>
      <c r="X106" s="53">
        <f t="shared" si="6"/>
        <v>71094.235789473692</v>
      </c>
      <c r="AA106" s="49"/>
      <c r="AI106" s="56"/>
      <c r="AJ106" s="56"/>
      <c r="AK106" s="56"/>
    </row>
    <row r="107" spans="1:37" x14ac:dyDescent="0.3">
      <c r="A107" s="26">
        <v>2181</v>
      </c>
      <c r="B107" s="27" t="s">
        <v>309</v>
      </c>
      <c r="C107" s="27" t="s">
        <v>49</v>
      </c>
      <c r="D107" s="27">
        <v>0</v>
      </c>
      <c r="E107" s="27">
        <v>0</v>
      </c>
      <c r="F107" s="39">
        <v>0</v>
      </c>
      <c r="G107" s="26">
        <v>0</v>
      </c>
      <c r="H107" s="26">
        <v>0</v>
      </c>
      <c r="I107" s="29">
        <v>0</v>
      </c>
      <c r="J107" s="26">
        <v>25</v>
      </c>
      <c r="K107" s="26">
        <v>375</v>
      </c>
      <c r="L107" s="26">
        <v>0</v>
      </c>
      <c r="M107" s="26">
        <v>0</v>
      </c>
      <c r="N107" s="31">
        <v>27592.5</v>
      </c>
      <c r="O107" s="26">
        <v>0</v>
      </c>
      <c r="P107" s="26">
        <v>0</v>
      </c>
      <c r="Q107" s="49">
        <v>0</v>
      </c>
      <c r="R107" s="26">
        <v>0</v>
      </c>
      <c r="S107" s="50">
        <v>0</v>
      </c>
      <c r="T107" s="51">
        <v>27592.5</v>
      </c>
      <c r="U107" s="26">
        <v>0</v>
      </c>
      <c r="V107" s="52">
        <v>0</v>
      </c>
      <c r="X107" s="53">
        <f t="shared" si="6"/>
        <v>22074</v>
      </c>
      <c r="AA107" s="49"/>
      <c r="AI107" s="56"/>
      <c r="AJ107" s="56"/>
      <c r="AK107" s="56"/>
    </row>
    <row r="108" spans="1:37" x14ac:dyDescent="0.3">
      <c r="A108" s="26">
        <v>2185</v>
      </c>
      <c r="B108" s="27" t="s">
        <v>65</v>
      </c>
      <c r="C108" s="27" t="s">
        <v>27</v>
      </c>
      <c r="D108" s="27">
        <v>0</v>
      </c>
      <c r="E108" s="27">
        <v>0</v>
      </c>
      <c r="F108" s="39">
        <v>0</v>
      </c>
      <c r="G108" s="26">
        <v>0</v>
      </c>
      <c r="H108" s="26">
        <v>0</v>
      </c>
      <c r="I108" s="29">
        <v>0</v>
      </c>
      <c r="J108" s="26">
        <v>40</v>
      </c>
      <c r="K108" s="26">
        <v>600</v>
      </c>
      <c r="L108" s="26">
        <v>10</v>
      </c>
      <c r="M108" s="26">
        <v>150</v>
      </c>
      <c r="N108" s="31">
        <v>55185</v>
      </c>
      <c r="O108" s="26">
        <v>6</v>
      </c>
      <c r="P108" s="26">
        <v>90</v>
      </c>
      <c r="Q108" s="49">
        <v>1170</v>
      </c>
      <c r="R108" s="26">
        <v>0</v>
      </c>
      <c r="S108" s="50">
        <v>0</v>
      </c>
      <c r="T108" s="51">
        <v>56355</v>
      </c>
      <c r="U108" s="26">
        <v>0</v>
      </c>
      <c r="V108" s="52">
        <v>0</v>
      </c>
      <c r="X108" s="53">
        <f t="shared" si="6"/>
        <v>45084</v>
      </c>
      <c r="Z108" s="54">
        <v>45084</v>
      </c>
      <c r="AA108" s="55">
        <f>Z108-X108</f>
        <v>0</v>
      </c>
      <c r="AD108" s="27" t="s">
        <v>32</v>
      </c>
      <c r="AE108" s="27" t="s">
        <v>64</v>
      </c>
      <c r="AI108" s="56"/>
      <c r="AJ108" s="56"/>
      <c r="AK108" s="56"/>
    </row>
    <row r="109" spans="1:37" x14ac:dyDescent="0.3">
      <c r="A109" s="26">
        <v>2186</v>
      </c>
      <c r="B109" s="27" t="s">
        <v>310</v>
      </c>
      <c r="C109" s="27" t="s">
        <v>49</v>
      </c>
      <c r="D109" s="27">
        <v>0</v>
      </c>
      <c r="E109" s="27">
        <v>0</v>
      </c>
      <c r="F109" s="39">
        <v>0</v>
      </c>
      <c r="G109" s="26">
        <v>0</v>
      </c>
      <c r="H109" s="26">
        <v>0</v>
      </c>
      <c r="I109" s="29">
        <v>0</v>
      </c>
      <c r="J109" s="26">
        <v>53</v>
      </c>
      <c r="K109" s="26">
        <v>795</v>
      </c>
      <c r="L109" s="26">
        <v>8</v>
      </c>
      <c r="M109" s="26">
        <v>120</v>
      </c>
      <c r="N109" s="31">
        <v>67325.7</v>
      </c>
      <c r="O109" s="26">
        <v>2</v>
      </c>
      <c r="P109" s="26">
        <v>30</v>
      </c>
      <c r="Q109" s="49">
        <v>390</v>
      </c>
      <c r="R109" s="26">
        <v>1</v>
      </c>
      <c r="S109" s="50">
        <v>74.578947368421055</v>
      </c>
      <c r="T109" s="51">
        <v>67790.278947368424</v>
      </c>
      <c r="U109" s="26">
        <v>0</v>
      </c>
      <c r="V109" s="52">
        <v>0</v>
      </c>
      <c r="X109" s="53">
        <f t="shared" si="6"/>
        <v>54232.223157894739</v>
      </c>
      <c r="AA109" s="49"/>
      <c r="AI109" s="56"/>
      <c r="AJ109" s="56"/>
      <c r="AK109" s="56"/>
    </row>
    <row r="110" spans="1:37" x14ac:dyDescent="0.3">
      <c r="A110" s="26">
        <v>2187</v>
      </c>
      <c r="B110" s="27" t="s">
        <v>311</v>
      </c>
      <c r="C110" s="27" t="s">
        <v>49</v>
      </c>
      <c r="D110" s="27">
        <v>0</v>
      </c>
      <c r="E110" s="27">
        <v>0</v>
      </c>
      <c r="F110" s="39">
        <v>0</v>
      </c>
      <c r="G110" s="26">
        <v>0</v>
      </c>
      <c r="H110" s="26">
        <v>0</v>
      </c>
      <c r="I110" s="29">
        <v>0</v>
      </c>
      <c r="J110" s="26">
        <v>42</v>
      </c>
      <c r="K110" s="26">
        <v>630</v>
      </c>
      <c r="L110" s="26">
        <v>9</v>
      </c>
      <c r="M110" s="26">
        <v>135</v>
      </c>
      <c r="N110" s="31">
        <v>56288.700000000004</v>
      </c>
      <c r="O110" s="26">
        <v>12</v>
      </c>
      <c r="P110" s="26">
        <v>180</v>
      </c>
      <c r="Q110" s="49">
        <v>2340</v>
      </c>
      <c r="R110" s="26">
        <v>3</v>
      </c>
      <c r="S110" s="50">
        <v>223.73684210526318</v>
      </c>
      <c r="T110" s="51">
        <v>58852.436842105264</v>
      </c>
      <c r="U110" s="26">
        <v>0</v>
      </c>
      <c r="V110" s="52">
        <v>0</v>
      </c>
      <c r="X110" s="53">
        <f t="shared" si="6"/>
        <v>47081.949473684217</v>
      </c>
      <c r="AA110" s="49"/>
      <c r="AI110" s="56"/>
      <c r="AJ110" s="56"/>
      <c r="AK110" s="56"/>
    </row>
    <row r="111" spans="1:37" x14ac:dyDescent="0.3">
      <c r="A111" s="26">
        <v>2188</v>
      </c>
      <c r="B111" s="27" t="s">
        <v>312</v>
      </c>
      <c r="C111" s="27" t="s">
        <v>49</v>
      </c>
      <c r="D111" s="27">
        <v>0</v>
      </c>
      <c r="E111" s="27">
        <v>0</v>
      </c>
      <c r="F111" s="39">
        <v>0</v>
      </c>
      <c r="G111" s="26">
        <v>0</v>
      </c>
      <c r="H111" s="26">
        <v>0</v>
      </c>
      <c r="I111" s="29">
        <v>0</v>
      </c>
      <c r="J111" s="26">
        <v>19</v>
      </c>
      <c r="K111" s="26">
        <v>285</v>
      </c>
      <c r="L111" s="26">
        <v>0</v>
      </c>
      <c r="M111" s="26">
        <v>0</v>
      </c>
      <c r="N111" s="31">
        <v>20970.3</v>
      </c>
      <c r="O111" s="26">
        <v>5</v>
      </c>
      <c r="P111" s="26">
        <v>75</v>
      </c>
      <c r="Q111" s="49">
        <v>975</v>
      </c>
      <c r="R111" s="26">
        <v>5</v>
      </c>
      <c r="S111" s="50">
        <v>372.89473684210526</v>
      </c>
      <c r="T111" s="51">
        <v>22318.194736842106</v>
      </c>
      <c r="U111" s="26">
        <v>0</v>
      </c>
      <c r="V111" s="52">
        <v>0</v>
      </c>
      <c r="X111" s="53">
        <f t="shared" si="6"/>
        <v>17854.555789473685</v>
      </c>
      <c r="AA111" s="49"/>
      <c r="AI111" s="56"/>
      <c r="AJ111" s="56"/>
      <c r="AK111" s="56"/>
    </row>
    <row r="112" spans="1:37" x14ac:dyDescent="0.3">
      <c r="A112" s="26">
        <v>2189</v>
      </c>
      <c r="B112" s="27" t="s">
        <v>183</v>
      </c>
      <c r="C112" s="27" t="s">
        <v>246</v>
      </c>
      <c r="D112" s="27">
        <v>0</v>
      </c>
      <c r="E112" s="27">
        <v>0</v>
      </c>
      <c r="F112" s="39">
        <v>0</v>
      </c>
      <c r="G112" s="26">
        <v>0</v>
      </c>
      <c r="H112" s="26">
        <v>0</v>
      </c>
      <c r="I112" s="29">
        <v>0</v>
      </c>
      <c r="J112" s="26">
        <v>19</v>
      </c>
      <c r="K112" s="26">
        <v>285</v>
      </c>
      <c r="L112" s="26">
        <v>0</v>
      </c>
      <c r="M112" s="26">
        <v>0</v>
      </c>
      <c r="N112" s="31">
        <v>20970.3</v>
      </c>
      <c r="O112" s="26">
        <v>12</v>
      </c>
      <c r="P112" s="26">
        <v>180</v>
      </c>
      <c r="Q112" s="49">
        <v>2340</v>
      </c>
      <c r="R112" s="26">
        <v>0</v>
      </c>
      <c r="S112" s="50">
        <v>0</v>
      </c>
      <c r="T112" s="51">
        <v>23310.3</v>
      </c>
      <c r="U112" s="26">
        <v>0</v>
      </c>
      <c r="V112" s="52">
        <v>0</v>
      </c>
      <c r="X112" s="53">
        <f t="shared" si="6"/>
        <v>18648.240000000002</v>
      </c>
      <c r="Z112" s="54">
        <v>18648.240000000002</v>
      </c>
      <c r="AA112" s="55">
        <f>Z112-X112</f>
        <v>0</v>
      </c>
      <c r="AD112" s="27" t="s">
        <v>32</v>
      </c>
      <c r="AE112" s="27" t="s">
        <v>182</v>
      </c>
      <c r="AI112" s="56"/>
      <c r="AJ112" s="56"/>
      <c r="AK112" s="56"/>
    </row>
    <row r="113" spans="1:37" x14ac:dyDescent="0.3">
      <c r="A113" s="26">
        <v>2191</v>
      </c>
      <c r="B113" s="27" t="s">
        <v>313</v>
      </c>
      <c r="C113" s="27" t="s">
        <v>49</v>
      </c>
      <c r="D113" s="27">
        <v>0</v>
      </c>
      <c r="E113" s="27">
        <v>0</v>
      </c>
      <c r="F113" s="39">
        <v>0</v>
      </c>
      <c r="G113" s="26">
        <v>0</v>
      </c>
      <c r="H113" s="26">
        <v>0</v>
      </c>
      <c r="I113" s="29">
        <v>0</v>
      </c>
      <c r="J113" s="26">
        <v>27</v>
      </c>
      <c r="K113" s="26">
        <v>405</v>
      </c>
      <c r="L113" s="26">
        <v>3</v>
      </c>
      <c r="M113" s="26">
        <v>45</v>
      </c>
      <c r="N113" s="31">
        <v>33111</v>
      </c>
      <c r="O113" s="26">
        <v>9</v>
      </c>
      <c r="P113" s="26">
        <v>135</v>
      </c>
      <c r="Q113" s="49">
        <v>1755</v>
      </c>
      <c r="R113" s="26">
        <v>0</v>
      </c>
      <c r="S113" s="50">
        <v>0</v>
      </c>
      <c r="T113" s="51">
        <v>34866</v>
      </c>
      <c r="U113" s="26">
        <v>1</v>
      </c>
      <c r="V113" s="52">
        <v>320.89473684210526</v>
      </c>
      <c r="X113" s="53">
        <f t="shared" si="6"/>
        <v>28149.515789473688</v>
      </c>
      <c r="AA113" s="49"/>
      <c r="AI113" s="56"/>
      <c r="AJ113" s="56"/>
      <c r="AK113" s="56"/>
    </row>
    <row r="114" spans="1:37" x14ac:dyDescent="0.3">
      <c r="A114" s="26">
        <v>2194</v>
      </c>
      <c r="B114" s="27" t="s">
        <v>314</v>
      </c>
      <c r="C114" s="27" t="s">
        <v>49</v>
      </c>
      <c r="D114" s="27">
        <v>0</v>
      </c>
      <c r="E114" s="27">
        <v>0</v>
      </c>
      <c r="F114" s="39">
        <v>0</v>
      </c>
      <c r="G114" s="26">
        <v>0</v>
      </c>
      <c r="H114" s="26">
        <v>0</v>
      </c>
      <c r="I114" s="29">
        <v>0</v>
      </c>
      <c r="J114" s="26">
        <v>63</v>
      </c>
      <c r="K114" s="26">
        <v>945</v>
      </c>
      <c r="L114" s="26">
        <v>1</v>
      </c>
      <c r="M114" s="26">
        <v>15</v>
      </c>
      <c r="N114" s="31">
        <v>70636.800000000003</v>
      </c>
      <c r="O114" s="26">
        <v>4</v>
      </c>
      <c r="P114" s="26">
        <v>60</v>
      </c>
      <c r="Q114" s="49">
        <v>780</v>
      </c>
      <c r="R114" s="26">
        <v>1</v>
      </c>
      <c r="S114" s="50">
        <v>74.578947368421055</v>
      </c>
      <c r="T114" s="51">
        <v>71491.37894736843</v>
      </c>
      <c r="U114" s="26">
        <v>0</v>
      </c>
      <c r="V114" s="52">
        <v>0</v>
      </c>
      <c r="X114" s="53">
        <f t="shared" si="6"/>
        <v>57193.103157894744</v>
      </c>
      <c r="AA114" s="49"/>
      <c r="AI114" s="56"/>
      <c r="AJ114" s="56"/>
      <c r="AK114" s="56"/>
    </row>
    <row r="115" spans="1:37" x14ac:dyDescent="0.3">
      <c r="A115" s="26">
        <v>2195</v>
      </c>
      <c r="B115" s="27" t="s">
        <v>315</v>
      </c>
      <c r="C115" s="27" t="s">
        <v>49</v>
      </c>
      <c r="D115" s="27">
        <v>0</v>
      </c>
      <c r="E115" s="27">
        <v>0</v>
      </c>
      <c r="F115" s="39">
        <v>0</v>
      </c>
      <c r="G115" s="26">
        <v>13</v>
      </c>
      <c r="H115" s="26">
        <v>195</v>
      </c>
      <c r="I115" s="29">
        <v>21572.85</v>
      </c>
      <c r="J115" s="26">
        <v>55</v>
      </c>
      <c r="K115" s="26">
        <v>813</v>
      </c>
      <c r="L115" s="26">
        <v>0</v>
      </c>
      <c r="M115" s="26">
        <v>0</v>
      </c>
      <c r="N115" s="31">
        <v>59820.54</v>
      </c>
      <c r="O115" s="26">
        <v>35</v>
      </c>
      <c r="P115" s="26">
        <v>525</v>
      </c>
      <c r="Q115" s="49">
        <v>6825</v>
      </c>
      <c r="R115" s="26">
        <v>0</v>
      </c>
      <c r="S115" s="50">
        <v>0</v>
      </c>
      <c r="T115" s="51">
        <v>88218.39</v>
      </c>
      <c r="U115" s="26">
        <v>0</v>
      </c>
      <c r="V115" s="52">
        <v>0</v>
      </c>
      <c r="X115" s="53">
        <f t="shared" si="6"/>
        <v>70574.712</v>
      </c>
      <c r="AA115" s="49"/>
      <c r="AI115" s="56"/>
      <c r="AJ115" s="56"/>
      <c r="AK115" s="56"/>
    </row>
    <row r="116" spans="1:37" x14ac:dyDescent="0.3">
      <c r="A116" s="26">
        <v>2196</v>
      </c>
      <c r="B116" s="27" t="s">
        <v>316</v>
      </c>
      <c r="C116" s="27" t="s">
        <v>49</v>
      </c>
      <c r="D116" s="27">
        <v>0</v>
      </c>
      <c r="E116" s="27">
        <v>0</v>
      </c>
      <c r="F116" s="39">
        <v>0</v>
      </c>
      <c r="G116" s="26">
        <v>0</v>
      </c>
      <c r="H116" s="26">
        <v>0</v>
      </c>
      <c r="I116" s="29">
        <v>0</v>
      </c>
      <c r="J116" s="26">
        <v>23</v>
      </c>
      <c r="K116" s="26">
        <v>345</v>
      </c>
      <c r="L116" s="26">
        <v>0</v>
      </c>
      <c r="M116" s="26">
        <v>0</v>
      </c>
      <c r="N116" s="31">
        <v>25385.100000000002</v>
      </c>
      <c r="O116" s="26">
        <v>0</v>
      </c>
      <c r="P116" s="26">
        <v>0</v>
      </c>
      <c r="Q116" s="49">
        <v>0</v>
      </c>
      <c r="R116" s="26">
        <v>0</v>
      </c>
      <c r="S116" s="50">
        <v>0</v>
      </c>
      <c r="T116" s="51">
        <v>25385.100000000002</v>
      </c>
      <c r="U116" s="26">
        <v>0</v>
      </c>
      <c r="V116" s="52">
        <v>0</v>
      </c>
      <c r="X116" s="53">
        <f t="shared" si="6"/>
        <v>20308.080000000002</v>
      </c>
      <c r="AA116" s="49"/>
      <c r="AI116" s="56"/>
      <c r="AJ116" s="56"/>
      <c r="AK116" s="56"/>
    </row>
    <row r="117" spans="1:37" x14ac:dyDescent="0.3">
      <c r="A117" s="26">
        <v>2204</v>
      </c>
      <c r="B117" s="27" t="s">
        <v>317</v>
      </c>
      <c r="C117" s="27" t="s">
        <v>49</v>
      </c>
      <c r="D117" s="27">
        <v>0</v>
      </c>
      <c r="E117" s="27">
        <v>0</v>
      </c>
      <c r="F117" s="39">
        <v>0</v>
      </c>
      <c r="G117" s="26">
        <v>0</v>
      </c>
      <c r="H117" s="26">
        <v>0</v>
      </c>
      <c r="I117" s="29">
        <v>0</v>
      </c>
      <c r="J117" s="26">
        <v>25</v>
      </c>
      <c r="K117" s="26">
        <v>375</v>
      </c>
      <c r="L117" s="26">
        <v>4</v>
      </c>
      <c r="M117" s="26">
        <v>60</v>
      </c>
      <c r="N117" s="31">
        <v>32007.3</v>
      </c>
      <c r="O117" s="26">
        <v>10</v>
      </c>
      <c r="P117" s="26">
        <v>150</v>
      </c>
      <c r="Q117" s="49">
        <v>1950</v>
      </c>
      <c r="R117" s="26">
        <v>9</v>
      </c>
      <c r="S117" s="50">
        <v>671.21052631578948</v>
      </c>
      <c r="T117" s="51">
        <v>34628.510526315789</v>
      </c>
      <c r="U117" s="26">
        <v>0</v>
      </c>
      <c r="V117" s="52">
        <v>0</v>
      </c>
      <c r="X117" s="53">
        <f t="shared" si="6"/>
        <v>27702.808421052632</v>
      </c>
      <c r="AA117" s="49"/>
      <c r="AI117" s="56"/>
      <c r="AJ117" s="56"/>
      <c r="AK117" s="56"/>
    </row>
    <row r="118" spans="1:37" x14ac:dyDescent="0.3">
      <c r="A118" s="26">
        <v>2211</v>
      </c>
      <c r="B118" s="27" t="s">
        <v>318</v>
      </c>
      <c r="C118" s="27" t="s">
        <v>49</v>
      </c>
      <c r="D118" s="27">
        <v>0</v>
      </c>
      <c r="E118" s="27">
        <v>0</v>
      </c>
      <c r="F118" s="39">
        <v>0</v>
      </c>
      <c r="G118" s="26">
        <v>0</v>
      </c>
      <c r="H118" s="26">
        <v>0</v>
      </c>
      <c r="I118" s="29">
        <v>0</v>
      </c>
      <c r="J118" s="26">
        <v>42</v>
      </c>
      <c r="K118" s="26">
        <v>630</v>
      </c>
      <c r="L118" s="26">
        <v>8</v>
      </c>
      <c r="M118" s="26">
        <v>120</v>
      </c>
      <c r="N118" s="31">
        <v>55185</v>
      </c>
      <c r="O118" s="26">
        <v>22</v>
      </c>
      <c r="P118" s="26">
        <v>330</v>
      </c>
      <c r="Q118" s="49">
        <v>4290</v>
      </c>
      <c r="R118" s="26">
        <v>4</v>
      </c>
      <c r="S118" s="50">
        <v>298.31578947368422</v>
      </c>
      <c r="T118" s="51">
        <v>59773.315789473687</v>
      </c>
      <c r="U118" s="26">
        <v>0</v>
      </c>
      <c r="V118" s="52">
        <v>0</v>
      </c>
      <c r="X118" s="53">
        <f t="shared" si="6"/>
        <v>47818.652631578952</v>
      </c>
      <c r="AA118" s="49"/>
      <c r="AI118" s="56"/>
      <c r="AJ118" s="56"/>
      <c r="AK118" s="56"/>
    </row>
    <row r="119" spans="1:37" x14ac:dyDescent="0.3">
      <c r="A119" s="26">
        <v>2227</v>
      </c>
      <c r="B119" s="27" t="s">
        <v>319</v>
      </c>
      <c r="C119" s="27" t="s">
        <v>27</v>
      </c>
      <c r="D119" s="27">
        <v>0</v>
      </c>
      <c r="E119" s="27">
        <v>0</v>
      </c>
      <c r="F119" s="39">
        <v>0</v>
      </c>
      <c r="G119" s="26">
        <v>0</v>
      </c>
      <c r="H119" s="26">
        <v>0</v>
      </c>
      <c r="I119" s="29">
        <v>0</v>
      </c>
      <c r="J119" s="26">
        <v>52</v>
      </c>
      <c r="K119" s="26">
        <v>780</v>
      </c>
      <c r="L119" s="26">
        <v>10</v>
      </c>
      <c r="M119" s="26">
        <v>150</v>
      </c>
      <c r="N119" s="31">
        <v>68429.399999999994</v>
      </c>
      <c r="O119" s="26">
        <v>25</v>
      </c>
      <c r="P119" s="26">
        <v>375</v>
      </c>
      <c r="Q119" s="49">
        <v>4875</v>
      </c>
      <c r="R119" s="26">
        <v>23</v>
      </c>
      <c r="S119" s="50">
        <v>1715.3157894736842</v>
      </c>
      <c r="T119" s="51">
        <v>75019.715789473674</v>
      </c>
      <c r="U119" s="26">
        <v>0</v>
      </c>
      <c r="V119" s="52">
        <v>0</v>
      </c>
      <c r="X119" s="53">
        <f t="shared" si="6"/>
        <v>60015.77263157894</v>
      </c>
      <c r="Z119" s="54">
        <v>60015.77263157894</v>
      </c>
      <c r="AA119" s="55">
        <f t="shared" ref="AA119:AA125" si="9">Z119-X119</f>
        <v>0</v>
      </c>
      <c r="AD119" s="27" t="s">
        <v>32</v>
      </c>
      <c r="AE119" s="27" t="s">
        <v>176</v>
      </c>
      <c r="AI119" s="56"/>
      <c r="AJ119" s="56"/>
      <c r="AK119" s="56"/>
    </row>
    <row r="120" spans="1:37" x14ac:dyDescent="0.3">
      <c r="A120" s="26">
        <v>2231</v>
      </c>
      <c r="B120" s="27" t="s">
        <v>320</v>
      </c>
      <c r="C120" s="27" t="s">
        <v>27</v>
      </c>
      <c r="D120" s="27">
        <v>0</v>
      </c>
      <c r="E120" s="27">
        <v>0</v>
      </c>
      <c r="F120" s="39">
        <v>0</v>
      </c>
      <c r="G120" s="26">
        <v>0</v>
      </c>
      <c r="H120" s="26">
        <v>0</v>
      </c>
      <c r="I120" s="29">
        <v>0</v>
      </c>
      <c r="J120" s="26">
        <v>41</v>
      </c>
      <c r="K120" s="26">
        <v>615</v>
      </c>
      <c r="L120" s="26">
        <v>6</v>
      </c>
      <c r="M120" s="26">
        <v>90</v>
      </c>
      <c r="N120" s="31">
        <v>51873.9</v>
      </c>
      <c r="O120" s="26">
        <v>9</v>
      </c>
      <c r="P120" s="26">
        <v>135</v>
      </c>
      <c r="Q120" s="49">
        <v>1755</v>
      </c>
      <c r="R120" s="26">
        <v>0</v>
      </c>
      <c r="S120" s="50">
        <v>0</v>
      </c>
      <c r="T120" s="51">
        <v>53628.9</v>
      </c>
      <c r="U120" s="26">
        <v>0</v>
      </c>
      <c r="V120" s="52">
        <v>0</v>
      </c>
      <c r="X120" s="53">
        <f t="shared" si="6"/>
        <v>42903.12</v>
      </c>
      <c r="Z120" s="54">
        <v>42903.12</v>
      </c>
      <c r="AA120" s="55">
        <f t="shared" si="9"/>
        <v>0</v>
      </c>
      <c r="AD120" s="27" t="s">
        <v>32</v>
      </c>
      <c r="AE120" s="27" t="s">
        <v>178</v>
      </c>
      <c r="AI120" s="56"/>
      <c r="AJ120" s="56"/>
      <c r="AK120" s="56"/>
    </row>
    <row r="121" spans="1:37" x14ac:dyDescent="0.3">
      <c r="A121" s="26">
        <v>2238</v>
      </c>
      <c r="B121" s="27" t="s">
        <v>321</v>
      </c>
      <c r="C121" s="27" t="s">
        <v>27</v>
      </c>
      <c r="D121" s="27">
        <v>0</v>
      </c>
      <c r="E121" s="27">
        <v>0</v>
      </c>
      <c r="F121" s="39">
        <v>0</v>
      </c>
      <c r="G121" s="26">
        <v>0</v>
      </c>
      <c r="H121" s="26">
        <v>0</v>
      </c>
      <c r="I121" s="29">
        <v>0</v>
      </c>
      <c r="J121" s="26">
        <v>34</v>
      </c>
      <c r="K121" s="26">
        <v>510</v>
      </c>
      <c r="L121" s="26">
        <v>15</v>
      </c>
      <c r="M121" s="26">
        <v>225</v>
      </c>
      <c r="N121" s="31">
        <v>54081.3</v>
      </c>
      <c r="O121" s="26">
        <v>9</v>
      </c>
      <c r="P121" s="26">
        <v>135</v>
      </c>
      <c r="Q121" s="49">
        <v>1755</v>
      </c>
      <c r="R121" s="26">
        <v>0</v>
      </c>
      <c r="S121" s="50">
        <v>0</v>
      </c>
      <c r="T121" s="51">
        <v>55836.3</v>
      </c>
      <c r="U121" s="26">
        <v>0</v>
      </c>
      <c r="V121" s="52">
        <v>0</v>
      </c>
      <c r="X121" s="53">
        <f t="shared" si="6"/>
        <v>44669.040000000008</v>
      </c>
      <c r="Z121" s="54">
        <v>44669.040000000008</v>
      </c>
      <c r="AA121" s="55">
        <f t="shared" si="9"/>
        <v>0</v>
      </c>
      <c r="AD121" s="27" t="s">
        <v>32</v>
      </c>
      <c r="AE121" s="27" t="s">
        <v>47</v>
      </c>
      <c r="AI121" s="56"/>
      <c r="AJ121" s="56"/>
      <c r="AK121" s="56"/>
    </row>
    <row r="122" spans="1:37" x14ac:dyDescent="0.3">
      <c r="A122" s="26">
        <v>2239</v>
      </c>
      <c r="B122" s="27" t="s">
        <v>322</v>
      </c>
      <c r="C122" s="27" t="s">
        <v>27</v>
      </c>
      <c r="D122" s="27">
        <v>0</v>
      </c>
      <c r="E122" s="27">
        <v>0</v>
      </c>
      <c r="F122" s="39">
        <v>0</v>
      </c>
      <c r="G122" s="26">
        <v>0</v>
      </c>
      <c r="H122" s="26">
        <v>0</v>
      </c>
      <c r="I122" s="29">
        <v>0</v>
      </c>
      <c r="J122" s="26">
        <v>37</v>
      </c>
      <c r="K122" s="26">
        <v>555</v>
      </c>
      <c r="L122" s="26">
        <v>10</v>
      </c>
      <c r="M122" s="26">
        <v>150</v>
      </c>
      <c r="N122" s="31">
        <v>51873.9</v>
      </c>
      <c r="O122" s="26">
        <v>0</v>
      </c>
      <c r="P122" s="26">
        <v>0</v>
      </c>
      <c r="Q122" s="49">
        <v>0</v>
      </c>
      <c r="R122" s="26">
        <v>0</v>
      </c>
      <c r="S122" s="50">
        <v>0</v>
      </c>
      <c r="T122" s="51">
        <v>51873.9</v>
      </c>
      <c r="U122" s="26">
        <v>1</v>
      </c>
      <c r="V122" s="52">
        <v>320.89473684210526</v>
      </c>
      <c r="X122" s="53">
        <f t="shared" si="6"/>
        <v>41755.835789473691</v>
      </c>
      <c r="Z122" s="54">
        <v>41755.835789473691</v>
      </c>
      <c r="AA122" s="55">
        <f t="shared" si="9"/>
        <v>0</v>
      </c>
      <c r="AD122" s="27" t="s">
        <v>32</v>
      </c>
      <c r="AE122" s="27" t="s">
        <v>37</v>
      </c>
      <c r="AI122" s="56"/>
      <c r="AJ122" s="56"/>
      <c r="AK122" s="56"/>
    </row>
    <row r="123" spans="1:37" x14ac:dyDescent="0.3">
      <c r="A123" s="26">
        <v>2245</v>
      </c>
      <c r="B123" s="27" t="s">
        <v>323</v>
      </c>
      <c r="C123" s="27" t="s">
        <v>27</v>
      </c>
      <c r="D123" s="27">
        <v>0</v>
      </c>
      <c r="E123" s="27">
        <v>0</v>
      </c>
      <c r="F123" s="39">
        <v>0</v>
      </c>
      <c r="G123" s="26">
        <v>0</v>
      </c>
      <c r="H123" s="26">
        <v>0</v>
      </c>
      <c r="I123" s="29">
        <v>0</v>
      </c>
      <c r="J123" s="26">
        <v>25</v>
      </c>
      <c r="K123" s="26">
        <v>375</v>
      </c>
      <c r="L123" s="26">
        <v>0</v>
      </c>
      <c r="M123" s="26">
        <v>0</v>
      </c>
      <c r="N123" s="31">
        <v>27592.5</v>
      </c>
      <c r="O123" s="26">
        <v>14</v>
      </c>
      <c r="P123" s="26">
        <v>210</v>
      </c>
      <c r="Q123" s="49">
        <v>2730</v>
      </c>
      <c r="R123" s="26">
        <v>14</v>
      </c>
      <c r="S123" s="50">
        <v>1044.1052631578948</v>
      </c>
      <c r="T123" s="51">
        <v>31366.605263157893</v>
      </c>
      <c r="U123" s="26">
        <v>0</v>
      </c>
      <c r="V123" s="52">
        <v>0</v>
      </c>
      <c r="X123" s="53">
        <f t="shared" si="6"/>
        <v>25093.284210526315</v>
      </c>
      <c r="Z123" s="54">
        <v>25093.284210526315</v>
      </c>
      <c r="AA123" s="55">
        <f t="shared" si="9"/>
        <v>0</v>
      </c>
      <c r="AD123" s="27" t="s">
        <v>32</v>
      </c>
      <c r="AE123" s="27" t="s">
        <v>164</v>
      </c>
      <c r="AI123" s="56"/>
      <c r="AJ123" s="56"/>
      <c r="AK123" s="56"/>
    </row>
    <row r="124" spans="1:37" x14ac:dyDescent="0.3">
      <c r="A124" s="26">
        <v>2251</v>
      </c>
      <c r="B124" s="27" t="s">
        <v>324</v>
      </c>
      <c r="C124" s="27" t="s">
        <v>27</v>
      </c>
      <c r="D124" s="27">
        <v>0</v>
      </c>
      <c r="E124" s="27">
        <v>0</v>
      </c>
      <c r="F124" s="39">
        <v>0</v>
      </c>
      <c r="G124" s="26">
        <v>0</v>
      </c>
      <c r="H124" s="26">
        <v>0</v>
      </c>
      <c r="I124" s="29">
        <v>0</v>
      </c>
      <c r="J124" s="26">
        <v>24</v>
      </c>
      <c r="K124" s="26">
        <v>360</v>
      </c>
      <c r="L124" s="26">
        <v>22</v>
      </c>
      <c r="M124" s="26">
        <v>330</v>
      </c>
      <c r="N124" s="31">
        <v>50770.2</v>
      </c>
      <c r="O124" s="26">
        <v>2</v>
      </c>
      <c r="P124" s="26">
        <v>30</v>
      </c>
      <c r="Q124" s="49">
        <v>390</v>
      </c>
      <c r="R124" s="26">
        <v>2</v>
      </c>
      <c r="S124" s="50">
        <v>149.15789473684211</v>
      </c>
      <c r="T124" s="51">
        <v>51309.357894736837</v>
      </c>
      <c r="U124" s="26">
        <v>1</v>
      </c>
      <c r="V124" s="52">
        <v>320.89473684210526</v>
      </c>
      <c r="X124" s="53">
        <f t="shared" si="6"/>
        <v>41304.202105263161</v>
      </c>
      <c r="Z124" s="54">
        <v>41304.202105263161</v>
      </c>
      <c r="AA124" s="55">
        <f t="shared" si="9"/>
        <v>0</v>
      </c>
      <c r="AD124" s="27" t="s">
        <v>32</v>
      </c>
      <c r="AE124" s="27" t="s">
        <v>56</v>
      </c>
      <c r="AI124" s="56"/>
      <c r="AJ124" s="56"/>
      <c r="AK124" s="56"/>
    </row>
    <row r="125" spans="1:37" x14ac:dyDescent="0.3">
      <c r="A125" s="26">
        <v>2293</v>
      </c>
      <c r="B125" s="27" t="s">
        <v>173</v>
      </c>
      <c r="C125" s="27" t="s">
        <v>27</v>
      </c>
      <c r="D125" s="27">
        <v>0</v>
      </c>
      <c r="E125" s="27">
        <v>0</v>
      </c>
      <c r="F125" s="39">
        <v>0</v>
      </c>
      <c r="G125" s="26">
        <v>0</v>
      </c>
      <c r="H125" s="26">
        <v>0</v>
      </c>
      <c r="I125" s="29">
        <v>0</v>
      </c>
      <c r="J125" s="26">
        <v>55</v>
      </c>
      <c r="K125" s="26">
        <v>825</v>
      </c>
      <c r="L125" s="26">
        <v>0</v>
      </c>
      <c r="M125" s="26">
        <v>0</v>
      </c>
      <c r="N125" s="31">
        <v>60703.5</v>
      </c>
      <c r="O125" s="26">
        <v>10</v>
      </c>
      <c r="P125" s="26">
        <v>150</v>
      </c>
      <c r="Q125" s="49">
        <v>1950</v>
      </c>
      <c r="R125" s="26">
        <v>0</v>
      </c>
      <c r="S125" s="50">
        <v>0</v>
      </c>
      <c r="T125" s="51">
        <v>62653.5</v>
      </c>
      <c r="U125" s="26">
        <v>0</v>
      </c>
      <c r="V125" s="52">
        <v>0</v>
      </c>
      <c r="X125" s="53">
        <f t="shared" si="6"/>
        <v>50122.8</v>
      </c>
      <c r="Z125" s="54">
        <v>50122.8</v>
      </c>
      <c r="AA125" s="55">
        <f t="shared" si="9"/>
        <v>0</v>
      </c>
      <c r="AD125" s="27" t="s">
        <v>32</v>
      </c>
      <c r="AE125" s="27" t="s">
        <v>172</v>
      </c>
      <c r="AI125" s="56"/>
      <c r="AJ125" s="56"/>
      <c r="AK125" s="56"/>
    </row>
    <row r="126" spans="1:37" x14ac:dyDescent="0.3">
      <c r="A126" s="26">
        <v>2299</v>
      </c>
      <c r="B126" s="27" t="s">
        <v>325</v>
      </c>
      <c r="C126" s="27" t="s">
        <v>49</v>
      </c>
      <c r="D126" s="27">
        <v>0</v>
      </c>
      <c r="E126" s="27">
        <v>0</v>
      </c>
      <c r="F126" s="39">
        <v>0</v>
      </c>
      <c r="G126" s="26">
        <v>0</v>
      </c>
      <c r="H126" s="26">
        <v>0</v>
      </c>
      <c r="I126" s="29">
        <v>0</v>
      </c>
      <c r="J126" s="26">
        <v>63</v>
      </c>
      <c r="K126" s="26">
        <v>945</v>
      </c>
      <c r="L126" s="26">
        <v>14</v>
      </c>
      <c r="M126" s="26">
        <v>210</v>
      </c>
      <c r="N126" s="31">
        <v>84984.900000000009</v>
      </c>
      <c r="O126" s="26">
        <v>21</v>
      </c>
      <c r="P126" s="26">
        <v>315</v>
      </c>
      <c r="Q126" s="49">
        <v>4095</v>
      </c>
      <c r="R126" s="26">
        <v>0</v>
      </c>
      <c r="S126" s="50">
        <v>0</v>
      </c>
      <c r="T126" s="51">
        <v>89079.900000000009</v>
      </c>
      <c r="U126" s="26">
        <v>0</v>
      </c>
      <c r="V126" s="52">
        <v>0</v>
      </c>
      <c r="X126" s="53">
        <f t="shared" si="6"/>
        <v>71263.920000000013</v>
      </c>
      <c r="AA126" s="49"/>
      <c r="AI126" s="56"/>
      <c r="AJ126" s="56"/>
      <c r="AK126" s="56"/>
    </row>
    <row r="127" spans="1:37" x14ac:dyDescent="0.3">
      <c r="A127" s="26">
        <v>2300</v>
      </c>
      <c r="B127" s="27" t="s">
        <v>326</v>
      </c>
      <c r="C127" s="27" t="s">
        <v>27</v>
      </c>
      <c r="D127" s="27">
        <v>0</v>
      </c>
      <c r="E127" s="27">
        <v>0</v>
      </c>
      <c r="F127" s="39">
        <v>0</v>
      </c>
      <c r="G127" s="26">
        <v>0</v>
      </c>
      <c r="H127" s="26">
        <v>0</v>
      </c>
      <c r="I127" s="29">
        <v>0</v>
      </c>
      <c r="J127" s="26">
        <v>72</v>
      </c>
      <c r="K127" s="26">
        <v>1080</v>
      </c>
      <c r="L127" s="26">
        <v>4</v>
      </c>
      <c r="M127" s="26">
        <v>60</v>
      </c>
      <c r="N127" s="31">
        <v>83881.200000000012</v>
      </c>
      <c r="O127" s="26">
        <v>22</v>
      </c>
      <c r="P127" s="26">
        <v>330</v>
      </c>
      <c r="Q127" s="49">
        <v>4290</v>
      </c>
      <c r="R127" s="26">
        <v>0</v>
      </c>
      <c r="S127" s="50">
        <v>0</v>
      </c>
      <c r="T127" s="51">
        <v>88171.200000000012</v>
      </c>
      <c r="U127" s="26">
        <v>0</v>
      </c>
      <c r="V127" s="52">
        <v>0</v>
      </c>
      <c r="X127" s="53">
        <f t="shared" si="6"/>
        <v>70536.960000000006</v>
      </c>
      <c r="Z127" s="54">
        <v>70536.960000000006</v>
      </c>
      <c r="AA127" s="55">
        <f t="shared" ref="AA127:AA128" si="10">Z127-X127</f>
        <v>0</v>
      </c>
      <c r="AD127" s="27" t="s">
        <v>32</v>
      </c>
      <c r="AE127" s="27" t="s">
        <v>35</v>
      </c>
      <c r="AI127" s="56"/>
      <c r="AJ127" s="56"/>
      <c r="AK127" s="56"/>
    </row>
    <row r="128" spans="1:37" x14ac:dyDescent="0.3">
      <c r="A128" s="26">
        <v>2308</v>
      </c>
      <c r="B128" s="27" t="s">
        <v>163</v>
      </c>
      <c r="C128" s="27" t="s">
        <v>27</v>
      </c>
      <c r="D128" s="27">
        <v>0</v>
      </c>
      <c r="E128" s="27">
        <v>0</v>
      </c>
      <c r="F128" s="39">
        <v>0</v>
      </c>
      <c r="G128" s="26">
        <v>0</v>
      </c>
      <c r="H128" s="26">
        <v>0</v>
      </c>
      <c r="I128" s="29">
        <v>0</v>
      </c>
      <c r="J128" s="26">
        <v>44</v>
      </c>
      <c r="K128" s="26">
        <v>660</v>
      </c>
      <c r="L128" s="26">
        <v>9</v>
      </c>
      <c r="M128" s="26">
        <v>135</v>
      </c>
      <c r="N128" s="31">
        <v>58496.100000000006</v>
      </c>
      <c r="O128" s="26">
        <v>16</v>
      </c>
      <c r="P128" s="26">
        <v>240</v>
      </c>
      <c r="Q128" s="49">
        <v>3120</v>
      </c>
      <c r="R128" s="26">
        <v>2</v>
      </c>
      <c r="S128" s="50">
        <v>149.15789473684211</v>
      </c>
      <c r="T128" s="51">
        <v>61765.257894736846</v>
      </c>
      <c r="U128" s="26">
        <v>0</v>
      </c>
      <c r="V128" s="52">
        <v>0</v>
      </c>
      <c r="X128" s="53">
        <f t="shared" si="6"/>
        <v>49412.206315789481</v>
      </c>
      <c r="Z128" s="54">
        <v>49412.206315789481</v>
      </c>
      <c r="AA128" s="55">
        <f t="shared" si="10"/>
        <v>0</v>
      </c>
      <c r="AD128" s="27" t="s">
        <v>32</v>
      </c>
      <c r="AE128" s="27" t="s">
        <v>162</v>
      </c>
      <c r="AI128" s="56"/>
      <c r="AJ128" s="56"/>
      <c r="AK128" s="56"/>
    </row>
    <row r="129" spans="1:37" x14ac:dyDescent="0.3">
      <c r="A129" s="26">
        <v>2309</v>
      </c>
      <c r="B129" s="27" t="s">
        <v>327</v>
      </c>
      <c r="C129" s="27" t="s">
        <v>49</v>
      </c>
      <c r="D129" s="27">
        <v>0</v>
      </c>
      <c r="E129" s="27">
        <v>0</v>
      </c>
      <c r="F129" s="39">
        <v>0</v>
      </c>
      <c r="G129" s="26">
        <v>0</v>
      </c>
      <c r="H129" s="26">
        <v>0</v>
      </c>
      <c r="I129" s="29">
        <v>0</v>
      </c>
      <c r="J129" s="26">
        <v>39</v>
      </c>
      <c r="K129" s="26">
        <v>585</v>
      </c>
      <c r="L129" s="26">
        <v>9</v>
      </c>
      <c r="M129" s="26">
        <v>135</v>
      </c>
      <c r="N129" s="31">
        <v>52977.600000000006</v>
      </c>
      <c r="O129" s="26">
        <v>7</v>
      </c>
      <c r="P129" s="26">
        <v>105</v>
      </c>
      <c r="Q129" s="49">
        <v>1365</v>
      </c>
      <c r="R129" s="26">
        <v>0</v>
      </c>
      <c r="S129" s="50">
        <v>0</v>
      </c>
      <c r="T129" s="51">
        <v>54342.600000000006</v>
      </c>
      <c r="U129" s="26">
        <v>0</v>
      </c>
      <c r="V129" s="52">
        <v>0</v>
      </c>
      <c r="X129" s="53">
        <f t="shared" si="6"/>
        <v>43474.080000000009</v>
      </c>
      <c r="AA129" s="49"/>
      <c r="AI129" s="56"/>
      <c r="AJ129" s="56"/>
      <c r="AK129" s="56"/>
    </row>
    <row r="130" spans="1:37" x14ac:dyDescent="0.3">
      <c r="A130" s="26">
        <v>2317</v>
      </c>
      <c r="B130" s="27" t="s">
        <v>328</v>
      </c>
      <c r="C130" s="27" t="s">
        <v>27</v>
      </c>
      <c r="D130" s="27">
        <v>0</v>
      </c>
      <c r="E130" s="27">
        <v>0</v>
      </c>
      <c r="F130" s="39">
        <v>0</v>
      </c>
      <c r="G130" s="26">
        <v>0</v>
      </c>
      <c r="H130" s="26">
        <v>0</v>
      </c>
      <c r="I130" s="29">
        <v>0</v>
      </c>
      <c r="J130" s="26">
        <v>48</v>
      </c>
      <c r="K130" s="26">
        <v>720</v>
      </c>
      <c r="L130" s="26">
        <v>24</v>
      </c>
      <c r="M130" s="26">
        <v>360</v>
      </c>
      <c r="N130" s="31">
        <v>79466.399999999994</v>
      </c>
      <c r="O130" s="26">
        <v>6</v>
      </c>
      <c r="P130" s="26">
        <v>90</v>
      </c>
      <c r="Q130" s="49">
        <v>1170</v>
      </c>
      <c r="R130" s="26">
        <v>2</v>
      </c>
      <c r="S130" s="50">
        <v>149.15789473684211</v>
      </c>
      <c r="T130" s="51">
        <v>80785.557894736834</v>
      </c>
      <c r="U130" s="26">
        <v>0</v>
      </c>
      <c r="V130" s="52">
        <v>0</v>
      </c>
      <c r="X130" s="53">
        <f t="shared" si="6"/>
        <v>64628.446315789472</v>
      </c>
      <c r="Z130" s="54">
        <v>64628.446315789472</v>
      </c>
      <c r="AA130" s="55">
        <f t="shared" ref="AA130:AA131" si="11">Z130-X130</f>
        <v>0</v>
      </c>
      <c r="AD130" s="27" t="s">
        <v>32</v>
      </c>
      <c r="AE130" s="27" t="s">
        <v>174</v>
      </c>
      <c r="AI130" s="56"/>
      <c r="AJ130" s="56"/>
      <c r="AK130" s="56"/>
    </row>
    <row r="131" spans="1:37" x14ac:dyDescent="0.3">
      <c r="A131" s="26">
        <v>2402</v>
      </c>
      <c r="B131" s="27" t="s">
        <v>42</v>
      </c>
      <c r="C131" s="27" t="s">
        <v>27</v>
      </c>
      <c r="D131" s="27">
        <v>0</v>
      </c>
      <c r="E131" s="27">
        <v>0</v>
      </c>
      <c r="F131" s="39">
        <v>0</v>
      </c>
      <c r="G131" s="26">
        <v>0</v>
      </c>
      <c r="H131" s="26">
        <v>0</v>
      </c>
      <c r="I131" s="29">
        <v>0</v>
      </c>
      <c r="J131" s="26">
        <v>35</v>
      </c>
      <c r="K131" s="26">
        <v>510</v>
      </c>
      <c r="L131" s="26">
        <v>18</v>
      </c>
      <c r="M131" s="26">
        <v>270</v>
      </c>
      <c r="N131" s="31">
        <v>57392.400000000009</v>
      </c>
      <c r="O131" s="26">
        <v>3</v>
      </c>
      <c r="P131" s="26">
        <v>45</v>
      </c>
      <c r="Q131" s="49">
        <v>585</v>
      </c>
      <c r="R131" s="26">
        <v>0</v>
      </c>
      <c r="S131" s="50">
        <v>0</v>
      </c>
      <c r="T131" s="51">
        <v>57977.400000000009</v>
      </c>
      <c r="U131" s="26">
        <v>0</v>
      </c>
      <c r="V131" s="52">
        <v>0</v>
      </c>
      <c r="X131" s="53">
        <f t="shared" si="6"/>
        <v>46381.920000000013</v>
      </c>
      <c r="Z131" s="54">
        <v>46381.920000000013</v>
      </c>
      <c r="AA131" s="55">
        <f t="shared" si="11"/>
        <v>0</v>
      </c>
      <c r="AD131" s="27" t="s">
        <v>32</v>
      </c>
      <c r="AE131" s="27" t="s">
        <v>41</v>
      </c>
      <c r="AI131" s="56"/>
      <c r="AJ131" s="56"/>
      <c r="AK131" s="56"/>
    </row>
    <row r="132" spans="1:37" x14ac:dyDescent="0.3">
      <c r="A132" s="26">
        <v>2429</v>
      </c>
      <c r="B132" s="27" t="s">
        <v>329</v>
      </c>
      <c r="C132" s="27" t="s">
        <v>49</v>
      </c>
      <c r="D132" s="27">
        <v>0</v>
      </c>
      <c r="E132" s="27">
        <v>0</v>
      </c>
      <c r="F132" s="39">
        <v>0</v>
      </c>
      <c r="G132" s="26">
        <v>0</v>
      </c>
      <c r="H132" s="26">
        <v>0</v>
      </c>
      <c r="I132" s="29">
        <v>0</v>
      </c>
      <c r="J132" s="26">
        <v>37</v>
      </c>
      <c r="K132" s="26">
        <v>555</v>
      </c>
      <c r="L132" s="26">
        <v>9</v>
      </c>
      <c r="M132" s="26">
        <v>135</v>
      </c>
      <c r="N132" s="31">
        <v>50770.200000000004</v>
      </c>
      <c r="O132" s="26">
        <v>3</v>
      </c>
      <c r="P132" s="26">
        <v>45</v>
      </c>
      <c r="Q132" s="49">
        <v>585</v>
      </c>
      <c r="R132" s="26">
        <v>3</v>
      </c>
      <c r="S132" s="50">
        <v>223.73684210526318</v>
      </c>
      <c r="T132" s="51">
        <v>51578.936842105264</v>
      </c>
      <c r="U132" s="26">
        <v>0</v>
      </c>
      <c r="V132" s="52">
        <v>0</v>
      </c>
      <c r="X132" s="53">
        <f t="shared" si="6"/>
        <v>41263.149473684214</v>
      </c>
      <c r="AA132" s="49"/>
      <c r="AI132" s="56"/>
      <c r="AJ132" s="56"/>
      <c r="AK132" s="56"/>
    </row>
    <row r="133" spans="1:37" x14ac:dyDescent="0.3">
      <c r="A133" s="26">
        <v>2434</v>
      </c>
      <c r="B133" s="27" t="s">
        <v>330</v>
      </c>
      <c r="C133" s="27" t="s">
        <v>49</v>
      </c>
      <c r="D133" s="27">
        <v>0</v>
      </c>
      <c r="E133" s="27">
        <v>0</v>
      </c>
      <c r="F133" s="39">
        <v>0</v>
      </c>
      <c r="G133" s="26">
        <v>0</v>
      </c>
      <c r="H133" s="26">
        <v>0</v>
      </c>
      <c r="I133" s="29">
        <v>0</v>
      </c>
      <c r="J133" s="26">
        <v>45</v>
      </c>
      <c r="K133" s="26">
        <v>675</v>
      </c>
      <c r="L133" s="26">
        <v>24</v>
      </c>
      <c r="M133" s="26">
        <v>360</v>
      </c>
      <c r="N133" s="31">
        <v>76155.3</v>
      </c>
      <c r="O133" s="26">
        <v>12</v>
      </c>
      <c r="P133" s="26">
        <v>180</v>
      </c>
      <c r="Q133" s="49">
        <v>2340</v>
      </c>
      <c r="R133" s="26">
        <v>6</v>
      </c>
      <c r="S133" s="50">
        <v>447.47368421052636</v>
      </c>
      <c r="T133" s="51">
        <v>78942.773684210522</v>
      </c>
      <c r="U133" s="26">
        <v>0</v>
      </c>
      <c r="V133" s="52">
        <v>0</v>
      </c>
      <c r="X133" s="53">
        <f t="shared" si="6"/>
        <v>63154.218947368419</v>
      </c>
      <c r="AA133" s="49"/>
      <c r="AI133" s="56"/>
      <c r="AJ133" s="56"/>
      <c r="AK133" s="56"/>
    </row>
    <row r="134" spans="1:37" x14ac:dyDescent="0.3">
      <c r="A134" s="26">
        <v>2212</v>
      </c>
      <c r="B134" s="27" t="s">
        <v>331</v>
      </c>
      <c r="C134" s="27" t="s">
        <v>49</v>
      </c>
      <c r="D134" s="27">
        <v>0</v>
      </c>
      <c r="E134" s="27">
        <v>0</v>
      </c>
      <c r="F134" s="39">
        <v>0</v>
      </c>
      <c r="G134" s="26">
        <v>0</v>
      </c>
      <c r="H134" s="26">
        <v>0</v>
      </c>
      <c r="I134" s="29">
        <v>0</v>
      </c>
      <c r="J134" s="26">
        <v>21</v>
      </c>
      <c r="K134" s="26">
        <v>315</v>
      </c>
      <c r="L134" s="26">
        <v>0</v>
      </c>
      <c r="M134" s="26">
        <v>0</v>
      </c>
      <c r="N134" s="31">
        <v>23177.7</v>
      </c>
      <c r="O134" s="26">
        <v>0</v>
      </c>
      <c r="P134" s="26">
        <v>0</v>
      </c>
      <c r="Q134" s="49">
        <v>0</v>
      </c>
      <c r="R134" s="26">
        <v>0</v>
      </c>
      <c r="S134" s="50">
        <v>0</v>
      </c>
      <c r="T134" s="51">
        <v>23177.7</v>
      </c>
      <c r="U134" s="26">
        <v>0</v>
      </c>
      <c r="V134" s="52">
        <v>0</v>
      </c>
      <c r="X134" s="53">
        <f t="shared" si="6"/>
        <v>18542.16</v>
      </c>
      <c r="AA134" s="49"/>
      <c r="AI134" s="56"/>
      <c r="AJ134" s="56"/>
      <c r="AK134" s="56"/>
    </row>
    <row r="135" spans="1:37" x14ac:dyDescent="0.3">
      <c r="A135" s="26">
        <v>2441</v>
      </c>
      <c r="B135" s="27" t="s">
        <v>105</v>
      </c>
      <c r="C135" s="27" t="s">
        <v>27</v>
      </c>
      <c r="D135" s="27">
        <v>0</v>
      </c>
      <c r="E135" s="27">
        <v>0</v>
      </c>
      <c r="F135" s="39">
        <v>0</v>
      </c>
      <c r="G135" s="26">
        <v>0</v>
      </c>
      <c r="H135" s="26">
        <v>0</v>
      </c>
      <c r="I135" s="29">
        <v>0</v>
      </c>
      <c r="J135" s="26">
        <v>30</v>
      </c>
      <c r="K135" s="26">
        <v>450</v>
      </c>
      <c r="L135" s="26">
        <v>0</v>
      </c>
      <c r="M135" s="26">
        <v>0</v>
      </c>
      <c r="N135" s="31">
        <v>33111</v>
      </c>
      <c r="O135" s="26">
        <v>15</v>
      </c>
      <c r="P135" s="26">
        <v>225</v>
      </c>
      <c r="Q135" s="49">
        <v>2925</v>
      </c>
      <c r="R135" s="26">
        <v>0</v>
      </c>
      <c r="S135" s="50">
        <v>0</v>
      </c>
      <c r="T135" s="51">
        <v>36036</v>
      </c>
      <c r="U135" s="26">
        <v>0</v>
      </c>
      <c r="V135" s="52">
        <v>0</v>
      </c>
      <c r="X135" s="53">
        <f t="shared" si="6"/>
        <v>28828.800000000003</v>
      </c>
      <c r="Z135" s="54">
        <v>28828.800000000003</v>
      </c>
      <c r="AA135" s="55">
        <f>Z135-X135</f>
        <v>0</v>
      </c>
      <c r="AD135" s="27" t="s">
        <v>32</v>
      </c>
      <c r="AE135" s="27" t="s">
        <v>104</v>
      </c>
      <c r="AI135" s="56"/>
      <c r="AJ135" s="56"/>
      <c r="AK135" s="56"/>
    </row>
    <row r="136" spans="1:37" x14ac:dyDescent="0.3">
      <c r="A136" s="26">
        <v>2443</v>
      </c>
      <c r="B136" s="27" t="s">
        <v>332</v>
      </c>
      <c r="C136" s="27" t="s">
        <v>49</v>
      </c>
      <c r="D136" s="27">
        <v>0</v>
      </c>
      <c r="E136" s="27">
        <v>0</v>
      </c>
      <c r="F136" s="39">
        <v>0</v>
      </c>
      <c r="G136" s="26">
        <v>0</v>
      </c>
      <c r="H136" s="26">
        <v>0</v>
      </c>
      <c r="I136" s="29">
        <v>0</v>
      </c>
      <c r="J136" s="26">
        <v>31</v>
      </c>
      <c r="K136" s="26">
        <v>465</v>
      </c>
      <c r="L136" s="26">
        <v>0</v>
      </c>
      <c r="M136" s="26">
        <v>0</v>
      </c>
      <c r="N136" s="31">
        <v>34214.700000000004</v>
      </c>
      <c r="O136" s="26">
        <v>22</v>
      </c>
      <c r="P136" s="26">
        <v>330</v>
      </c>
      <c r="Q136" s="49">
        <v>4290</v>
      </c>
      <c r="R136" s="26">
        <v>19</v>
      </c>
      <c r="S136" s="50">
        <v>1417</v>
      </c>
      <c r="T136" s="51">
        <v>39921.700000000004</v>
      </c>
      <c r="U136" s="26">
        <v>0</v>
      </c>
      <c r="V136" s="52">
        <v>0</v>
      </c>
      <c r="X136" s="53">
        <f t="shared" ref="X136:X194" si="12">(T136+V136)*0.8</f>
        <v>31937.360000000004</v>
      </c>
      <c r="AA136" s="49"/>
      <c r="AI136" s="56"/>
      <c r="AJ136" s="56"/>
      <c r="AK136" s="56"/>
    </row>
    <row r="137" spans="1:37" x14ac:dyDescent="0.3">
      <c r="A137" s="26">
        <v>2447</v>
      </c>
      <c r="B137" s="27" t="s">
        <v>333</v>
      </c>
      <c r="C137" s="27" t="s">
        <v>49</v>
      </c>
      <c r="D137" s="27">
        <v>0</v>
      </c>
      <c r="E137" s="27">
        <v>0</v>
      </c>
      <c r="F137" s="39">
        <v>0</v>
      </c>
      <c r="G137" s="26">
        <v>0</v>
      </c>
      <c r="H137" s="26">
        <v>0</v>
      </c>
      <c r="I137" s="29">
        <v>0</v>
      </c>
      <c r="J137" s="26">
        <v>54</v>
      </c>
      <c r="K137" s="26">
        <v>810</v>
      </c>
      <c r="L137" s="26">
        <v>0</v>
      </c>
      <c r="M137" s="26">
        <v>0</v>
      </c>
      <c r="N137" s="31">
        <v>59599.8</v>
      </c>
      <c r="O137" s="26">
        <v>29</v>
      </c>
      <c r="P137" s="26">
        <v>435</v>
      </c>
      <c r="Q137" s="49">
        <v>5655</v>
      </c>
      <c r="R137" s="26">
        <v>29</v>
      </c>
      <c r="S137" s="50">
        <v>2162.7894736842104</v>
      </c>
      <c r="T137" s="51">
        <v>67417.589473684217</v>
      </c>
      <c r="U137" s="26">
        <v>0</v>
      </c>
      <c r="V137" s="52">
        <v>0</v>
      </c>
      <c r="X137" s="53">
        <f t="shared" si="12"/>
        <v>53934.071578947376</v>
      </c>
      <c r="AA137" s="49"/>
      <c r="AI137" s="56"/>
      <c r="AJ137" s="56"/>
      <c r="AK137" s="56"/>
    </row>
    <row r="138" spans="1:37" x14ac:dyDescent="0.3">
      <c r="A138" s="26">
        <v>2449</v>
      </c>
      <c r="B138" s="27" t="s">
        <v>334</v>
      </c>
      <c r="C138" s="27" t="s">
        <v>49</v>
      </c>
      <c r="D138" s="27">
        <v>0</v>
      </c>
      <c r="E138" s="27">
        <v>0</v>
      </c>
      <c r="F138" s="39">
        <v>0</v>
      </c>
      <c r="G138" s="26">
        <v>0</v>
      </c>
      <c r="H138" s="26">
        <v>0</v>
      </c>
      <c r="I138" s="29">
        <v>0</v>
      </c>
      <c r="J138" s="26">
        <v>37</v>
      </c>
      <c r="K138" s="26">
        <v>555</v>
      </c>
      <c r="L138" s="26">
        <v>0</v>
      </c>
      <c r="M138" s="26">
        <v>0</v>
      </c>
      <c r="N138" s="31">
        <v>40836.9</v>
      </c>
      <c r="O138" s="26">
        <v>1</v>
      </c>
      <c r="P138" s="26">
        <v>15</v>
      </c>
      <c r="Q138" s="49">
        <v>195</v>
      </c>
      <c r="R138" s="26">
        <v>0</v>
      </c>
      <c r="S138" s="50">
        <v>0</v>
      </c>
      <c r="T138" s="51">
        <v>41031.9</v>
      </c>
      <c r="U138" s="26">
        <v>0</v>
      </c>
      <c r="V138" s="52">
        <v>0</v>
      </c>
      <c r="X138" s="53">
        <f t="shared" si="12"/>
        <v>32825.520000000004</v>
      </c>
      <c r="AA138" s="49"/>
      <c r="AI138" s="56"/>
      <c r="AJ138" s="56"/>
      <c r="AK138" s="56"/>
    </row>
    <row r="139" spans="1:37" x14ac:dyDescent="0.3">
      <c r="A139" s="26">
        <v>2450</v>
      </c>
      <c r="B139" s="27" t="s">
        <v>335</v>
      </c>
      <c r="C139" s="27" t="s">
        <v>49</v>
      </c>
      <c r="D139" s="27">
        <v>0</v>
      </c>
      <c r="E139" s="27">
        <v>0</v>
      </c>
      <c r="F139" s="39">
        <v>0</v>
      </c>
      <c r="G139" s="26">
        <v>0</v>
      </c>
      <c r="H139" s="26">
        <v>0</v>
      </c>
      <c r="I139" s="29">
        <v>0</v>
      </c>
      <c r="J139" s="26">
        <v>31</v>
      </c>
      <c r="K139" s="26">
        <v>465</v>
      </c>
      <c r="L139" s="26">
        <v>16</v>
      </c>
      <c r="M139" s="26">
        <v>240</v>
      </c>
      <c r="N139" s="31">
        <v>51873.900000000009</v>
      </c>
      <c r="O139" s="26">
        <v>10</v>
      </c>
      <c r="P139" s="26">
        <v>150</v>
      </c>
      <c r="Q139" s="49">
        <v>1950</v>
      </c>
      <c r="R139" s="26">
        <v>8</v>
      </c>
      <c r="S139" s="50">
        <v>596.63157894736844</v>
      </c>
      <c r="T139" s="51">
        <v>54420.531578947375</v>
      </c>
      <c r="U139" s="26">
        <v>0</v>
      </c>
      <c r="V139" s="52">
        <v>0</v>
      </c>
      <c r="X139" s="53">
        <f t="shared" si="12"/>
        <v>43536.4252631579</v>
      </c>
      <c r="AA139" s="49"/>
      <c r="AI139" s="56"/>
      <c r="AJ139" s="56"/>
      <c r="AK139" s="56"/>
    </row>
    <row r="140" spans="1:37" x14ac:dyDescent="0.3">
      <c r="A140" s="26">
        <v>2453</v>
      </c>
      <c r="B140" s="27" t="s">
        <v>336</v>
      </c>
      <c r="C140" s="27" t="s">
        <v>49</v>
      </c>
      <c r="D140" s="27">
        <v>0</v>
      </c>
      <c r="E140" s="27">
        <v>0</v>
      </c>
      <c r="F140" s="39">
        <v>0</v>
      </c>
      <c r="G140" s="26">
        <v>0</v>
      </c>
      <c r="H140" s="26">
        <v>0</v>
      </c>
      <c r="I140" s="29">
        <v>0</v>
      </c>
      <c r="J140" s="26">
        <v>30</v>
      </c>
      <c r="K140" s="26">
        <v>450</v>
      </c>
      <c r="L140" s="26">
        <v>0</v>
      </c>
      <c r="M140" s="26">
        <v>0</v>
      </c>
      <c r="N140" s="31">
        <v>33111</v>
      </c>
      <c r="O140" s="26">
        <v>0</v>
      </c>
      <c r="P140" s="26">
        <v>0</v>
      </c>
      <c r="Q140" s="49">
        <v>0</v>
      </c>
      <c r="R140" s="26">
        <v>0</v>
      </c>
      <c r="S140" s="50">
        <v>0</v>
      </c>
      <c r="T140" s="51">
        <v>33111</v>
      </c>
      <c r="U140" s="26">
        <v>0</v>
      </c>
      <c r="V140" s="52">
        <v>0</v>
      </c>
      <c r="X140" s="53">
        <f t="shared" si="12"/>
        <v>26488.800000000003</v>
      </c>
      <c r="AA140" s="49"/>
      <c r="AI140" s="56"/>
      <c r="AJ140" s="56"/>
      <c r="AK140" s="56"/>
    </row>
    <row r="141" spans="1:37" x14ac:dyDescent="0.3">
      <c r="A141" s="26">
        <v>2454</v>
      </c>
      <c r="B141" s="27" t="s">
        <v>337</v>
      </c>
      <c r="C141" s="27" t="s">
        <v>27</v>
      </c>
      <c r="D141" s="27">
        <v>0</v>
      </c>
      <c r="E141" s="27">
        <v>0</v>
      </c>
      <c r="F141" s="39">
        <v>0</v>
      </c>
      <c r="G141" s="26">
        <v>0</v>
      </c>
      <c r="H141" s="26">
        <v>0</v>
      </c>
      <c r="I141" s="29">
        <v>0</v>
      </c>
      <c r="J141" s="26">
        <v>48</v>
      </c>
      <c r="K141" s="26">
        <v>720</v>
      </c>
      <c r="L141" s="26">
        <v>8</v>
      </c>
      <c r="M141" s="26">
        <v>120</v>
      </c>
      <c r="N141" s="31">
        <v>61807.199999999997</v>
      </c>
      <c r="O141" s="26">
        <v>13</v>
      </c>
      <c r="P141" s="26">
        <v>195</v>
      </c>
      <c r="Q141" s="49">
        <v>2535</v>
      </c>
      <c r="R141" s="26">
        <v>3</v>
      </c>
      <c r="S141" s="50">
        <v>223.73684210526318</v>
      </c>
      <c r="T141" s="51">
        <v>64565.936842105257</v>
      </c>
      <c r="U141" s="26">
        <v>0</v>
      </c>
      <c r="V141" s="52">
        <v>0</v>
      </c>
      <c r="X141" s="53">
        <f t="shared" si="12"/>
        <v>51652.749473684205</v>
      </c>
      <c r="Z141" s="54">
        <v>51652.749473684205</v>
      </c>
      <c r="AA141" s="55">
        <f>Z141-X141</f>
        <v>0</v>
      </c>
      <c r="AD141" s="27" t="s">
        <v>32</v>
      </c>
      <c r="AE141" s="27" t="s">
        <v>70</v>
      </c>
      <c r="AI141" s="56"/>
      <c r="AJ141" s="56"/>
      <c r="AK141" s="56"/>
    </row>
    <row r="142" spans="1:37" x14ac:dyDescent="0.3">
      <c r="A142" s="26">
        <v>2455</v>
      </c>
      <c r="B142" s="27" t="s">
        <v>338</v>
      </c>
      <c r="C142" s="27" t="s">
        <v>49</v>
      </c>
      <c r="D142" s="27">
        <v>0</v>
      </c>
      <c r="E142" s="27">
        <v>0</v>
      </c>
      <c r="F142" s="39">
        <v>0</v>
      </c>
      <c r="G142" s="26">
        <v>0</v>
      </c>
      <c r="H142" s="26">
        <v>0</v>
      </c>
      <c r="I142" s="29">
        <v>0</v>
      </c>
      <c r="J142" s="26">
        <v>38</v>
      </c>
      <c r="K142" s="26">
        <v>570</v>
      </c>
      <c r="L142" s="26">
        <v>8</v>
      </c>
      <c r="M142" s="26">
        <v>105</v>
      </c>
      <c r="N142" s="31">
        <v>49666.5</v>
      </c>
      <c r="O142" s="26">
        <v>14</v>
      </c>
      <c r="P142" s="26">
        <v>210</v>
      </c>
      <c r="Q142" s="49">
        <v>2730</v>
      </c>
      <c r="R142" s="26">
        <v>2</v>
      </c>
      <c r="S142" s="50">
        <v>149.15789473684211</v>
      </c>
      <c r="T142" s="51">
        <v>52545.65789473684</v>
      </c>
      <c r="U142" s="26">
        <v>0</v>
      </c>
      <c r="V142" s="52">
        <v>0</v>
      </c>
      <c r="X142" s="53">
        <f t="shared" si="12"/>
        <v>42036.526315789473</v>
      </c>
      <c r="AA142" s="49"/>
      <c r="AI142" s="56"/>
      <c r="AJ142" s="56"/>
      <c r="AK142" s="56"/>
    </row>
    <row r="143" spans="1:37" x14ac:dyDescent="0.3">
      <c r="A143" s="26">
        <v>2457</v>
      </c>
      <c r="B143" s="27" t="s">
        <v>339</v>
      </c>
      <c r="C143" s="27" t="s">
        <v>27</v>
      </c>
      <c r="D143" s="27">
        <v>0</v>
      </c>
      <c r="E143" s="27">
        <v>0</v>
      </c>
      <c r="F143" s="39">
        <v>0</v>
      </c>
      <c r="G143" s="26">
        <v>0</v>
      </c>
      <c r="H143" s="26">
        <v>0</v>
      </c>
      <c r="I143" s="29">
        <v>0</v>
      </c>
      <c r="J143" s="26">
        <v>44</v>
      </c>
      <c r="K143" s="26">
        <v>660</v>
      </c>
      <c r="L143" s="26">
        <v>0</v>
      </c>
      <c r="M143" s="26">
        <v>0</v>
      </c>
      <c r="N143" s="31">
        <v>48562.8</v>
      </c>
      <c r="O143" s="26">
        <v>23</v>
      </c>
      <c r="P143" s="26">
        <v>345</v>
      </c>
      <c r="Q143" s="49">
        <v>4485</v>
      </c>
      <c r="R143" s="26">
        <v>23</v>
      </c>
      <c r="S143" s="50">
        <v>1715.3157894736842</v>
      </c>
      <c r="T143" s="51">
        <v>54763.11578947369</v>
      </c>
      <c r="U143" s="26">
        <v>0</v>
      </c>
      <c r="V143" s="52">
        <v>0</v>
      </c>
      <c r="X143" s="53">
        <f t="shared" si="12"/>
        <v>43810.492631578956</v>
      </c>
      <c r="Z143" s="54">
        <v>43810.492631578956</v>
      </c>
      <c r="AA143" s="55">
        <f>Z143-X143</f>
        <v>0</v>
      </c>
      <c r="AD143" s="27" t="s">
        <v>32</v>
      </c>
      <c r="AE143" s="27" t="s">
        <v>112</v>
      </c>
      <c r="AI143" s="56"/>
      <c r="AJ143" s="56"/>
      <c r="AK143" s="56"/>
    </row>
    <row r="144" spans="1:37" x14ac:dyDescent="0.3">
      <c r="A144" s="26">
        <v>2458</v>
      </c>
      <c r="B144" s="27" t="s">
        <v>340</v>
      </c>
      <c r="C144" s="27" t="s">
        <v>49</v>
      </c>
      <c r="D144" s="27">
        <v>0</v>
      </c>
      <c r="E144" s="27">
        <v>0</v>
      </c>
      <c r="F144" s="39">
        <v>0</v>
      </c>
      <c r="G144" s="26">
        <v>0</v>
      </c>
      <c r="H144" s="26">
        <v>0</v>
      </c>
      <c r="I144" s="29">
        <v>0</v>
      </c>
      <c r="J144" s="26">
        <v>50</v>
      </c>
      <c r="K144" s="26">
        <v>750</v>
      </c>
      <c r="L144" s="26">
        <v>0</v>
      </c>
      <c r="M144" s="26">
        <v>0</v>
      </c>
      <c r="N144" s="31">
        <v>55185</v>
      </c>
      <c r="O144" s="26">
        <v>13</v>
      </c>
      <c r="P144" s="26">
        <v>195</v>
      </c>
      <c r="Q144" s="49">
        <v>2535</v>
      </c>
      <c r="R144" s="26">
        <v>0</v>
      </c>
      <c r="S144" s="50">
        <v>0</v>
      </c>
      <c r="T144" s="51">
        <v>57720</v>
      </c>
      <c r="U144" s="26">
        <v>0</v>
      </c>
      <c r="V144" s="52">
        <v>0</v>
      </c>
      <c r="X144" s="53">
        <f t="shared" si="12"/>
        <v>46176</v>
      </c>
      <c r="AA144" s="49"/>
      <c r="AI144" s="56"/>
      <c r="AJ144" s="56"/>
      <c r="AK144" s="56"/>
    </row>
    <row r="145" spans="1:37" x14ac:dyDescent="0.3">
      <c r="A145" s="26">
        <v>2460</v>
      </c>
      <c r="B145" s="27" t="s">
        <v>341</v>
      </c>
      <c r="C145" s="27" t="s">
        <v>49</v>
      </c>
      <c r="D145" s="27">
        <v>0</v>
      </c>
      <c r="E145" s="27">
        <v>0</v>
      </c>
      <c r="F145" s="39">
        <v>0</v>
      </c>
      <c r="G145" s="26">
        <v>0</v>
      </c>
      <c r="H145" s="26">
        <v>0</v>
      </c>
      <c r="I145" s="29">
        <v>0</v>
      </c>
      <c r="J145" s="26">
        <v>31</v>
      </c>
      <c r="K145" s="26">
        <v>390</v>
      </c>
      <c r="L145" s="26">
        <v>8</v>
      </c>
      <c r="M145" s="26">
        <v>120</v>
      </c>
      <c r="N145" s="31">
        <v>37525.800000000003</v>
      </c>
      <c r="O145" s="26">
        <v>13</v>
      </c>
      <c r="P145" s="26">
        <v>195</v>
      </c>
      <c r="Q145" s="49">
        <v>2535</v>
      </c>
      <c r="R145" s="26">
        <v>13</v>
      </c>
      <c r="S145" s="50">
        <v>969.52631578947376</v>
      </c>
      <c r="T145" s="51">
        <v>41030.326315789476</v>
      </c>
      <c r="U145" s="26">
        <v>0</v>
      </c>
      <c r="V145" s="52">
        <v>0</v>
      </c>
      <c r="X145" s="53">
        <f t="shared" si="12"/>
        <v>32824.261052631584</v>
      </c>
      <c r="AA145" s="49"/>
      <c r="AI145" s="56"/>
      <c r="AJ145" s="56"/>
      <c r="AK145" s="56"/>
    </row>
    <row r="146" spans="1:37" x14ac:dyDescent="0.3">
      <c r="A146" s="26">
        <v>2463</v>
      </c>
      <c r="B146" s="27" t="s">
        <v>342</v>
      </c>
      <c r="C146" s="27" t="s">
        <v>49</v>
      </c>
      <c r="D146" s="27">
        <v>0</v>
      </c>
      <c r="E146" s="27">
        <v>0</v>
      </c>
      <c r="F146" s="39">
        <v>0</v>
      </c>
      <c r="G146" s="26">
        <v>0</v>
      </c>
      <c r="H146" s="26">
        <v>0</v>
      </c>
      <c r="I146" s="29">
        <v>0</v>
      </c>
      <c r="J146" s="26">
        <v>34</v>
      </c>
      <c r="K146" s="26">
        <v>510</v>
      </c>
      <c r="L146" s="26">
        <v>15</v>
      </c>
      <c r="M146" s="26">
        <v>225</v>
      </c>
      <c r="N146" s="31">
        <v>54081.3</v>
      </c>
      <c r="O146" s="26">
        <v>4</v>
      </c>
      <c r="P146" s="26">
        <v>60</v>
      </c>
      <c r="Q146" s="49">
        <v>780</v>
      </c>
      <c r="R146" s="26">
        <v>0</v>
      </c>
      <c r="S146" s="50">
        <v>0</v>
      </c>
      <c r="T146" s="51">
        <v>54861.3</v>
      </c>
      <c r="U146" s="26">
        <v>0</v>
      </c>
      <c r="V146" s="52">
        <v>0</v>
      </c>
      <c r="X146" s="53">
        <f t="shared" si="12"/>
        <v>43889.040000000008</v>
      </c>
      <c r="AA146" s="49"/>
      <c r="AI146" s="56"/>
      <c r="AJ146" s="56"/>
      <c r="AK146" s="56"/>
    </row>
    <row r="147" spans="1:37" x14ac:dyDescent="0.3">
      <c r="A147" s="26">
        <v>2465</v>
      </c>
      <c r="B147" s="27" t="s">
        <v>51</v>
      </c>
      <c r="C147" s="27" t="s">
        <v>27</v>
      </c>
      <c r="D147" s="27">
        <v>0</v>
      </c>
      <c r="E147" s="27">
        <v>0</v>
      </c>
      <c r="F147" s="39">
        <v>0</v>
      </c>
      <c r="G147" s="26">
        <v>0</v>
      </c>
      <c r="H147" s="26">
        <v>0</v>
      </c>
      <c r="I147" s="29">
        <v>0</v>
      </c>
      <c r="J147" s="26">
        <v>42</v>
      </c>
      <c r="K147" s="26">
        <v>630</v>
      </c>
      <c r="L147" s="26">
        <v>0</v>
      </c>
      <c r="M147" s="26">
        <v>0</v>
      </c>
      <c r="N147" s="31">
        <v>46355.4</v>
      </c>
      <c r="O147" s="26">
        <v>13</v>
      </c>
      <c r="P147" s="26">
        <v>195</v>
      </c>
      <c r="Q147" s="49">
        <v>2535</v>
      </c>
      <c r="R147" s="26">
        <v>0</v>
      </c>
      <c r="S147" s="50">
        <v>0</v>
      </c>
      <c r="T147" s="51">
        <v>48890.400000000001</v>
      </c>
      <c r="U147" s="26">
        <v>0</v>
      </c>
      <c r="V147" s="52">
        <v>0</v>
      </c>
      <c r="X147" s="53">
        <f t="shared" si="12"/>
        <v>39112.32</v>
      </c>
      <c r="Z147" s="54">
        <v>39112.32</v>
      </c>
      <c r="AA147" s="55">
        <f t="shared" ref="AA147:AA148" si="13">Z147-X147</f>
        <v>0</v>
      </c>
      <c r="AD147" s="27" t="s">
        <v>32</v>
      </c>
      <c r="AE147" s="27" t="s">
        <v>50</v>
      </c>
      <c r="AI147" s="56"/>
      <c r="AJ147" s="56"/>
      <c r="AK147" s="56"/>
    </row>
    <row r="148" spans="1:37" x14ac:dyDescent="0.3">
      <c r="A148" s="26">
        <v>2466</v>
      </c>
      <c r="B148" s="27" t="s">
        <v>343</v>
      </c>
      <c r="C148" s="27" t="s">
        <v>27</v>
      </c>
      <c r="D148" s="27">
        <v>0</v>
      </c>
      <c r="E148" s="27">
        <v>0</v>
      </c>
      <c r="F148" s="39">
        <v>0</v>
      </c>
      <c r="G148" s="26">
        <v>0</v>
      </c>
      <c r="H148" s="26">
        <v>0</v>
      </c>
      <c r="I148" s="29">
        <v>0</v>
      </c>
      <c r="J148" s="26">
        <v>58</v>
      </c>
      <c r="K148" s="26">
        <v>870</v>
      </c>
      <c r="L148" s="26">
        <v>7</v>
      </c>
      <c r="M148" s="26">
        <v>105</v>
      </c>
      <c r="N148" s="31">
        <v>71740.5</v>
      </c>
      <c r="O148" s="26">
        <v>18</v>
      </c>
      <c r="P148" s="26">
        <v>270</v>
      </c>
      <c r="Q148" s="49">
        <v>3510</v>
      </c>
      <c r="R148" s="26">
        <v>18</v>
      </c>
      <c r="S148" s="50">
        <v>1342.421052631579</v>
      </c>
      <c r="T148" s="51">
        <v>76592.921052631573</v>
      </c>
      <c r="U148" s="26">
        <v>0</v>
      </c>
      <c r="V148" s="52">
        <v>0</v>
      </c>
      <c r="X148" s="53">
        <f t="shared" si="12"/>
        <v>61274.336842105258</v>
      </c>
      <c r="Z148" s="54">
        <v>61274.336842105258</v>
      </c>
      <c r="AA148" s="55">
        <f t="shared" si="13"/>
        <v>0</v>
      </c>
      <c r="AD148" s="27" t="s">
        <v>32</v>
      </c>
      <c r="AE148" s="27" t="s">
        <v>82</v>
      </c>
      <c r="AI148" s="56"/>
      <c r="AJ148" s="56"/>
      <c r="AK148" s="56"/>
    </row>
    <row r="149" spans="1:37" x14ac:dyDescent="0.3">
      <c r="A149" s="26">
        <v>2471</v>
      </c>
      <c r="B149" s="27" t="s">
        <v>344</v>
      </c>
      <c r="C149" s="27" t="s">
        <v>49</v>
      </c>
      <c r="D149" s="27">
        <v>0</v>
      </c>
      <c r="E149" s="27">
        <v>0</v>
      </c>
      <c r="F149" s="39">
        <v>0</v>
      </c>
      <c r="G149" s="26">
        <v>0</v>
      </c>
      <c r="H149" s="26">
        <v>0</v>
      </c>
      <c r="I149" s="29">
        <v>0</v>
      </c>
      <c r="J149" s="26">
        <v>41</v>
      </c>
      <c r="K149" s="26">
        <v>615</v>
      </c>
      <c r="L149" s="26">
        <v>0</v>
      </c>
      <c r="M149" s="26">
        <v>0</v>
      </c>
      <c r="N149" s="31">
        <v>45251.700000000004</v>
      </c>
      <c r="O149" s="26">
        <v>8</v>
      </c>
      <c r="P149" s="26">
        <v>120</v>
      </c>
      <c r="Q149" s="49">
        <v>1560</v>
      </c>
      <c r="R149" s="26">
        <v>0</v>
      </c>
      <c r="S149" s="50">
        <v>0</v>
      </c>
      <c r="T149" s="51">
        <v>46811.700000000004</v>
      </c>
      <c r="U149" s="26">
        <v>0</v>
      </c>
      <c r="V149" s="52">
        <v>0</v>
      </c>
      <c r="X149" s="53">
        <f t="shared" si="12"/>
        <v>37449.360000000008</v>
      </c>
      <c r="AA149" s="49"/>
      <c r="AI149" s="56"/>
      <c r="AJ149" s="56"/>
      <c r="AK149" s="56"/>
    </row>
    <row r="150" spans="1:37" x14ac:dyDescent="0.3">
      <c r="A150" s="26">
        <v>2478</v>
      </c>
      <c r="B150" s="27" t="s">
        <v>171</v>
      </c>
      <c r="C150" s="27" t="s">
        <v>27</v>
      </c>
      <c r="D150" s="27">
        <v>0</v>
      </c>
      <c r="E150" s="27">
        <v>0</v>
      </c>
      <c r="F150" s="39">
        <v>0</v>
      </c>
      <c r="G150" s="26">
        <v>0</v>
      </c>
      <c r="H150" s="26">
        <v>0</v>
      </c>
      <c r="I150" s="29">
        <v>0</v>
      </c>
      <c r="J150" s="26">
        <v>29</v>
      </c>
      <c r="K150" s="26">
        <v>435</v>
      </c>
      <c r="L150" s="26">
        <v>23</v>
      </c>
      <c r="M150" s="26">
        <v>345</v>
      </c>
      <c r="N150" s="31">
        <v>57392.4</v>
      </c>
      <c r="O150" s="26">
        <v>0</v>
      </c>
      <c r="P150" s="26">
        <v>0</v>
      </c>
      <c r="Q150" s="49">
        <v>0</v>
      </c>
      <c r="R150" s="26">
        <v>0</v>
      </c>
      <c r="S150" s="50">
        <v>0</v>
      </c>
      <c r="T150" s="51">
        <v>57392.4</v>
      </c>
      <c r="U150" s="26">
        <v>0</v>
      </c>
      <c r="V150" s="52">
        <v>0</v>
      </c>
      <c r="X150" s="53">
        <f t="shared" si="12"/>
        <v>45913.920000000006</v>
      </c>
      <c r="Z150" s="54">
        <v>45913.920000000006</v>
      </c>
      <c r="AA150" s="55">
        <f t="shared" ref="AA150:AA151" si="14">Z150-X150</f>
        <v>0</v>
      </c>
      <c r="AD150" s="27" t="s">
        <v>32</v>
      </c>
      <c r="AE150" s="27" t="s">
        <v>170</v>
      </c>
      <c r="AI150" s="56"/>
      <c r="AJ150" s="56"/>
      <c r="AK150" s="56"/>
    </row>
    <row r="151" spans="1:37" x14ac:dyDescent="0.3">
      <c r="A151" s="26">
        <v>2479</v>
      </c>
      <c r="B151" s="27" t="s">
        <v>34</v>
      </c>
      <c r="C151" s="27" t="s">
        <v>27</v>
      </c>
      <c r="D151" s="27">
        <v>0</v>
      </c>
      <c r="E151" s="27">
        <v>0</v>
      </c>
      <c r="F151" s="39">
        <v>0</v>
      </c>
      <c r="G151" s="26">
        <v>0</v>
      </c>
      <c r="H151" s="26">
        <v>0</v>
      </c>
      <c r="I151" s="29">
        <v>0</v>
      </c>
      <c r="J151" s="26">
        <v>85</v>
      </c>
      <c r="K151" s="26">
        <v>1275</v>
      </c>
      <c r="L151" s="26">
        <v>7</v>
      </c>
      <c r="M151" s="26">
        <v>90</v>
      </c>
      <c r="N151" s="31">
        <v>100436.7</v>
      </c>
      <c r="O151" s="26">
        <v>18</v>
      </c>
      <c r="P151" s="26">
        <v>270</v>
      </c>
      <c r="Q151" s="49">
        <v>3510</v>
      </c>
      <c r="R151" s="26">
        <v>29</v>
      </c>
      <c r="S151" s="50">
        <v>2162.7894736842104</v>
      </c>
      <c r="T151" s="51">
        <v>106109.48947368421</v>
      </c>
      <c r="U151" s="26">
        <v>0</v>
      </c>
      <c r="V151" s="52">
        <v>0</v>
      </c>
      <c r="X151" s="53">
        <f t="shared" si="12"/>
        <v>84887.59157894738</v>
      </c>
      <c r="Z151" s="54">
        <v>84887.59157894738</v>
      </c>
      <c r="AA151" s="55">
        <f t="shared" si="14"/>
        <v>0</v>
      </c>
      <c r="AD151" s="27" t="s">
        <v>32</v>
      </c>
      <c r="AE151" s="27" t="s">
        <v>33</v>
      </c>
      <c r="AI151" s="56"/>
      <c r="AJ151" s="56"/>
      <c r="AK151" s="56"/>
    </row>
    <row r="152" spans="1:37" x14ac:dyDescent="0.3">
      <c r="A152" s="26">
        <v>2480</v>
      </c>
      <c r="B152" s="27" t="s">
        <v>345</v>
      </c>
      <c r="C152" s="27" t="s">
        <v>49</v>
      </c>
      <c r="D152" s="27">
        <v>0</v>
      </c>
      <c r="E152" s="27">
        <v>0</v>
      </c>
      <c r="F152" s="39">
        <v>0</v>
      </c>
      <c r="G152" s="26">
        <v>0</v>
      </c>
      <c r="H152" s="26">
        <v>0</v>
      </c>
      <c r="I152" s="29">
        <v>0</v>
      </c>
      <c r="J152" s="26">
        <v>26</v>
      </c>
      <c r="K152" s="26">
        <v>390</v>
      </c>
      <c r="L152" s="26">
        <v>3</v>
      </c>
      <c r="M152" s="26">
        <v>45</v>
      </c>
      <c r="N152" s="31">
        <v>32007.3</v>
      </c>
      <c r="O152" s="26">
        <v>13</v>
      </c>
      <c r="P152" s="26">
        <v>195</v>
      </c>
      <c r="Q152" s="49">
        <v>2535</v>
      </c>
      <c r="R152" s="26">
        <v>0</v>
      </c>
      <c r="S152" s="50">
        <v>0</v>
      </c>
      <c r="T152" s="51">
        <v>34542.300000000003</v>
      </c>
      <c r="U152" s="26">
        <v>0</v>
      </c>
      <c r="V152" s="52">
        <v>0</v>
      </c>
      <c r="X152" s="53">
        <f t="shared" si="12"/>
        <v>27633.840000000004</v>
      </c>
      <c r="AA152" s="49"/>
      <c r="AI152" s="56"/>
      <c r="AJ152" s="56"/>
      <c r="AK152" s="56"/>
    </row>
    <row r="153" spans="1:37" x14ac:dyDescent="0.3">
      <c r="A153" s="26">
        <v>2481</v>
      </c>
      <c r="B153" s="27" t="s">
        <v>346</v>
      </c>
      <c r="C153" s="27" t="s">
        <v>49</v>
      </c>
      <c r="D153" s="27">
        <v>0</v>
      </c>
      <c r="E153" s="27">
        <v>0</v>
      </c>
      <c r="F153" s="39">
        <v>0</v>
      </c>
      <c r="G153" s="26">
        <v>0</v>
      </c>
      <c r="H153" s="26">
        <v>0</v>
      </c>
      <c r="I153" s="29">
        <v>0</v>
      </c>
      <c r="J153" s="26">
        <v>44</v>
      </c>
      <c r="K153" s="26">
        <v>660</v>
      </c>
      <c r="L153" s="26">
        <v>3</v>
      </c>
      <c r="M153" s="26">
        <v>45</v>
      </c>
      <c r="N153" s="31">
        <v>51873.9</v>
      </c>
      <c r="O153" s="26">
        <v>13</v>
      </c>
      <c r="P153" s="26">
        <v>195</v>
      </c>
      <c r="Q153" s="49">
        <v>2535</v>
      </c>
      <c r="R153" s="26">
        <v>0</v>
      </c>
      <c r="S153" s="50">
        <v>0</v>
      </c>
      <c r="T153" s="51">
        <v>54408.9</v>
      </c>
      <c r="U153" s="26">
        <v>0</v>
      </c>
      <c r="V153" s="52">
        <v>0</v>
      </c>
      <c r="X153" s="53">
        <f t="shared" si="12"/>
        <v>43527.12</v>
      </c>
      <c r="AA153" s="49"/>
      <c r="AI153" s="56"/>
      <c r="AJ153" s="56"/>
      <c r="AK153" s="56"/>
    </row>
    <row r="154" spans="1:37" x14ac:dyDescent="0.3">
      <c r="A154" s="26">
        <v>2221</v>
      </c>
      <c r="B154" s="27" t="s">
        <v>347</v>
      </c>
      <c r="C154" s="27" t="s">
        <v>49</v>
      </c>
      <c r="D154" s="27">
        <v>0</v>
      </c>
      <c r="E154" s="27">
        <v>0</v>
      </c>
      <c r="F154" s="39">
        <v>0</v>
      </c>
      <c r="G154" s="26">
        <v>0</v>
      </c>
      <c r="H154" s="26">
        <v>0</v>
      </c>
      <c r="I154" s="29">
        <v>0</v>
      </c>
      <c r="J154" s="26">
        <v>46</v>
      </c>
      <c r="K154" s="26">
        <v>690</v>
      </c>
      <c r="L154" s="26">
        <v>0</v>
      </c>
      <c r="M154" s="26">
        <v>0</v>
      </c>
      <c r="N154" s="31">
        <v>50770.200000000004</v>
      </c>
      <c r="O154" s="26">
        <v>16</v>
      </c>
      <c r="P154" s="26">
        <v>240</v>
      </c>
      <c r="Q154" s="49">
        <v>3120</v>
      </c>
      <c r="R154" s="26">
        <v>0</v>
      </c>
      <c r="S154" s="50">
        <v>0</v>
      </c>
      <c r="T154" s="51">
        <v>53890.200000000004</v>
      </c>
      <c r="U154" s="26">
        <v>0</v>
      </c>
      <c r="V154" s="52">
        <v>0</v>
      </c>
      <c r="X154" s="53">
        <f t="shared" si="12"/>
        <v>43112.160000000003</v>
      </c>
      <c r="AA154" s="49"/>
      <c r="AI154" s="56"/>
      <c r="AJ154" s="56"/>
      <c r="AK154" s="56"/>
    </row>
    <row r="155" spans="1:37" x14ac:dyDescent="0.3">
      <c r="A155" s="26">
        <v>2486</v>
      </c>
      <c r="B155" s="27" t="s">
        <v>75</v>
      </c>
      <c r="C155" s="27" t="s">
        <v>27</v>
      </c>
      <c r="D155" s="27">
        <v>0</v>
      </c>
      <c r="E155" s="27">
        <v>0</v>
      </c>
      <c r="F155" s="39">
        <v>0</v>
      </c>
      <c r="G155" s="26">
        <v>0</v>
      </c>
      <c r="H155" s="26">
        <v>0</v>
      </c>
      <c r="I155" s="29">
        <v>0</v>
      </c>
      <c r="J155" s="26">
        <v>18</v>
      </c>
      <c r="K155" s="26">
        <v>270</v>
      </c>
      <c r="L155" s="26">
        <v>0</v>
      </c>
      <c r="M155" s="26">
        <v>0</v>
      </c>
      <c r="N155" s="31">
        <v>19866.600000000002</v>
      </c>
      <c r="O155" s="26">
        <v>12</v>
      </c>
      <c r="P155" s="26">
        <v>180</v>
      </c>
      <c r="Q155" s="49">
        <v>2340</v>
      </c>
      <c r="R155" s="26">
        <v>10</v>
      </c>
      <c r="S155" s="50">
        <v>745.78947368421052</v>
      </c>
      <c r="T155" s="51">
        <v>22952.389473684212</v>
      </c>
      <c r="U155" s="26">
        <v>0</v>
      </c>
      <c r="V155" s="52">
        <v>0</v>
      </c>
      <c r="X155" s="53">
        <f t="shared" si="12"/>
        <v>18361.911578947369</v>
      </c>
      <c r="Z155" s="54">
        <v>18361.911578947369</v>
      </c>
      <c r="AA155" s="55">
        <f t="shared" ref="AA155:AA156" si="15">Z155-X155</f>
        <v>0</v>
      </c>
      <c r="AD155" s="27" t="s">
        <v>32</v>
      </c>
      <c r="AE155" s="27" t="s">
        <v>74</v>
      </c>
      <c r="AI155" s="56"/>
      <c r="AJ155" s="56"/>
      <c r="AK155" s="56"/>
    </row>
    <row r="156" spans="1:37" x14ac:dyDescent="0.3">
      <c r="A156" s="26">
        <v>3002</v>
      </c>
      <c r="B156" s="27" t="s">
        <v>348</v>
      </c>
      <c r="C156" s="27" t="s">
        <v>27</v>
      </c>
      <c r="D156" s="27">
        <v>0</v>
      </c>
      <c r="E156" s="27">
        <v>0</v>
      </c>
      <c r="F156" s="39">
        <v>0</v>
      </c>
      <c r="G156" s="26">
        <v>0</v>
      </c>
      <c r="H156" s="26">
        <v>0</v>
      </c>
      <c r="I156" s="29">
        <v>0</v>
      </c>
      <c r="J156" s="26">
        <v>24</v>
      </c>
      <c r="K156" s="26">
        <v>360</v>
      </c>
      <c r="L156" s="26">
        <v>0</v>
      </c>
      <c r="M156" s="26">
        <v>0</v>
      </c>
      <c r="N156" s="31">
        <v>26488.799999999999</v>
      </c>
      <c r="O156" s="26">
        <v>13</v>
      </c>
      <c r="P156" s="26">
        <v>195</v>
      </c>
      <c r="Q156" s="49">
        <v>2535</v>
      </c>
      <c r="R156" s="26">
        <v>13</v>
      </c>
      <c r="S156" s="50">
        <v>969.52631578947376</v>
      </c>
      <c r="T156" s="51">
        <v>29993.326315789473</v>
      </c>
      <c r="U156" s="26">
        <v>0</v>
      </c>
      <c r="V156" s="52">
        <v>0</v>
      </c>
      <c r="X156" s="53">
        <f t="shared" si="12"/>
        <v>23994.661052631578</v>
      </c>
      <c r="Z156" s="54">
        <v>23994.661052631578</v>
      </c>
      <c r="AA156" s="55">
        <f t="shared" si="15"/>
        <v>0</v>
      </c>
      <c r="AD156" s="27" t="s">
        <v>32</v>
      </c>
      <c r="AE156" s="27" t="s">
        <v>58</v>
      </c>
      <c r="AI156" s="56"/>
      <c r="AJ156" s="56"/>
      <c r="AK156" s="56"/>
    </row>
    <row r="157" spans="1:37" x14ac:dyDescent="0.3">
      <c r="A157" s="26">
        <v>3015</v>
      </c>
      <c r="B157" s="27" t="s">
        <v>349</v>
      </c>
      <c r="C157" s="27" t="s">
        <v>49</v>
      </c>
      <c r="D157" s="27">
        <v>0</v>
      </c>
      <c r="E157" s="27">
        <v>0</v>
      </c>
      <c r="F157" s="39">
        <v>0</v>
      </c>
      <c r="G157" s="26">
        <v>0</v>
      </c>
      <c r="H157" s="26">
        <v>0</v>
      </c>
      <c r="I157" s="29">
        <v>0</v>
      </c>
      <c r="J157" s="26">
        <v>26</v>
      </c>
      <c r="K157" s="26">
        <v>390</v>
      </c>
      <c r="L157" s="26">
        <v>2</v>
      </c>
      <c r="M157" s="26">
        <v>30</v>
      </c>
      <c r="N157" s="31">
        <v>30903.600000000002</v>
      </c>
      <c r="O157" s="26">
        <v>3</v>
      </c>
      <c r="P157" s="26">
        <v>45</v>
      </c>
      <c r="Q157" s="49">
        <v>585</v>
      </c>
      <c r="R157" s="26">
        <v>1</v>
      </c>
      <c r="S157" s="50">
        <v>74.578947368421055</v>
      </c>
      <c r="T157" s="51">
        <v>31563.178947368422</v>
      </c>
      <c r="U157" s="26">
        <v>0</v>
      </c>
      <c r="V157" s="52">
        <v>0</v>
      </c>
      <c r="X157" s="53">
        <f t="shared" si="12"/>
        <v>25250.543157894739</v>
      </c>
      <c r="AA157" s="49"/>
      <c r="AI157" s="56"/>
      <c r="AJ157" s="56"/>
      <c r="AK157" s="56"/>
    </row>
    <row r="158" spans="1:37" x14ac:dyDescent="0.3">
      <c r="A158" s="26">
        <v>3302</v>
      </c>
      <c r="B158" s="27" t="s">
        <v>350</v>
      </c>
      <c r="C158" s="27" t="s">
        <v>49</v>
      </c>
      <c r="D158" s="27">
        <v>0</v>
      </c>
      <c r="E158" s="27">
        <v>0</v>
      </c>
      <c r="F158" s="39">
        <v>0</v>
      </c>
      <c r="G158" s="26">
        <v>0</v>
      </c>
      <c r="H158" s="26">
        <v>0</v>
      </c>
      <c r="I158" s="29">
        <v>0</v>
      </c>
      <c r="J158" s="26">
        <v>38</v>
      </c>
      <c r="K158" s="26">
        <v>570</v>
      </c>
      <c r="L158" s="26">
        <v>11</v>
      </c>
      <c r="M158" s="26">
        <v>165</v>
      </c>
      <c r="N158" s="31">
        <v>54081.3</v>
      </c>
      <c r="O158" s="26">
        <v>13</v>
      </c>
      <c r="P158" s="26">
        <v>195</v>
      </c>
      <c r="Q158" s="49">
        <v>2535</v>
      </c>
      <c r="R158" s="26">
        <v>10</v>
      </c>
      <c r="S158" s="50">
        <v>745.78947368421052</v>
      </c>
      <c r="T158" s="51">
        <v>57362.089473684217</v>
      </c>
      <c r="U158" s="26">
        <v>0</v>
      </c>
      <c r="V158" s="52">
        <v>0</v>
      </c>
      <c r="X158" s="53">
        <f t="shared" si="12"/>
        <v>45889.671578947375</v>
      </c>
      <c r="AA158" s="49"/>
      <c r="AI158" s="56"/>
      <c r="AJ158" s="56"/>
      <c r="AK158" s="56"/>
    </row>
    <row r="159" spans="1:37" x14ac:dyDescent="0.3">
      <c r="A159" s="26">
        <v>3306</v>
      </c>
      <c r="B159" s="27" t="s">
        <v>351</v>
      </c>
      <c r="C159" s="27" t="s">
        <v>49</v>
      </c>
      <c r="D159" s="27">
        <v>0</v>
      </c>
      <c r="E159" s="27">
        <v>0</v>
      </c>
      <c r="F159" s="39">
        <v>0</v>
      </c>
      <c r="G159" s="26">
        <v>0</v>
      </c>
      <c r="H159" s="26">
        <v>0</v>
      </c>
      <c r="I159" s="29">
        <v>0</v>
      </c>
      <c r="J159" s="26">
        <v>47</v>
      </c>
      <c r="K159" s="26">
        <v>690</v>
      </c>
      <c r="L159" s="26">
        <v>1</v>
      </c>
      <c r="M159" s="26">
        <v>15</v>
      </c>
      <c r="N159" s="31">
        <v>51873.9</v>
      </c>
      <c r="O159" s="26">
        <v>12</v>
      </c>
      <c r="P159" s="26">
        <v>180</v>
      </c>
      <c r="Q159" s="49">
        <v>2340</v>
      </c>
      <c r="R159" s="26">
        <v>0</v>
      </c>
      <c r="S159" s="50">
        <v>0</v>
      </c>
      <c r="T159" s="51">
        <v>54213.9</v>
      </c>
      <c r="U159" s="26">
        <v>0</v>
      </c>
      <c r="V159" s="52">
        <v>0</v>
      </c>
      <c r="X159" s="53">
        <f t="shared" si="12"/>
        <v>43371.12</v>
      </c>
      <c r="AA159" s="49"/>
      <c r="AI159" s="56"/>
      <c r="AJ159" s="56"/>
      <c r="AK159" s="56"/>
    </row>
    <row r="160" spans="1:37" x14ac:dyDescent="0.3">
      <c r="A160" s="26">
        <v>3310</v>
      </c>
      <c r="B160" s="27" t="s">
        <v>217</v>
      </c>
      <c r="C160" s="27" t="s">
        <v>245</v>
      </c>
      <c r="D160" s="27">
        <v>0</v>
      </c>
      <c r="E160" s="27">
        <v>0</v>
      </c>
      <c r="F160" s="39">
        <v>0</v>
      </c>
      <c r="G160" s="26">
        <v>0</v>
      </c>
      <c r="H160" s="26">
        <v>0</v>
      </c>
      <c r="I160" s="29">
        <v>0</v>
      </c>
      <c r="J160" s="26">
        <v>25</v>
      </c>
      <c r="K160" s="26">
        <v>375</v>
      </c>
      <c r="L160" s="26">
        <v>0</v>
      </c>
      <c r="M160" s="26">
        <v>0</v>
      </c>
      <c r="N160" s="31">
        <v>27592.5</v>
      </c>
      <c r="O160" s="26">
        <v>13</v>
      </c>
      <c r="P160" s="26">
        <v>195</v>
      </c>
      <c r="Q160" s="49">
        <v>2535</v>
      </c>
      <c r="R160" s="26">
        <v>0</v>
      </c>
      <c r="S160" s="50">
        <v>0</v>
      </c>
      <c r="T160" s="51">
        <f>N160+Q160</f>
        <v>30127.5</v>
      </c>
      <c r="U160" s="26">
        <v>0</v>
      </c>
      <c r="V160" s="52">
        <v>0</v>
      </c>
      <c r="X160" s="53">
        <f>(T160+V160)*0.8</f>
        <v>24102</v>
      </c>
      <c r="Z160" s="54">
        <v>24102</v>
      </c>
      <c r="AA160" s="55">
        <f>Z160-X160</f>
        <v>0</v>
      </c>
      <c r="AD160" s="27" t="s">
        <v>32</v>
      </c>
      <c r="AE160" s="27" t="s">
        <v>216</v>
      </c>
      <c r="AI160" s="56"/>
      <c r="AJ160" s="56"/>
      <c r="AK160" s="56"/>
    </row>
    <row r="161" spans="1:37" x14ac:dyDescent="0.3">
      <c r="A161" s="26">
        <v>3311</v>
      </c>
      <c r="B161" s="27" t="s">
        <v>352</v>
      </c>
      <c r="C161" s="27" t="s">
        <v>49</v>
      </c>
      <c r="D161" s="27">
        <v>0</v>
      </c>
      <c r="E161" s="27">
        <v>0</v>
      </c>
      <c r="F161" s="39">
        <v>0</v>
      </c>
      <c r="G161" s="26">
        <v>0</v>
      </c>
      <c r="H161" s="26">
        <v>0</v>
      </c>
      <c r="I161" s="29">
        <v>0</v>
      </c>
      <c r="J161" s="26">
        <v>27</v>
      </c>
      <c r="K161" s="26">
        <v>405</v>
      </c>
      <c r="L161" s="26">
        <v>7</v>
      </c>
      <c r="M161" s="26">
        <v>105</v>
      </c>
      <c r="N161" s="31">
        <v>37525.800000000003</v>
      </c>
      <c r="O161" s="26">
        <v>13</v>
      </c>
      <c r="P161" s="26">
        <v>195</v>
      </c>
      <c r="Q161" s="49">
        <v>2535</v>
      </c>
      <c r="R161" s="26">
        <v>12</v>
      </c>
      <c r="S161" s="50">
        <v>894.94736842105272</v>
      </c>
      <c r="T161" s="51">
        <v>40955.747368421056</v>
      </c>
      <c r="U161" s="26">
        <v>1</v>
      </c>
      <c r="V161" s="52">
        <v>320.89473684210526</v>
      </c>
      <c r="X161" s="53">
        <f t="shared" si="12"/>
        <v>33021.31368421053</v>
      </c>
      <c r="AA161" s="49"/>
      <c r="AI161" s="56"/>
      <c r="AJ161" s="56"/>
      <c r="AK161" s="56"/>
    </row>
    <row r="162" spans="1:37" x14ac:dyDescent="0.3">
      <c r="A162" s="26">
        <v>3314</v>
      </c>
      <c r="B162" s="27" t="s">
        <v>353</v>
      </c>
      <c r="C162" s="27" t="s">
        <v>49</v>
      </c>
      <c r="D162" s="27">
        <v>0</v>
      </c>
      <c r="E162" s="27">
        <v>0</v>
      </c>
      <c r="F162" s="39">
        <v>0</v>
      </c>
      <c r="G162" s="26">
        <v>0</v>
      </c>
      <c r="H162" s="26">
        <v>0</v>
      </c>
      <c r="I162" s="29">
        <v>0</v>
      </c>
      <c r="J162" s="26">
        <v>26</v>
      </c>
      <c r="K162" s="26">
        <v>390</v>
      </c>
      <c r="L162" s="26">
        <v>2</v>
      </c>
      <c r="M162" s="26">
        <v>30</v>
      </c>
      <c r="N162" s="31">
        <v>30903.600000000002</v>
      </c>
      <c r="O162" s="26">
        <v>0</v>
      </c>
      <c r="P162" s="26">
        <v>0</v>
      </c>
      <c r="Q162" s="49">
        <v>0</v>
      </c>
      <c r="R162" s="26">
        <v>0</v>
      </c>
      <c r="S162" s="50">
        <v>0</v>
      </c>
      <c r="T162" s="51">
        <v>30903.600000000002</v>
      </c>
      <c r="U162" s="26">
        <v>0</v>
      </c>
      <c r="V162" s="52">
        <v>0</v>
      </c>
      <c r="X162" s="53">
        <f t="shared" si="12"/>
        <v>24722.880000000005</v>
      </c>
      <c r="AA162" s="49"/>
      <c r="AI162" s="56"/>
      <c r="AJ162" s="56"/>
      <c r="AK162" s="56"/>
    </row>
    <row r="163" spans="1:37" x14ac:dyDescent="0.3">
      <c r="A163" s="26">
        <v>3317</v>
      </c>
      <c r="B163" s="27" t="s">
        <v>95</v>
      </c>
      <c r="C163" s="27" t="s">
        <v>27</v>
      </c>
      <c r="D163" s="27">
        <v>0</v>
      </c>
      <c r="E163" s="27">
        <v>0</v>
      </c>
      <c r="F163" s="39">
        <v>0</v>
      </c>
      <c r="G163" s="26">
        <v>0</v>
      </c>
      <c r="H163" s="26">
        <v>0</v>
      </c>
      <c r="I163" s="29">
        <v>0</v>
      </c>
      <c r="J163" s="26">
        <v>26</v>
      </c>
      <c r="K163" s="26">
        <v>390</v>
      </c>
      <c r="L163" s="26">
        <v>3</v>
      </c>
      <c r="M163" s="26">
        <v>45</v>
      </c>
      <c r="N163" s="31">
        <v>32007.3</v>
      </c>
      <c r="O163" s="26">
        <v>9</v>
      </c>
      <c r="P163" s="26">
        <v>135</v>
      </c>
      <c r="Q163" s="49">
        <v>1755</v>
      </c>
      <c r="R163" s="26">
        <v>7</v>
      </c>
      <c r="S163" s="50">
        <v>522.0526315789474</v>
      </c>
      <c r="T163" s="51">
        <v>34284.35263157895</v>
      </c>
      <c r="U163" s="26">
        <v>0</v>
      </c>
      <c r="V163" s="52">
        <v>0</v>
      </c>
      <c r="X163" s="53">
        <f t="shared" si="12"/>
        <v>27427.48210526316</v>
      </c>
      <c r="Z163" s="54">
        <v>27427.48210526316</v>
      </c>
      <c r="AA163" s="55">
        <f t="shared" ref="AA163:AA166" si="16">Z163-X163</f>
        <v>0</v>
      </c>
      <c r="AD163" s="27" t="s">
        <v>32</v>
      </c>
      <c r="AE163" s="27" t="s">
        <v>94</v>
      </c>
      <c r="AI163" s="56"/>
      <c r="AJ163" s="56"/>
      <c r="AK163" s="56"/>
    </row>
    <row r="164" spans="1:37" x14ac:dyDescent="0.3">
      <c r="A164" s="26">
        <v>3319</v>
      </c>
      <c r="B164" s="27" t="s">
        <v>61</v>
      </c>
      <c r="C164" s="27" t="s">
        <v>27</v>
      </c>
      <c r="D164" s="27">
        <v>0</v>
      </c>
      <c r="E164" s="27">
        <v>0</v>
      </c>
      <c r="F164" s="39">
        <v>0</v>
      </c>
      <c r="G164" s="26">
        <v>0</v>
      </c>
      <c r="H164" s="26">
        <v>0</v>
      </c>
      <c r="I164" s="29">
        <v>0</v>
      </c>
      <c r="J164" s="26">
        <v>32</v>
      </c>
      <c r="K164" s="26">
        <v>480</v>
      </c>
      <c r="L164" s="26">
        <v>12</v>
      </c>
      <c r="M164" s="26">
        <v>180</v>
      </c>
      <c r="N164" s="31">
        <v>48562.8</v>
      </c>
      <c r="O164" s="26">
        <v>18</v>
      </c>
      <c r="P164" s="26">
        <v>270</v>
      </c>
      <c r="Q164" s="49">
        <v>3510</v>
      </c>
      <c r="R164" s="26">
        <v>18</v>
      </c>
      <c r="S164" s="50">
        <v>1342.421052631579</v>
      </c>
      <c r="T164" s="51">
        <v>53415.221052631583</v>
      </c>
      <c r="U164" s="26">
        <v>0</v>
      </c>
      <c r="V164" s="52">
        <v>0</v>
      </c>
      <c r="X164" s="53">
        <f t="shared" si="12"/>
        <v>42732.176842105269</v>
      </c>
      <c r="Z164" s="54">
        <v>42732.176842105269</v>
      </c>
      <c r="AA164" s="55">
        <f t="shared" si="16"/>
        <v>0</v>
      </c>
      <c r="AD164" s="27" t="s">
        <v>32</v>
      </c>
      <c r="AE164" s="27" t="s">
        <v>60</v>
      </c>
      <c r="AI164" s="56"/>
      <c r="AJ164" s="56"/>
      <c r="AK164" s="56"/>
    </row>
    <row r="165" spans="1:37" x14ac:dyDescent="0.3">
      <c r="A165" s="26">
        <v>3322</v>
      </c>
      <c r="B165" s="27" t="s">
        <v>111</v>
      </c>
      <c r="C165" s="27" t="s">
        <v>27</v>
      </c>
      <c r="D165" s="27">
        <v>0</v>
      </c>
      <c r="E165" s="27">
        <v>0</v>
      </c>
      <c r="F165" s="39">
        <v>0</v>
      </c>
      <c r="G165" s="26">
        <v>0</v>
      </c>
      <c r="H165" s="26">
        <v>0</v>
      </c>
      <c r="I165" s="29">
        <v>0</v>
      </c>
      <c r="J165" s="26">
        <v>25</v>
      </c>
      <c r="K165" s="26">
        <v>375</v>
      </c>
      <c r="L165" s="26">
        <v>10</v>
      </c>
      <c r="M165" s="26">
        <v>150</v>
      </c>
      <c r="N165" s="31">
        <v>38629.5</v>
      </c>
      <c r="O165" s="26">
        <v>9</v>
      </c>
      <c r="P165" s="26">
        <v>135</v>
      </c>
      <c r="Q165" s="49">
        <v>1755</v>
      </c>
      <c r="R165" s="26">
        <v>0</v>
      </c>
      <c r="S165" s="50">
        <v>0</v>
      </c>
      <c r="T165" s="51">
        <v>40384.5</v>
      </c>
      <c r="U165" s="26">
        <v>0</v>
      </c>
      <c r="V165" s="52">
        <v>0</v>
      </c>
      <c r="X165" s="53">
        <f t="shared" si="12"/>
        <v>32307.600000000002</v>
      </c>
      <c r="Z165" s="54">
        <v>32307.600000000002</v>
      </c>
      <c r="AA165" s="55">
        <f t="shared" si="16"/>
        <v>0</v>
      </c>
      <c r="AD165" s="27" t="s">
        <v>32</v>
      </c>
      <c r="AE165" s="27" t="s">
        <v>110</v>
      </c>
      <c r="AI165" s="56"/>
      <c r="AJ165" s="56"/>
      <c r="AK165" s="56"/>
    </row>
    <row r="166" spans="1:37" x14ac:dyDescent="0.3">
      <c r="A166" s="26">
        <v>3323</v>
      </c>
      <c r="B166" s="27" t="s">
        <v>354</v>
      </c>
      <c r="C166" s="27" t="s">
        <v>27</v>
      </c>
      <c r="D166" s="27">
        <v>0</v>
      </c>
      <c r="E166" s="27">
        <v>0</v>
      </c>
      <c r="F166" s="39">
        <v>0</v>
      </c>
      <c r="G166" s="26">
        <v>0</v>
      </c>
      <c r="H166" s="26">
        <v>0</v>
      </c>
      <c r="I166" s="29">
        <v>0</v>
      </c>
      <c r="J166" s="26">
        <v>19</v>
      </c>
      <c r="K166" s="26">
        <v>285</v>
      </c>
      <c r="L166" s="26">
        <v>0</v>
      </c>
      <c r="M166" s="26">
        <v>0</v>
      </c>
      <c r="N166" s="31">
        <v>20970.3</v>
      </c>
      <c r="O166" s="26">
        <v>6</v>
      </c>
      <c r="P166" s="26">
        <v>90</v>
      </c>
      <c r="Q166" s="49">
        <v>1170</v>
      </c>
      <c r="R166" s="26">
        <v>0</v>
      </c>
      <c r="S166" s="50">
        <v>0</v>
      </c>
      <c r="T166" s="51">
        <v>22140.3</v>
      </c>
      <c r="U166" s="26">
        <v>0</v>
      </c>
      <c r="V166" s="52">
        <v>0</v>
      </c>
      <c r="X166" s="53">
        <f t="shared" si="12"/>
        <v>17712.240000000002</v>
      </c>
      <c r="Z166" s="54">
        <v>17712.240000000002</v>
      </c>
      <c r="AA166" s="55">
        <f t="shared" si="16"/>
        <v>0</v>
      </c>
      <c r="AD166" s="27" t="s">
        <v>32</v>
      </c>
      <c r="AE166" s="27" t="s">
        <v>156</v>
      </c>
      <c r="AI166" s="56"/>
      <c r="AJ166" s="56"/>
      <c r="AK166" s="56"/>
    </row>
    <row r="167" spans="1:37" x14ac:dyDescent="0.3">
      <c r="A167" s="26">
        <v>3325</v>
      </c>
      <c r="B167" s="27" t="s">
        <v>355</v>
      </c>
      <c r="C167" s="27" t="s">
        <v>49</v>
      </c>
      <c r="D167" s="27">
        <v>0</v>
      </c>
      <c r="E167" s="27">
        <v>0</v>
      </c>
      <c r="F167" s="39">
        <v>0</v>
      </c>
      <c r="G167" s="26">
        <v>0</v>
      </c>
      <c r="H167" s="26">
        <v>0</v>
      </c>
      <c r="I167" s="29">
        <v>0</v>
      </c>
      <c r="J167" s="26">
        <v>23</v>
      </c>
      <c r="K167" s="26">
        <v>345</v>
      </c>
      <c r="L167" s="26">
        <v>3</v>
      </c>
      <c r="M167" s="26">
        <v>45</v>
      </c>
      <c r="N167" s="31">
        <v>28696.2</v>
      </c>
      <c r="O167" s="26">
        <v>6</v>
      </c>
      <c r="P167" s="26">
        <v>90</v>
      </c>
      <c r="Q167" s="49">
        <v>1170</v>
      </c>
      <c r="R167" s="26">
        <v>0</v>
      </c>
      <c r="S167" s="50">
        <v>0</v>
      </c>
      <c r="T167" s="51">
        <v>29866.2</v>
      </c>
      <c r="U167" s="26">
        <v>0</v>
      </c>
      <c r="V167" s="52">
        <v>0</v>
      </c>
      <c r="X167" s="53">
        <f t="shared" si="12"/>
        <v>23892.960000000003</v>
      </c>
      <c r="AA167" s="49"/>
      <c r="AI167" s="56"/>
      <c r="AJ167" s="56"/>
      <c r="AK167" s="56"/>
    </row>
    <row r="168" spans="1:37" x14ac:dyDescent="0.3">
      <c r="A168" s="26">
        <v>3328</v>
      </c>
      <c r="B168" s="27" t="s">
        <v>356</v>
      </c>
      <c r="C168" s="27" t="s">
        <v>27</v>
      </c>
      <c r="D168" s="27">
        <v>0</v>
      </c>
      <c r="E168" s="27">
        <v>0</v>
      </c>
      <c r="F168" s="39">
        <v>0</v>
      </c>
      <c r="G168" s="26">
        <v>0</v>
      </c>
      <c r="H168" s="26">
        <v>0</v>
      </c>
      <c r="I168" s="29">
        <v>0</v>
      </c>
      <c r="J168" s="26">
        <v>22</v>
      </c>
      <c r="K168" s="26">
        <v>330</v>
      </c>
      <c r="L168" s="26">
        <v>0</v>
      </c>
      <c r="M168" s="26">
        <v>0</v>
      </c>
      <c r="N168" s="31">
        <v>24281.4</v>
      </c>
      <c r="O168" s="26">
        <v>10</v>
      </c>
      <c r="P168" s="26">
        <v>150</v>
      </c>
      <c r="Q168" s="49">
        <v>1950</v>
      </c>
      <c r="R168" s="26">
        <v>0</v>
      </c>
      <c r="S168" s="50">
        <v>0</v>
      </c>
      <c r="T168" s="51">
        <v>26231.4</v>
      </c>
      <c r="U168" s="26">
        <v>0</v>
      </c>
      <c r="V168" s="52">
        <v>0</v>
      </c>
      <c r="X168" s="53">
        <f t="shared" si="12"/>
        <v>20985.120000000003</v>
      </c>
      <c r="Z168" s="54">
        <v>20985.120000000003</v>
      </c>
      <c r="AA168" s="55">
        <f t="shared" ref="AA168:AA169" si="17">Z168-X168</f>
        <v>0</v>
      </c>
      <c r="AD168" s="27" t="s">
        <v>32</v>
      </c>
      <c r="AE168" s="27" t="s">
        <v>120</v>
      </c>
      <c r="AI168" s="56"/>
      <c r="AJ168" s="56"/>
      <c r="AK168" s="56"/>
    </row>
    <row r="169" spans="1:37" x14ac:dyDescent="0.3">
      <c r="A169" s="26">
        <v>3329</v>
      </c>
      <c r="B169" s="27" t="s">
        <v>209</v>
      </c>
      <c r="C169" s="27" t="s">
        <v>245</v>
      </c>
      <c r="D169" s="27">
        <v>0</v>
      </c>
      <c r="E169" s="27">
        <v>0</v>
      </c>
      <c r="F169" s="39">
        <v>0</v>
      </c>
      <c r="G169" s="26">
        <v>0</v>
      </c>
      <c r="H169" s="26">
        <v>0</v>
      </c>
      <c r="I169" s="29">
        <v>0</v>
      </c>
      <c r="J169" s="26">
        <v>32</v>
      </c>
      <c r="K169" s="26">
        <v>480</v>
      </c>
      <c r="L169" s="26">
        <v>2</v>
      </c>
      <c r="M169" s="26">
        <v>30</v>
      </c>
      <c r="N169" s="31">
        <v>37525.800000000003</v>
      </c>
      <c r="O169" s="26">
        <v>9</v>
      </c>
      <c r="P169" s="26">
        <v>135</v>
      </c>
      <c r="Q169" s="49">
        <v>1755</v>
      </c>
      <c r="R169" s="26">
        <v>9</v>
      </c>
      <c r="S169" s="50">
        <v>671.21052631578948</v>
      </c>
      <c r="T169" s="51">
        <v>39952.010526315789</v>
      </c>
      <c r="U169" s="26">
        <v>0</v>
      </c>
      <c r="V169" s="52">
        <v>0</v>
      </c>
      <c r="X169" s="53">
        <f t="shared" si="12"/>
        <v>31961.608421052631</v>
      </c>
      <c r="Z169" s="54">
        <v>31961.608421052631</v>
      </c>
      <c r="AA169" s="55">
        <f t="shared" si="17"/>
        <v>0</v>
      </c>
      <c r="AD169" s="27" t="s">
        <v>32</v>
      </c>
      <c r="AE169" s="27" t="s">
        <v>208</v>
      </c>
      <c r="AI169" s="56"/>
      <c r="AJ169" s="56"/>
      <c r="AK169" s="56"/>
    </row>
    <row r="170" spans="1:37" x14ac:dyDescent="0.3">
      <c r="A170" s="26">
        <v>3330</v>
      </c>
      <c r="B170" s="27" t="s">
        <v>357</v>
      </c>
      <c r="C170" s="27" t="s">
        <v>49</v>
      </c>
      <c r="D170" s="27">
        <v>0</v>
      </c>
      <c r="E170" s="27">
        <v>0</v>
      </c>
      <c r="F170" s="39">
        <v>0</v>
      </c>
      <c r="G170" s="26">
        <v>0</v>
      </c>
      <c r="H170" s="26">
        <v>0</v>
      </c>
      <c r="I170" s="29">
        <v>0</v>
      </c>
      <c r="J170" s="26">
        <v>31</v>
      </c>
      <c r="K170" s="26">
        <v>465</v>
      </c>
      <c r="L170" s="26">
        <v>13</v>
      </c>
      <c r="M170" s="26">
        <v>175</v>
      </c>
      <c r="N170" s="31">
        <v>47091.200000000004</v>
      </c>
      <c r="O170" s="26">
        <v>8</v>
      </c>
      <c r="P170" s="26">
        <v>120</v>
      </c>
      <c r="Q170" s="49">
        <v>1560</v>
      </c>
      <c r="R170" s="26">
        <v>0</v>
      </c>
      <c r="S170" s="50">
        <v>0</v>
      </c>
      <c r="T170" s="51">
        <v>48651.200000000004</v>
      </c>
      <c r="U170" s="26">
        <v>0</v>
      </c>
      <c r="V170" s="52">
        <v>0</v>
      </c>
      <c r="X170" s="53">
        <f t="shared" si="12"/>
        <v>38920.960000000006</v>
      </c>
      <c r="AA170" s="49"/>
      <c r="AI170" s="56"/>
      <c r="AJ170" s="56"/>
      <c r="AK170" s="56"/>
    </row>
    <row r="171" spans="1:37" x14ac:dyDescent="0.3">
      <c r="A171" s="26">
        <v>3331</v>
      </c>
      <c r="B171" s="27" t="s">
        <v>358</v>
      </c>
      <c r="C171" s="27" t="s">
        <v>27</v>
      </c>
      <c r="D171" s="27">
        <v>0</v>
      </c>
      <c r="E171" s="27">
        <v>0</v>
      </c>
      <c r="F171" s="39">
        <v>0</v>
      </c>
      <c r="G171" s="26">
        <v>0</v>
      </c>
      <c r="H171" s="26">
        <v>0</v>
      </c>
      <c r="I171" s="29">
        <v>0</v>
      </c>
      <c r="J171" s="26">
        <v>34</v>
      </c>
      <c r="K171" s="26">
        <v>510</v>
      </c>
      <c r="L171" s="26">
        <v>8</v>
      </c>
      <c r="M171" s="26">
        <v>120</v>
      </c>
      <c r="N171" s="31">
        <v>46355.4</v>
      </c>
      <c r="O171" s="26">
        <v>7</v>
      </c>
      <c r="P171" s="26">
        <v>105</v>
      </c>
      <c r="Q171" s="49">
        <v>1365</v>
      </c>
      <c r="R171" s="26">
        <v>7</v>
      </c>
      <c r="S171" s="50">
        <v>522.0526315789474</v>
      </c>
      <c r="T171" s="51">
        <v>48242.452631578948</v>
      </c>
      <c r="U171" s="26">
        <v>0</v>
      </c>
      <c r="V171" s="52">
        <v>0</v>
      </c>
      <c r="X171" s="53">
        <f t="shared" si="12"/>
        <v>38593.962105263163</v>
      </c>
      <c r="Z171" s="54">
        <v>38593.962105263163</v>
      </c>
      <c r="AA171" s="55">
        <f t="shared" ref="AA171:AA176" si="18">Z171-X171</f>
        <v>0</v>
      </c>
      <c r="AD171" s="27" t="s">
        <v>32</v>
      </c>
      <c r="AE171" s="27" t="s">
        <v>140</v>
      </c>
      <c r="AI171" s="56"/>
      <c r="AJ171" s="56"/>
      <c r="AK171" s="56"/>
    </row>
    <row r="172" spans="1:37" ht="14.5" x14ac:dyDescent="0.35">
      <c r="A172" s="26">
        <v>3346</v>
      </c>
      <c r="B172" t="s">
        <v>213</v>
      </c>
      <c r="C172" s="27" t="s">
        <v>245</v>
      </c>
      <c r="D172" s="27">
        <v>0</v>
      </c>
      <c r="E172" s="27">
        <v>0</v>
      </c>
      <c r="F172" s="39">
        <v>0</v>
      </c>
      <c r="G172" s="26">
        <v>0</v>
      </c>
      <c r="H172" s="26">
        <v>0</v>
      </c>
      <c r="I172" s="29">
        <v>0</v>
      </c>
      <c r="J172" s="26">
        <v>25</v>
      </c>
      <c r="K172" s="26">
        <v>375</v>
      </c>
      <c r="L172" s="26">
        <v>2</v>
      </c>
      <c r="M172" s="26">
        <v>30</v>
      </c>
      <c r="N172" s="31">
        <v>29799.9</v>
      </c>
      <c r="O172" s="26">
        <v>7</v>
      </c>
      <c r="P172" s="26">
        <v>105</v>
      </c>
      <c r="Q172" s="49">
        <v>1365</v>
      </c>
      <c r="R172" s="26">
        <v>3</v>
      </c>
      <c r="S172" s="50">
        <v>223.73684210526318</v>
      </c>
      <c r="T172" s="51">
        <v>31388.636842105265</v>
      </c>
      <c r="U172" s="26">
        <v>0</v>
      </c>
      <c r="V172" s="52">
        <v>0</v>
      </c>
      <c r="X172" s="53">
        <f t="shared" si="12"/>
        <v>25110.909473684213</v>
      </c>
      <c r="Z172" s="54">
        <v>25110.909473684213</v>
      </c>
      <c r="AA172" s="55">
        <f t="shared" si="18"/>
        <v>0</v>
      </c>
      <c r="AD172" s="27" t="s">
        <v>32</v>
      </c>
      <c r="AE172" s="27" t="s">
        <v>212</v>
      </c>
      <c r="AI172" s="56"/>
      <c r="AJ172" s="56"/>
      <c r="AK172" s="56"/>
    </row>
    <row r="173" spans="1:37" x14ac:dyDescent="0.3">
      <c r="A173" s="26">
        <v>3351</v>
      </c>
      <c r="B173" s="27" t="s">
        <v>359</v>
      </c>
      <c r="C173" s="27" t="s">
        <v>27</v>
      </c>
      <c r="D173" s="27">
        <v>0</v>
      </c>
      <c r="E173" s="27">
        <v>0</v>
      </c>
      <c r="F173" s="39">
        <v>0</v>
      </c>
      <c r="G173" s="26">
        <v>0</v>
      </c>
      <c r="H173" s="26">
        <v>0</v>
      </c>
      <c r="I173" s="29">
        <v>0</v>
      </c>
      <c r="J173" s="26">
        <v>26</v>
      </c>
      <c r="K173" s="26">
        <v>390</v>
      </c>
      <c r="L173" s="26">
        <v>3</v>
      </c>
      <c r="M173" s="26">
        <v>30</v>
      </c>
      <c r="N173" s="31">
        <v>30903.600000000002</v>
      </c>
      <c r="O173" s="26">
        <v>8</v>
      </c>
      <c r="P173" s="26">
        <v>120</v>
      </c>
      <c r="Q173" s="49">
        <v>1560</v>
      </c>
      <c r="R173" s="26">
        <v>7</v>
      </c>
      <c r="S173" s="50">
        <v>522.0526315789474</v>
      </c>
      <c r="T173" s="51">
        <v>32985.652631578952</v>
      </c>
      <c r="U173" s="26">
        <v>0</v>
      </c>
      <c r="V173" s="52">
        <v>0</v>
      </c>
      <c r="X173" s="53">
        <f t="shared" si="12"/>
        <v>26388.522105263164</v>
      </c>
      <c r="Z173" s="54">
        <v>26388.522105263164</v>
      </c>
      <c r="AA173" s="55">
        <f t="shared" si="18"/>
        <v>0</v>
      </c>
      <c r="AD173" s="27" t="s">
        <v>32</v>
      </c>
      <c r="AE173" s="27" t="s">
        <v>118</v>
      </c>
      <c r="AI173" s="56"/>
      <c r="AJ173" s="56"/>
      <c r="AK173" s="56"/>
    </row>
    <row r="174" spans="1:37" x14ac:dyDescent="0.3">
      <c r="A174" s="26">
        <v>3352</v>
      </c>
      <c r="B174" s="27" t="s">
        <v>360</v>
      </c>
      <c r="C174" s="27" t="s">
        <v>245</v>
      </c>
      <c r="D174" s="27">
        <v>0</v>
      </c>
      <c r="E174" s="27">
        <v>0</v>
      </c>
      <c r="F174" s="39">
        <v>0</v>
      </c>
      <c r="G174" s="26">
        <v>0</v>
      </c>
      <c r="H174" s="26">
        <v>0</v>
      </c>
      <c r="I174" s="29">
        <v>0</v>
      </c>
      <c r="J174" s="26">
        <v>19</v>
      </c>
      <c r="K174" s="26">
        <v>285</v>
      </c>
      <c r="L174" s="26">
        <v>5</v>
      </c>
      <c r="M174" s="26">
        <v>75</v>
      </c>
      <c r="N174" s="31">
        <v>26488.799999999999</v>
      </c>
      <c r="O174" s="26">
        <v>3</v>
      </c>
      <c r="P174" s="26">
        <v>45</v>
      </c>
      <c r="Q174" s="49">
        <v>585</v>
      </c>
      <c r="R174" s="26">
        <v>3</v>
      </c>
      <c r="S174" s="50">
        <v>223.73684210526318</v>
      </c>
      <c r="T174" s="51">
        <v>27297.536842105263</v>
      </c>
      <c r="U174" s="26">
        <v>0</v>
      </c>
      <c r="V174" s="52">
        <v>0</v>
      </c>
      <c r="X174" s="53">
        <f t="shared" si="12"/>
        <v>21838.029473684212</v>
      </c>
      <c r="Z174" s="54">
        <v>21838.029473684212</v>
      </c>
      <c r="AA174" s="55">
        <f t="shared" si="18"/>
        <v>0</v>
      </c>
      <c r="AD174" s="27" t="s">
        <v>32</v>
      </c>
      <c r="AE174" s="27" t="s">
        <v>190</v>
      </c>
      <c r="AI174" s="56"/>
      <c r="AJ174" s="56"/>
      <c r="AK174" s="56"/>
    </row>
    <row r="175" spans="1:37" x14ac:dyDescent="0.3">
      <c r="A175" s="26">
        <v>3361</v>
      </c>
      <c r="B175" s="27" t="s">
        <v>361</v>
      </c>
      <c r="C175" s="27" t="s">
        <v>27</v>
      </c>
      <c r="D175" s="27">
        <v>0</v>
      </c>
      <c r="E175" s="27">
        <v>0</v>
      </c>
      <c r="F175" s="39">
        <v>0</v>
      </c>
      <c r="G175" s="26">
        <v>0</v>
      </c>
      <c r="H175" s="26">
        <v>0</v>
      </c>
      <c r="I175" s="29">
        <v>0</v>
      </c>
      <c r="J175" s="26">
        <v>20</v>
      </c>
      <c r="K175" s="26">
        <v>300</v>
      </c>
      <c r="L175" s="26">
        <v>9</v>
      </c>
      <c r="M175" s="26">
        <v>135</v>
      </c>
      <c r="N175" s="31">
        <v>32007.300000000003</v>
      </c>
      <c r="O175" s="26">
        <v>10</v>
      </c>
      <c r="P175" s="26">
        <v>150</v>
      </c>
      <c r="Q175" s="49">
        <v>1950</v>
      </c>
      <c r="R175" s="26">
        <v>10</v>
      </c>
      <c r="S175" s="50">
        <v>745.78947368421052</v>
      </c>
      <c r="T175" s="51">
        <v>34703.089473684217</v>
      </c>
      <c r="U175" s="26">
        <v>0</v>
      </c>
      <c r="V175" s="52">
        <v>0</v>
      </c>
      <c r="X175" s="53">
        <f t="shared" si="12"/>
        <v>27762.471578947374</v>
      </c>
      <c r="Z175" s="54">
        <v>27762.471578947374</v>
      </c>
      <c r="AA175" s="55">
        <f t="shared" si="18"/>
        <v>0</v>
      </c>
      <c r="AD175" s="27" t="s">
        <v>32</v>
      </c>
      <c r="AE175" s="27" t="s">
        <v>150</v>
      </c>
      <c r="AI175" s="56"/>
      <c r="AJ175" s="56"/>
      <c r="AK175" s="56"/>
    </row>
    <row r="176" spans="1:37" x14ac:dyDescent="0.3">
      <c r="A176" s="26">
        <v>3363</v>
      </c>
      <c r="B176" s="27" t="s">
        <v>362</v>
      </c>
      <c r="C176" s="27" t="s">
        <v>27</v>
      </c>
      <c r="D176" s="27">
        <v>0</v>
      </c>
      <c r="E176" s="27">
        <v>0</v>
      </c>
      <c r="F176" s="39">
        <v>0</v>
      </c>
      <c r="G176" s="26">
        <v>0</v>
      </c>
      <c r="H176" s="26">
        <v>0</v>
      </c>
      <c r="I176" s="29">
        <v>0</v>
      </c>
      <c r="J176" s="26">
        <v>18</v>
      </c>
      <c r="K176" s="26">
        <v>270</v>
      </c>
      <c r="L176" s="26">
        <v>0</v>
      </c>
      <c r="M176" s="26">
        <v>0</v>
      </c>
      <c r="N176" s="31">
        <v>19866.600000000002</v>
      </c>
      <c r="O176" s="26">
        <v>2</v>
      </c>
      <c r="P176" s="26">
        <v>30</v>
      </c>
      <c r="Q176" s="49">
        <v>390</v>
      </c>
      <c r="R176" s="26">
        <v>2</v>
      </c>
      <c r="S176" s="50">
        <v>149.15789473684211</v>
      </c>
      <c r="T176" s="51">
        <v>20405.757894736846</v>
      </c>
      <c r="U176" s="26">
        <v>0</v>
      </c>
      <c r="V176" s="52">
        <v>0</v>
      </c>
      <c r="X176" s="53">
        <f t="shared" si="12"/>
        <v>16324.606315789477</v>
      </c>
      <c r="Z176" s="54">
        <v>16324.606315789477</v>
      </c>
      <c r="AA176" s="55">
        <f t="shared" si="18"/>
        <v>0</v>
      </c>
      <c r="AD176" s="27" t="s">
        <v>32</v>
      </c>
      <c r="AE176" s="27" t="s">
        <v>144</v>
      </c>
      <c r="AI176" s="56"/>
      <c r="AJ176" s="56"/>
      <c r="AK176" s="56"/>
    </row>
    <row r="177" spans="1:37" x14ac:dyDescent="0.3">
      <c r="A177" s="26">
        <v>3366</v>
      </c>
      <c r="B177" s="27" t="s">
        <v>363</v>
      </c>
      <c r="C177" s="27" t="s">
        <v>49</v>
      </c>
      <c r="D177" s="27">
        <v>0</v>
      </c>
      <c r="E177" s="27">
        <v>0</v>
      </c>
      <c r="F177" s="39">
        <v>0</v>
      </c>
      <c r="G177" s="26">
        <v>0</v>
      </c>
      <c r="H177" s="26">
        <v>0</v>
      </c>
      <c r="I177" s="29">
        <v>0</v>
      </c>
      <c r="J177" s="26">
        <v>9</v>
      </c>
      <c r="K177" s="26">
        <v>135</v>
      </c>
      <c r="L177" s="26">
        <v>0</v>
      </c>
      <c r="M177" s="26">
        <v>0</v>
      </c>
      <c r="N177" s="31">
        <v>9933.3000000000011</v>
      </c>
      <c r="O177" s="26">
        <v>5</v>
      </c>
      <c r="P177" s="26">
        <v>75</v>
      </c>
      <c r="Q177" s="49">
        <v>975</v>
      </c>
      <c r="R177" s="26">
        <v>0</v>
      </c>
      <c r="S177" s="50">
        <v>0</v>
      </c>
      <c r="T177" s="51">
        <v>10908.300000000001</v>
      </c>
      <c r="U177" s="26">
        <v>0</v>
      </c>
      <c r="V177" s="52">
        <v>0</v>
      </c>
      <c r="X177" s="53">
        <f t="shared" si="12"/>
        <v>8726.6400000000012</v>
      </c>
      <c r="AA177" s="49"/>
      <c r="AI177" s="56"/>
      <c r="AJ177" s="56"/>
      <c r="AK177" s="56"/>
    </row>
    <row r="178" spans="1:37" x14ac:dyDescent="0.3">
      <c r="A178" s="26">
        <v>3367</v>
      </c>
      <c r="B178" s="27" t="s">
        <v>364</v>
      </c>
      <c r="C178" s="27" t="s">
        <v>27</v>
      </c>
      <c r="D178" s="27">
        <v>0</v>
      </c>
      <c r="E178" s="27">
        <v>0</v>
      </c>
      <c r="F178" s="39">
        <v>0</v>
      </c>
      <c r="G178" s="26">
        <v>0</v>
      </c>
      <c r="H178" s="26">
        <v>0</v>
      </c>
      <c r="I178" s="29">
        <v>0</v>
      </c>
      <c r="J178" s="26">
        <v>26</v>
      </c>
      <c r="K178" s="26">
        <v>390</v>
      </c>
      <c r="L178" s="26">
        <v>13</v>
      </c>
      <c r="M178" s="26">
        <v>195</v>
      </c>
      <c r="N178" s="31">
        <v>43044.3</v>
      </c>
      <c r="O178" s="26">
        <v>6</v>
      </c>
      <c r="P178" s="26">
        <v>90</v>
      </c>
      <c r="Q178" s="49">
        <v>1170</v>
      </c>
      <c r="R178" s="26">
        <v>6</v>
      </c>
      <c r="S178" s="50">
        <v>447.47368421052636</v>
      </c>
      <c r="T178" s="51">
        <v>44661.77368421053</v>
      </c>
      <c r="U178" s="26">
        <v>0</v>
      </c>
      <c r="V178" s="52">
        <v>0</v>
      </c>
      <c r="X178" s="53">
        <f t="shared" si="12"/>
        <v>35729.418947368424</v>
      </c>
      <c r="Z178" s="54">
        <v>35729.418947368424</v>
      </c>
      <c r="AA178" s="55">
        <f t="shared" ref="AA178:AA183" si="19">Z178-X178</f>
        <v>0</v>
      </c>
      <c r="AD178" s="27" t="s">
        <v>32</v>
      </c>
      <c r="AE178" s="27" t="s">
        <v>146</v>
      </c>
      <c r="AI178" s="56"/>
      <c r="AJ178" s="56"/>
      <c r="AK178" s="56"/>
    </row>
    <row r="179" spans="1:37" x14ac:dyDescent="0.3">
      <c r="A179" s="26">
        <v>3372</v>
      </c>
      <c r="B179" s="27" t="s">
        <v>365</v>
      </c>
      <c r="C179" s="27" t="s">
        <v>27</v>
      </c>
      <c r="D179" s="27">
        <v>0</v>
      </c>
      <c r="E179" s="27">
        <v>0</v>
      </c>
      <c r="F179" s="39">
        <v>0</v>
      </c>
      <c r="G179" s="26">
        <v>0</v>
      </c>
      <c r="H179" s="26">
        <v>0</v>
      </c>
      <c r="I179" s="29">
        <v>0</v>
      </c>
      <c r="J179" s="26">
        <v>53</v>
      </c>
      <c r="K179" s="26">
        <v>795</v>
      </c>
      <c r="L179" s="26">
        <v>5</v>
      </c>
      <c r="M179" s="26">
        <v>75</v>
      </c>
      <c r="N179" s="31">
        <v>64014.6</v>
      </c>
      <c r="O179" s="26">
        <v>30</v>
      </c>
      <c r="P179" s="26">
        <v>450</v>
      </c>
      <c r="Q179" s="49">
        <v>5850</v>
      </c>
      <c r="R179" s="26">
        <v>24</v>
      </c>
      <c r="S179" s="50">
        <v>1789.8947368421054</v>
      </c>
      <c r="T179" s="51">
        <v>71654.494736842113</v>
      </c>
      <c r="U179" s="26">
        <v>0</v>
      </c>
      <c r="V179" s="52">
        <v>0</v>
      </c>
      <c r="X179" s="53">
        <f t="shared" si="12"/>
        <v>57323.595789473693</v>
      </c>
      <c r="Z179" s="54">
        <v>57323.595789473693</v>
      </c>
      <c r="AA179" s="55">
        <f t="shared" si="19"/>
        <v>0</v>
      </c>
      <c r="AD179" s="27" t="s">
        <v>32</v>
      </c>
      <c r="AE179" s="27" t="s">
        <v>138</v>
      </c>
      <c r="AI179" s="56"/>
      <c r="AJ179" s="56"/>
      <c r="AK179" s="56"/>
    </row>
    <row r="180" spans="1:37" x14ac:dyDescent="0.3">
      <c r="A180" s="26">
        <v>3377</v>
      </c>
      <c r="B180" s="27" t="s">
        <v>366</v>
      </c>
      <c r="C180" s="27" t="s">
        <v>27</v>
      </c>
      <c r="D180" s="27">
        <v>0</v>
      </c>
      <c r="E180" s="27">
        <v>0</v>
      </c>
      <c r="F180" s="39">
        <v>0</v>
      </c>
      <c r="G180" s="26">
        <v>0</v>
      </c>
      <c r="H180" s="26">
        <v>0</v>
      </c>
      <c r="I180" s="29">
        <v>0</v>
      </c>
      <c r="J180" s="26">
        <v>25</v>
      </c>
      <c r="K180" s="26">
        <v>375</v>
      </c>
      <c r="L180" s="26">
        <v>0</v>
      </c>
      <c r="M180" s="26">
        <v>0</v>
      </c>
      <c r="N180" s="31">
        <v>27592.5</v>
      </c>
      <c r="O180" s="26">
        <v>15</v>
      </c>
      <c r="P180" s="26">
        <v>225</v>
      </c>
      <c r="Q180" s="49">
        <v>2925</v>
      </c>
      <c r="R180" s="26">
        <v>0</v>
      </c>
      <c r="S180" s="50">
        <v>0</v>
      </c>
      <c r="T180" s="51">
        <v>30517.5</v>
      </c>
      <c r="U180" s="26">
        <v>0</v>
      </c>
      <c r="V180" s="52">
        <v>0</v>
      </c>
      <c r="X180" s="53">
        <f t="shared" si="12"/>
        <v>24414</v>
      </c>
      <c r="Z180" s="54">
        <v>24414</v>
      </c>
      <c r="AA180" s="55">
        <f t="shared" si="19"/>
        <v>0</v>
      </c>
      <c r="AD180" s="27" t="s">
        <v>32</v>
      </c>
      <c r="AE180" s="27" t="s">
        <v>148</v>
      </c>
      <c r="AI180" s="56"/>
      <c r="AJ180" s="56"/>
      <c r="AK180" s="56"/>
    </row>
    <row r="181" spans="1:37" x14ac:dyDescent="0.3">
      <c r="A181" s="26">
        <v>3386</v>
      </c>
      <c r="B181" s="27" t="s">
        <v>143</v>
      </c>
      <c r="C181" s="27" t="s">
        <v>27</v>
      </c>
      <c r="D181" s="27">
        <v>0</v>
      </c>
      <c r="E181" s="27">
        <v>0</v>
      </c>
      <c r="F181" s="39">
        <v>0</v>
      </c>
      <c r="G181" s="26">
        <v>0</v>
      </c>
      <c r="H181" s="26">
        <v>0</v>
      </c>
      <c r="I181" s="29">
        <v>0</v>
      </c>
      <c r="J181" s="26">
        <v>32</v>
      </c>
      <c r="K181" s="26">
        <v>480</v>
      </c>
      <c r="L181" s="26">
        <v>6</v>
      </c>
      <c r="M181" s="26">
        <v>90</v>
      </c>
      <c r="N181" s="31">
        <v>41940.6</v>
      </c>
      <c r="O181" s="26">
        <v>13</v>
      </c>
      <c r="P181" s="26">
        <v>195</v>
      </c>
      <c r="Q181" s="49">
        <v>2535</v>
      </c>
      <c r="R181" s="26">
        <v>14</v>
      </c>
      <c r="S181" s="50">
        <v>1044.1052631578948</v>
      </c>
      <c r="T181" s="51">
        <v>45519.705263157892</v>
      </c>
      <c r="U181" s="26">
        <v>0</v>
      </c>
      <c r="V181" s="52">
        <v>0</v>
      </c>
      <c r="X181" s="53">
        <f t="shared" si="12"/>
        <v>36415.764210526315</v>
      </c>
      <c r="Z181" s="54">
        <v>36415.764210526315</v>
      </c>
      <c r="AA181" s="55">
        <f t="shared" si="19"/>
        <v>0</v>
      </c>
      <c r="AD181" s="27" t="s">
        <v>32</v>
      </c>
      <c r="AE181" s="27" t="s">
        <v>142</v>
      </c>
      <c r="AI181" s="56"/>
      <c r="AJ181" s="56"/>
      <c r="AK181" s="56"/>
    </row>
    <row r="182" spans="1:37" x14ac:dyDescent="0.3">
      <c r="A182" s="26">
        <v>3406</v>
      </c>
      <c r="B182" s="27" t="s">
        <v>367</v>
      </c>
      <c r="C182" s="27" t="s">
        <v>245</v>
      </c>
      <c r="D182" s="27">
        <v>0</v>
      </c>
      <c r="E182" s="27">
        <v>0</v>
      </c>
      <c r="F182" s="39">
        <v>0</v>
      </c>
      <c r="G182" s="26">
        <v>0</v>
      </c>
      <c r="H182" s="26">
        <v>0</v>
      </c>
      <c r="I182" s="29">
        <v>0</v>
      </c>
      <c r="J182" s="26">
        <v>22</v>
      </c>
      <c r="K182" s="26">
        <v>330</v>
      </c>
      <c r="L182" s="26">
        <v>0</v>
      </c>
      <c r="M182" s="26">
        <v>0</v>
      </c>
      <c r="N182" s="31">
        <v>24281.4</v>
      </c>
      <c r="O182" s="26">
        <v>0</v>
      </c>
      <c r="P182" s="26">
        <v>0</v>
      </c>
      <c r="Q182" s="49">
        <v>0</v>
      </c>
      <c r="R182" s="26">
        <v>0</v>
      </c>
      <c r="S182" s="50">
        <v>0</v>
      </c>
      <c r="T182" s="51">
        <v>24281.4</v>
      </c>
      <c r="U182" s="26">
        <v>0</v>
      </c>
      <c r="V182" s="52">
        <v>0</v>
      </c>
      <c r="X182" s="53">
        <f t="shared" si="12"/>
        <v>19425.120000000003</v>
      </c>
      <c r="Z182" s="54">
        <v>19425.120000000003</v>
      </c>
      <c r="AA182" s="55">
        <f t="shared" si="19"/>
        <v>0</v>
      </c>
      <c r="AD182" s="27" t="s">
        <v>32</v>
      </c>
      <c r="AE182" s="27" t="s">
        <v>210</v>
      </c>
      <c r="AI182" s="56"/>
      <c r="AJ182" s="56"/>
      <c r="AK182" s="56"/>
    </row>
    <row r="183" spans="1:37" x14ac:dyDescent="0.3">
      <c r="A183" s="26">
        <v>3411</v>
      </c>
      <c r="B183" s="27" t="s">
        <v>368</v>
      </c>
      <c r="C183" s="27" t="s">
        <v>27</v>
      </c>
      <c r="D183" s="27">
        <v>0</v>
      </c>
      <c r="E183" s="27">
        <v>0</v>
      </c>
      <c r="F183" s="39">
        <v>0</v>
      </c>
      <c r="G183" s="26">
        <v>0</v>
      </c>
      <c r="H183" s="26">
        <v>0</v>
      </c>
      <c r="I183" s="29">
        <v>0</v>
      </c>
      <c r="J183" s="26">
        <v>38</v>
      </c>
      <c r="K183" s="26">
        <v>570</v>
      </c>
      <c r="L183" s="26">
        <v>0</v>
      </c>
      <c r="M183" s="26">
        <v>0</v>
      </c>
      <c r="N183" s="31">
        <v>41940.6</v>
      </c>
      <c r="O183" s="26">
        <v>26</v>
      </c>
      <c r="P183" s="26">
        <v>390</v>
      </c>
      <c r="Q183" s="49">
        <v>5070</v>
      </c>
      <c r="R183" s="26">
        <v>26</v>
      </c>
      <c r="S183" s="50">
        <v>1939.0526315789475</v>
      </c>
      <c r="T183" s="51">
        <v>48949.652631578945</v>
      </c>
      <c r="U183" s="26">
        <v>0</v>
      </c>
      <c r="V183" s="52">
        <v>0</v>
      </c>
      <c r="X183" s="53">
        <f t="shared" si="12"/>
        <v>39159.722105263158</v>
      </c>
      <c r="Z183" s="54">
        <v>39159.722105263158</v>
      </c>
      <c r="AA183" s="55">
        <f t="shared" si="19"/>
        <v>0</v>
      </c>
      <c r="AD183" s="27" t="s">
        <v>32</v>
      </c>
      <c r="AE183" s="27" t="s">
        <v>92</v>
      </c>
      <c r="AI183" s="56"/>
      <c r="AJ183" s="56"/>
      <c r="AK183" s="56"/>
    </row>
    <row r="184" spans="1:37" x14ac:dyDescent="0.3">
      <c r="A184" s="26">
        <v>3412</v>
      </c>
      <c r="B184" s="27" t="s">
        <v>369</v>
      </c>
      <c r="C184" s="27" t="s">
        <v>49</v>
      </c>
      <c r="D184" s="27">
        <v>0</v>
      </c>
      <c r="E184" s="27">
        <v>0</v>
      </c>
      <c r="F184" s="39">
        <v>0</v>
      </c>
      <c r="G184" s="26">
        <v>0</v>
      </c>
      <c r="H184" s="26">
        <v>0</v>
      </c>
      <c r="I184" s="29">
        <v>0</v>
      </c>
      <c r="J184" s="26">
        <v>58</v>
      </c>
      <c r="K184" s="26">
        <v>870</v>
      </c>
      <c r="L184" s="26">
        <v>0</v>
      </c>
      <c r="M184" s="26">
        <v>0</v>
      </c>
      <c r="N184" s="31">
        <v>64014.6</v>
      </c>
      <c r="O184" s="26">
        <v>33</v>
      </c>
      <c r="P184" s="26">
        <v>495</v>
      </c>
      <c r="Q184" s="49">
        <v>6435</v>
      </c>
      <c r="R184" s="26">
        <v>31</v>
      </c>
      <c r="S184" s="50">
        <v>2311.9473684210525</v>
      </c>
      <c r="T184" s="51">
        <v>72761.547368421059</v>
      </c>
      <c r="U184" s="26">
        <v>0</v>
      </c>
      <c r="V184" s="52">
        <v>0</v>
      </c>
      <c r="X184" s="53">
        <f t="shared" si="12"/>
        <v>58209.237894736849</v>
      </c>
      <c r="AA184" s="49"/>
      <c r="AI184" s="56"/>
      <c r="AJ184" s="56"/>
      <c r="AK184" s="56"/>
    </row>
    <row r="185" spans="1:37" x14ac:dyDescent="0.3">
      <c r="A185" s="26">
        <v>3428</v>
      </c>
      <c r="B185" s="27" t="s">
        <v>370</v>
      </c>
      <c r="C185" s="27" t="s">
        <v>27</v>
      </c>
      <c r="D185" s="27">
        <v>0</v>
      </c>
      <c r="E185" s="27">
        <v>0</v>
      </c>
      <c r="F185" s="39">
        <v>0</v>
      </c>
      <c r="G185" s="26">
        <v>0</v>
      </c>
      <c r="H185" s="26">
        <v>0</v>
      </c>
      <c r="I185" s="29">
        <v>0</v>
      </c>
      <c r="J185" s="26">
        <v>26</v>
      </c>
      <c r="K185" s="26">
        <v>390</v>
      </c>
      <c r="L185" s="26">
        <v>20</v>
      </c>
      <c r="M185" s="26">
        <v>300</v>
      </c>
      <c r="N185" s="31">
        <v>50770.2</v>
      </c>
      <c r="O185" s="26">
        <v>2</v>
      </c>
      <c r="P185" s="26">
        <v>30</v>
      </c>
      <c r="Q185" s="49">
        <v>390</v>
      </c>
      <c r="R185" s="26">
        <v>2</v>
      </c>
      <c r="S185" s="50">
        <v>149.15789473684211</v>
      </c>
      <c r="T185" s="51">
        <v>51309.357894736837</v>
      </c>
      <c r="U185" s="26">
        <v>0</v>
      </c>
      <c r="V185" s="52">
        <v>0</v>
      </c>
      <c r="X185" s="53">
        <f t="shared" si="12"/>
        <v>41047.486315789472</v>
      </c>
      <c r="Z185" s="54">
        <v>41047.486315789472</v>
      </c>
      <c r="AA185" s="55">
        <f t="shared" ref="AA185:AA187" si="20">Z185-X185</f>
        <v>0</v>
      </c>
      <c r="AD185" s="27" t="s">
        <v>32</v>
      </c>
      <c r="AE185" s="27" t="s">
        <v>152</v>
      </c>
      <c r="AI185" s="56"/>
      <c r="AJ185" s="56"/>
      <c r="AK185" s="56"/>
    </row>
    <row r="186" spans="1:37" x14ac:dyDescent="0.3">
      <c r="A186" s="26">
        <v>3431</v>
      </c>
      <c r="B186" s="27" t="s">
        <v>199</v>
      </c>
      <c r="C186" s="27" t="s">
        <v>245</v>
      </c>
      <c r="D186" s="27">
        <v>0</v>
      </c>
      <c r="E186" s="27">
        <v>0</v>
      </c>
      <c r="F186" s="39">
        <v>0</v>
      </c>
      <c r="G186" s="26">
        <v>0</v>
      </c>
      <c r="H186" s="26">
        <v>0</v>
      </c>
      <c r="I186" s="29">
        <v>0</v>
      </c>
      <c r="J186" s="26">
        <v>55</v>
      </c>
      <c r="K186" s="26">
        <v>825</v>
      </c>
      <c r="L186" s="26">
        <v>20</v>
      </c>
      <c r="M186" s="26">
        <v>300</v>
      </c>
      <c r="N186" s="31">
        <v>82777.5</v>
      </c>
      <c r="O186" s="26">
        <v>7</v>
      </c>
      <c r="P186" s="26">
        <v>105</v>
      </c>
      <c r="Q186" s="49">
        <v>1365</v>
      </c>
      <c r="R186" s="26">
        <v>0</v>
      </c>
      <c r="S186" s="50">
        <v>0</v>
      </c>
      <c r="T186" s="51">
        <v>84142.5</v>
      </c>
      <c r="U186" s="26">
        <v>0</v>
      </c>
      <c r="V186" s="52">
        <v>0</v>
      </c>
      <c r="X186" s="53">
        <f t="shared" si="12"/>
        <v>67314</v>
      </c>
      <c r="Z186" s="54">
        <v>67314</v>
      </c>
      <c r="AA186" s="55">
        <f t="shared" si="20"/>
        <v>0</v>
      </c>
      <c r="AD186" s="27" t="s">
        <v>32</v>
      </c>
      <c r="AE186" s="27" t="s">
        <v>198</v>
      </c>
      <c r="AI186" s="56"/>
      <c r="AJ186" s="56"/>
      <c r="AK186" s="56"/>
    </row>
    <row r="187" spans="1:37" x14ac:dyDescent="0.3">
      <c r="A187" s="26">
        <v>3432</v>
      </c>
      <c r="B187" s="27" t="s">
        <v>63</v>
      </c>
      <c r="C187" s="27" t="s">
        <v>27</v>
      </c>
      <c r="D187" s="27">
        <v>0</v>
      </c>
      <c r="E187" s="27">
        <v>0</v>
      </c>
      <c r="F187" s="39">
        <v>0</v>
      </c>
      <c r="G187" s="26">
        <v>0</v>
      </c>
      <c r="H187" s="26">
        <v>0</v>
      </c>
      <c r="I187" s="29">
        <v>0</v>
      </c>
      <c r="J187" s="26">
        <v>96</v>
      </c>
      <c r="K187" s="26">
        <v>1440</v>
      </c>
      <c r="L187" s="26">
        <v>8</v>
      </c>
      <c r="M187" s="26">
        <v>120</v>
      </c>
      <c r="N187" s="31">
        <v>114784.8</v>
      </c>
      <c r="O187" s="26">
        <v>24</v>
      </c>
      <c r="P187" s="26">
        <v>360</v>
      </c>
      <c r="Q187" s="49">
        <v>4680</v>
      </c>
      <c r="R187" s="26">
        <v>0</v>
      </c>
      <c r="S187" s="50">
        <v>0</v>
      </c>
      <c r="T187" s="51">
        <v>119464.8</v>
      </c>
      <c r="U187" s="26">
        <v>2</v>
      </c>
      <c r="V187" s="52">
        <v>641.78947368421052</v>
      </c>
      <c r="X187" s="53">
        <f t="shared" si="12"/>
        <v>96085.271578947373</v>
      </c>
      <c r="Z187" s="54">
        <v>96085.271578947373</v>
      </c>
      <c r="AA187" s="55">
        <f t="shared" si="20"/>
        <v>0</v>
      </c>
      <c r="AD187" s="27" t="s">
        <v>32</v>
      </c>
      <c r="AE187" s="27" t="s">
        <v>62</v>
      </c>
      <c r="AI187" s="56"/>
      <c r="AJ187" s="56"/>
      <c r="AK187" s="56"/>
    </row>
    <row r="188" spans="1:37" x14ac:dyDescent="0.3">
      <c r="A188" s="26">
        <v>3433</v>
      </c>
      <c r="B188" s="27" t="s">
        <v>371</v>
      </c>
      <c r="C188" s="27" t="s">
        <v>49</v>
      </c>
      <c r="D188" s="27">
        <v>0</v>
      </c>
      <c r="E188" s="27">
        <v>0</v>
      </c>
      <c r="F188" s="39">
        <v>0</v>
      </c>
      <c r="G188" s="26">
        <v>0</v>
      </c>
      <c r="H188" s="26">
        <v>0</v>
      </c>
      <c r="I188" s="29">
        <v>0</v>
      </c>
      <c r="J188" s="26">
        <v>25</v>
      </c>
      <c r="K188" s="26">
        <v>375</v>
      </c>
      <c r="L188" s="26">
        <v>0</v>
      </c>
      <c r="M188" s="26">
        <v>0</v>
      </c>
      <c r="N188" s="31">
        <v>27592.5</v>
      </c>
      <c r="O188" s="26">
        <v>18</v>
      </c>
      <c r="P188" s="26">
        <v>270</v>
      </c>
      <c r="Q188" s="49">
        <v>3510</v>
      </c>
      <c r="R188" s="26">
        <v>18</v>
      </c>
      <c r="S188" s="50">
        <v>1342.421052631579</v>
      </c>
      <c r="T188" s="51">
        <v>32444.92105263158</v>
      </c>
      <c r="U188" s="26">
        <v>0</v>
      </c>
      <c r="V188" s="52">
        <v>0</v>
      </c>
      <c r="X188" s="53">
        <f t="shared" si="12"/>
        <v>25955.936842105264</v>
      </c>
      <c r="AA188" s="49"/>
      <c r="AI188" s="56"/>
      <c r="AJ188" s="56"/>
      <c r="AK188" s="56"/>
    </row>
    <row r="189" spans="1:37" x14ac:dyDescent="0.3">
      <c r="A189" s="26">
        <v>4001</v>
      </c>
      <c r="B189" s="27" t="s">
        <v>372</v>
      </c>
      <c r="C189" s="27" t="s">
        <v>49</v>
      </c>
      <c r="D189" s="27">
        <v>0</v>
      </c>
      <c r="E189" s="27">
        <v>0</v>
      </c>
      <c r="F189" s="39">
        <v>0</v>
      </c>
      <c r="G189" s="26">
        <v>0</v>
      </c>
      <c r="H189" s="26">
        <v>0</v>
      </c>
      <c r="I189" s="29">
        <v>0</v>
      </c>
      <c r="J189" s="26">
        <v>26</v>
      </c>
      <c r="K189" s="26">
        <v>390</v>
      </c>
      <c r="L189" s="26">
        <v>0</v>
      </c>
      <c r="M189" s="26">
        <v>0</v>
      </c>
      <c r="N189" s="31">
        <v>28696.2</v>
      </c>
      <c r="O189" s="26">
        <v>8</v>
      </c>
      <c r="P189" s="26">
        <v>120</v>
      </c>
      <c r="Q189" s="49">
        <v>1560</v>
      </c>
      <c r="R189" s="26">
        <v>0</v>
      </c>
      <c r="S189" s="50">
        <v>0</v>
      </c>
      <c r="T189" s="51">
        <v>30256.2</v>
      </c>
      <c r="U189" s="26">
        <v>0</v>
      </c>
      <c r="V189" s="52">
        <v>0</v>
      </c>
      <c r="X189" s="53">
        <f t="shared" si="12"/>
        <v>24204.960000000003</v>
      </c>
      <c r="AA189" s="49"/>
      <c r="AI189" s="56"/>
      <c r="AJ189" s="56"/>
      <c r="AK189" s="56"/>
    </row>
    <row r="190" spans="1:37" x14ac:dyDescent="0.3">
      <c r="A190" s="26">
        <v>4019</v>
      </c>
      <c r="B190" s="27" t="s">
        <v>373</v>
      </c>
      <c r="C190" s="27" t="s">
        <v>49</v>
      </c>
      <c r="D190" s="27">
        <v>0</v>
      </c>
      <c r="E190" s="27">
        <v>0</v>
      </c>
      <c r="F190" s="39">
        <v>0</v>
      </c>
      <c r="G190" s="26">
        <v>0</v>
      </c>
      <c r="H190" s="26">
        <v>0</v>
      </c>
      <c r="I190" s="29">
        <v>0</v>
      </c>
      <c r="J190" s="26">
        <v>82</v>
      </c>
      <c r="K190" s="26">
        <v>1230</v>
      </c>
      <c r="L190" s="26">
        <v>6</v>
      </c>
      <c r="M190" s="26">
        <v>60</v>
      </c>
      <c r="N190" s="31">
        <v>94918.200000000012</v>
      </c>
      <c r="O190" s="26">
        <v>29</v>
      </c>
      <c r="P190" s="26">
        <v>435</v>
      </c>
      <c r="Q190" s="49">
        <v>5655</v>
      </c>
      <c r="R190" s="26">
        <v>1</v>
      </c>
      <c r="S190" s="50">
        <v>74.578947368421055</v>
      </c>
      <c r="T190" s="51">
        <v>100647.77894736844</v>
      </c>
      <c r="U190" s="26">
        <v>0</v>
      </c>
      <c r="V190" s="52">
        <v>0</v>
      </c>
      <c r="X190" s="53">
        <f t="shared" si="12"/>
        <v>80518.223157894754</v>
      </c>
      <c r="AA190" s="49"/>
      <c r="AI190" s="56"/>
      <c r="AJ190" s="56"/>
      <c r="AK190" s="56"/>
    </row>
    <row r="191" spans="1:37" x14ac:dyDescent="0.3">
      <c r="A191" s="26">
        <v>4038</v>
      </c>
      <c r="B191" s="27" t="s">
        <v>374</v>
      </c>
      <c r="C191" s="27" t="s">
        <v>49</v>
      </c>
      <c r="D191" s="27">
        <v>0</v>
      </c>
      <c r="E191" s="27">
        <v>0</v>
      </c>
      <c r="F191" s="39">
        <v>0</v>
      </c>
      <c r="G191" s="26">
        <v>0</v>
      </c>
      <c r="H191" s="26">
        <v>0</v>
      </c>
      <c r="I191" s="29">
        <v>0</v>
      </c>
      <c r="J191" s="26">
        <v>139</v>
      </c>
      <c r="K191" s="26">
        <v>2085</v>
      </c>
      <c r="L191" s="26">
        <v>10</v>
      </c>
      <c r="M191" s="26">
        <v>150</v>
      </c>
      <c r="N191" s="31">
        <v>164451.30000000002</v>
      </c>
      <c r="O191" s="26">
        <v>9</v>
      </c>
      <c r="P191" s="26">
        <v>135</v>
      </c>
      <c r="Q191" s="49">
        <v>1755</v>
      </c>
      <c r="R191" s="26">
        <v>0</v>
      </c>
      <c r="S191" s="50">
        <v>0</v>
      </c>
      <c r="T191" s="51">
        <v>166206.30000000002</v>
      </c>
      <c r="U191" s="26">
        <v>0</v>
      </c>
      <c r="V191" s="52">
        <v>0</v>
      </c>
      <c r="X191" s="53">
        <f t="shared" si="12"/>
        <v>132965.04</v>
      </c>
      <c r="AA191" s="49"/>
      <c r="AI191" s="56"/>
      <c r="AJ191" s="56"/>
      <c r="AK191" s="56"/>
    </row>
    <row r="192" spans="1:37" x14ac:dyDescent="0.3">
      <c r="A192" s="26">
        <v>5201</v>
      </c>
      <c r="B192" s="27" t="s">
        <v>375</v>
      </c>
      <c r="C192" s="27" t="s">
        <v>49</v>
      </c>
      <c r="D192" s="27">
        <v>0</v>
      </c>
      <c r="E192" s="27">
        <v>0</v>
      </c>
      <c r="F192" s="39">
        <v>0</v>
      </c>
      <c r="G192" s="26">
        <v>0</v>
      </c>
      <c r="H192" s="26">
        <v>0</v>
      </c>
      <c r="I192" s="29">
        <v>0</v>
      </c>
      <c r="J192" s="26">
        <v>27</v>
      </c>
      <c r="K192" s="26">
        <v>405</v>
      </c>
      <c r="L192" s="26">
        <v>0</v>
      </c>
      <c r="M192" s="26">
        <v>0</v>
      </c>
      <c r="N192" s="31">
        <v>29799.9</v>
      </c>
      <c r="O192" s="26">
        <v>3</v>
      </c>
      <c r="P192" s="26">
        <v>45</v>
      </c>
      <c r="Q192" s="49">
        <v>585</v>
      </c>
      <c r="R192" s="26">
        <v>0</v>
      </c>
      <c r="S192" s="50">
        <v>0</v>
      </c>
      <c r="T192" s="51">
        <v>30384.9</v>
      </c>
      <c r="U192" s="26">
        <v>0</v>
      </c>
      <c r="V192" s="52">
        <v>0</v>
      </c>
      <c r="X192" s="53">
        <f t="shared" si="12"/>
        <v>24307.920000000002</v>
      </c>
      <c r="AA192" s="49"/>
      <c r="AI192" s="56"/>
      <c r="AJ192" s="56"/>
      <c r="AK192" s="56"/>
    </row>
    <row r="193" spans="1:41" x14ac:dyDescent="0.3">
      <c r="A193" s="26">
        <v>5203</v>
      </c>
      <c r="B193" s="27" t="s">
        <v>159</v>
      </c>
      <c r="C193" s="27" t="s">
        <v>27</v>
      </c>
      <c r="D193" s="27">
        <v>0</v>
      </c>
      <c r="E193" s="27">
        <v>0</v>
      </c>
      <c r="F193" s="39">
        <v>0</v>
      </c>
      <c r="G193" s="26">
        <v>0</v>
      </c>
      <c r="H193" s="26">
        <v>0</v>
      </c>
      <c r="I193" s="29">
        <v>0</v>
      </c>
      <c r="J193" s="26">
        <v>54</v>
      </c>
      <c r="K193" s="26">
        <v>810</v>
      </c>
      <c r="L193" s="26">
        <v>43</v>
      </c>
      <c r="M193" s="26">
        <v>645</v>
      </c>
      <c r="N193" s="31">
        <v>107058.9</v>
      </c>
      <c r="O193" s="26">
        <v>0</v>
      </c>
      <c r="P193" s="26">
        <v>0</v>
      </c>
      <c r="Q193" s="49">
        <v>0</v>
      </c>
      <c r="R193" s="26">
        <v>0</v>
      </c>
      <c r="S193" s="50">
        <v>0</v>
      </c>
      <c r="T193" s="51">
        <v>107058.9</v>
      </c>
      <c r="U193" s="26">
        <v>0</v>
      </c>
      <c r="V193" s="52">
        <v>0</v>
      </c>
      <c r="X193" s="53">
        <f t="shared" si="12"/>
        <v>85647.12</v>
      </c>
      <c r="Z193" s="54">
        <v>85647.12</v>
      </c>
      <c r="AA193" s="55">
        <f>Z193-X193</f>
        <v>0</v>
      </c>
      <c r="AD193" s="27" t="s">
        <v>32</v>
      </c>
      <c r="AE193" s="27" t="s">
        <v>158</v>
      </c>
      <c r="AI193" s="56"/>
      <c r="AJ193" s="56"/>
      <c r="AK193" s="56"/>
    </row>
    <row r="194" spans="1:41" x14ac:dyDescent="0.3">
      <c r="A194" s="26">
        <v>5205</v>
      </c>
      <c r="B194" s="27" t="s">
        <v>376</v>
      </c>
      <c r="C194" s="27" t="s">
        <v>49</v>
      </c>
      <c r="D194" s="27">
        <v>0</v>
      </c>
      <c r="E194" s="27">
        <v>0</v>
      </c>
      <c r="F194" s="39">
        <v>0</v>
      </c>
      <c r="G194" s="26">
        <v>0</v>
      </c>
      <c r="H194" s="26">
        <v>0</v>
      </c>
      <c r="I194" s="29">
        <v>0</v>
      </c>
      <c r="J194" s="26">
        <v>23</v>
      </c>
      <c r="K194" s="26">
        <v>345</v>
      </c>
      <c r="L194" s="26">
        <v>16</v>
      </c>
      <c r="M194" s="26">
        <v>240</v>
      </c>
      <c r="N194" s="31">
        <v>43044.3</v>
      </c>
      <c r="O194" s="26">
        <v>1</v>
      </c>
      <c r="P194" s="26">
        <v>15</v>
      </c>
      <c r="Q194" s="49">
        <v>195</v>
      </c>
      <c r="R194" s="26">
        <v>1</v>
      </c>
      <c r="S194" s="50">
        <v>74.578947368421055</v>
      </c>
      <c r="T194" s="51">
        <v>43313.878947368423</v>
      </c>
      <c r="U194" s="26">
        <v>0</v>
      </c>
      <c r="V194" s="52">
        <v>0</v>
      </c>
      <c r="X194" s="53">
        <f t="shared" si="12"/>
        <v>34651.103157894737</v>
      </c>
      <c r="AA194" s="49"/>
      <c r="AI194" s="56"/>
      <c r="AJ194" s="56"/>
      <c r="AK194" s="56"/>
    </row>
    <row r="195" spans="1:41" s="57" customFormat="1" x14ac:dyDescent="0.3">
      <c r="G195" s="58"/>
      <c r="H195" s="58"/>
      <c r="I195" s="59"/>
      <c r="J195" s="58"/>
      <c r="K195" s="58"/>
      <c r="L195" s="26"/>
      <c r="M195" s="58"/>
      <c r="N195" s="60"/>
      <c r="O195" s="58"/>
      <c r="P195" s="58"/>
      <c r="Q195" s="61"/>
      <c r="R195" s="62"/>
      <c r="S195" s="62"/>
      <c r="T195" s="61"/>
      <c r="U195" s="63"/>
      <c r="V195" s="64"/>
      <c r="AD195" s="27"/>
      <c r="AE195" s="27"/>
      <c r="AF195" s="27"/>
      <c r="AG195" s="27"/>
      <c r="AH195" s="27"/>
      <c r="AI195" s="56"/>
      <c r="AJ195" s="56"/>
      <c r="AK195" s="56"/>
      <c r="AL195" s="27"/>
    </row>
    <row r="196" spans="1:41" x14ac:dyDescent="0.3">
      <c r="A196" s="65" t="s">
        <v>377</v>
      </c>
      <c r="I196" s="27"/>
      <c r="J196" s="27"/>
      <c r="K196" s="27"/>
      <c r="L196" s="27"/>
      <c r="M196" s="27"/>
      <c r="N196" s="27"/>
      <c r="S196" s="27"/>
      <c r="X196" s="52">
        <f>SUM(X7:X195)</f>
        <v>10473462.665010519</v>
      </c>
      <c r="AI196" s="56"/>
      <c r="AJ196" s="56"/>
      <c r="AK196" s="56"/>
    </row>
    <row r="197" spans="1:41" s="67" customFormat="1" x14ac:dyDescent="0.3">
      <c r="A197" s="66">
        <v>7004</v>
      </c>
      <c r="B197" s="66" t="s">
        <v>378</v>
      </c>
      <c r="C197" s="66"/>
      <c r="D197" s="27"/>
      <c r="E197" s="27"/>
      <c r="F197" s="27"/>
      <c r="G197" s="27">
        <v>0</v>
      </c>
      <c r="H197" s="26">
        <v>0</v>
      </c>
      <c r="I197" s="27"/>
      <c r="J197" s="26">
        <v>3</v>
      </c>
      <c r="K197" s="26">
        <v>45</v>
      </c>
      <c r="L197" s="26">
        <v>0</v>
      </c>
      <c r="M197" s="26">
        <v>0</v>
      </c>
      <c r="N197" s="27"/>
      <c r="O197" s="26">
        <v>0</v>
      </c>
      <c r="P197" s="26">
        <v>0</v>
      </c>
      <c r="Q197" s="27"/>
      <c r="R197" s="26">
        <v>0</v>
      </c>
      <c r="S197" s="27"/>
      <c r="T197" s="27"/>
      <c r="U197" s="26">
        <v>0</v>
      </c>
      <c r="V197" s="27"/>
      <c r="W197" s="27"/>
      <c r="X197" s="27"/>
      <c r="Y197" s="27"/>
      <c r="Z197" s="27"/>
      <c r="AA197" s="27"/>
      <c r="AD197" s="27"/>
      <c r="AE197" s="27"/>
      <c r="AF197" s="27"/>
      <c r="AG197" s="27"/>
      <c r="AH197" s="27"/>
      <c r="AI197" s="56"/>
      <c r="AJ197" s="56"/>
      <c r="AK197" s="56"/>
      <c r="AL197" s="57"/>
    </row>
    <row r="198" spans="1:41" x14ac:dyDescent="0.3">
      <c r="A198" s="66">
        <v>7009</v>
      </c>
      <c r="B198" s="66" t="s">
        <v>379</v>
      </c>
      <c r="C198" s="66"/>
      <c r="G198" s="27">
        <v>0</v>
      </c>
      <c r="H198" s="26">
        <v>0</v>
      </c>
      <c r="I198" s="27"/>
      <c r="J198" s="26">
        <v>7</v>
      </c>
      <c r="K198" s="26">
        <v>105</v>
      </c>
      <c r="L198" s="26">
        <v>0</v>
      </c>
      <c r="M198" s="26">
        <v>0</v>
      </c>
      <c r="N198" s="27"/>
      <c r="O198" s="26">
        <v>4</v>
      </c>
      <c r="P198" s="26">
        <v>60</v>
      </c>
      <c r="R198" s="26">
        <v>4</v>
      </c>
      <c r="S198" s="27"/>
      <c r="U198" s="26">
        <v>0</v>
      </c>
      <c r="AI198" s="56"/>
      <c r="AJ198" s="56"/>
      <c r="AK198" s="56"/>
      <c r="AL198" s="67"/>
    </row>
    <row r="199" spans="1:41" x14ac:dyDescent="0.3">
      <c r="A199" s="66">
        <v>7012</v>
      </c>
      <c r="B199" s="66" t="s">
        <v>380</v>
      </c>
      <c r="C199" s="66"/>
      <c r="G199" s="27">
        <v>1</v>
      </c>
      <c r="H199" s="26">
        <v>15</v>
      </c>
      <c r="I199" s="27"/>
      <c r="J199" s="26">
        <v>2</v>
      </c>
      <c r="K199" s="26">
        <v>30</v>
      </c>
      <c r="L199" s="26">
        <v>0</v>
      </c>
      <c r="M199" s="26">
        <v>0</v>
      </c>
      <c r="N199" s="27"/>
      <c r="O199" s="26">
        <v>1</v>
      </c>
      <c r="P199" s="26">
        <v>15</v>
      </c>
      <c r="R199" s="26">
        <v>1</v>
      </c>
      <c r="S199" s="27"/>
      <c r="U199" s="26">
        <v>3</v>
      </c>
      <c r="AI199" s="56"/>
      <c r="AJ199" s="57"/>
      <c r="AK199" s="57"/>
    </row>
    <row r="200" spans="1:41" x14ac:dyDescent="0.3">
      <c r="A200" s="66">
        <v>7031</v>
      </c>
      <c r="B200" s="66" t="s">
        <v>381</v>
      </c>
      <c r="C200" s="66"/>
      <c r="G200" s="27">
        <v>0</v>
      </c>
      <c r="H200" s="26">
        <v>0</v>
      </c>
      <c r="I200" s="27"/>
      <c r="J200" s="26">
        <v>5</v>
      </c>
      <c r="K200" s="26">
        <v>75</v>
      </c>
      <c r="L200" s="26">
        <v>0</v>
      </c>
      <c r="M200" s="26">
        <v>0</v>
      </c>
      <c r="N200" s="27"/>
      <c r="O200" s="26">
        <v>0</v>
      </c>
      <c r="P200" s="26">
        <v>0</v>
      </c>
      <c r="R200" s="26">
        <v>0</v>
      </c>
      <c r="S200" s="27"/>
      <c r="U200" s="26">
        <v>3</v>
      </c>
      <c r="AG200" s="57"/>
      <c r="AH200" s="57"/>
      <c r="AI200" s="57"/>
      <c r="AJ200" s="67"/>
      <c r="AK200" s="67"/>
    </row>
    <row r="201" spans="1:41" x14ac:dyDescent="0.3">
      <c r="A201" s="66">
        <v>7034</v>
      </c>
      <c r="B201" s="66" t="s">
        <v>382</v>
      </c>
      <c r="C201" s="66"/>
      <c r="G201" s="27">
        <v>0</v>
      </c>
      <c r="H201" s="26">
        <v>0</v>
      </c>
      <c r="I201" s="27"/>
      <c r="J201" s="26">
        <v>1</v>
      </c>
      <c r="K201" s="26">
        <v>15</v>
      </c>
      <c r="L201" s="26">
        <v>0</v>
      </c>
      <c r="M201" s="26">
        <v>0</v>
      </c>
      <c r="N201" s="27"/>
      <c r="O201" s="26">
        <v>0</v>
      </c>
      <c r="P201" s="26">
        <v>0</v>
      </c>
      <c r="R201" s="26">
        <v>0</v>
      </c>
      <c r="S201" s="27"/>
      <c r="U201" s="26">
        <v>0</v>
      </c>
      <c r="AF201" s="57"/>
      <c r="AG201" s="67"/>
      <c r="AH201" s="67"/>
      <c r="AI201" s="67"/>
    </row>
    <row r="202" spans="1:41" s="74" customFormat="1" ht="14.5" x14ac:dyDescent="0.35">
      <c r="A202" s="66">
        <v>2184</v>
      </c>
      <c r="B202" s="66" t="s">
        <v>383</v>
      </c>
      <c r="C202" s="66"/>
      <c r="D202" s="68">
        <v>0</v>
      </c>
      <c r="E202" s="68">
        <v>4</v>
      </c>
      <c r="F202" s="68">
        <v>14</v>
      </c>
      <c r="G202" s="69">
        <v>18</v>
      </c>
      <c r="H202" s="68">
        <v>0</v>
      </c>
      <c r="I202" s="68">
        <v>0</v>
      </c>
      <c r="J202" s="26">
        <v>18</v>
      </c>
      <c r="K202" s="26">
        <v>270</v>
      </c>
      <c r="L202" s="26">
        <v>0</v>
      </c>
      <c r="M202" s="26">
        <v>0</v>
      </c>
      <c r="N202" s="69">
        <v>270</v>
      </c>
      <c r="O202" s="26">
        <v>0</v>
      </c>
      <c r="P202" s="26">
        <v>0</v>
      </c>
      <c r="Q202" s="68">
        <v>15</v>
      </c>
      <c r="R202" s="26">
        <v>0</v>
      </c>
      <c r="S202" s="68">
        <v>0</v>
      </c>
      <c r="T202" s="68">
        <v>0</v>
      </c>
      <c r="U202" s="26">
        <v>0</v>
      </c>
      <c r="V202" s="68">
        <v>4</v>
      </c>
      <c r="W202" s="68">
        <v>60</v>
      </c>
      <c r="X202" s="70">
        <v>0</v>
      </c>
      <c r="Y202" s="68">
        <v>0</v>
      </c>
      <c r="Z202" s="71"/>
      <c r="AA202" s="72"/>
      <c r="AB202" s="70"/>
      <c r="AC202" s="73">
        <v>0</v>
      </c>
      <c r="AD202" s="68">
        <v>0</v>
      </c>
      <c r="AE202" s="71"/>
      <c r="AF202" s="72"/>
      <c r="AG202" s="68">
        <v>0</v>
      </c>
      <c r="AO202" s="74" t="e">
        <f>VLOOKUP(A202,'Indic Summer'!$A$7:$K$194,9,FALSE)</f>
        <v>#N/A</v>
      </c>
    </row>
    <row r="203" spans="1:41" x14ac:dyDescent="0.3">
      <c r="I203" s="27"/>
      <c r="J203" s="27"/>
      <c r="K203" s="75">
        <v>0</v>
      </c>
      <c r="L203" s="27"/>
      <c r="M203" s="27"/>
      <c r="N203" s="27"/>
      <c r="R203" s="27"/>
      <c r="S203" s="27"/>
    </row>
    <row r="204" spans="1:41" x14ac:dyDescent="0.3">
      <c r="I204" s="27"/>
      <c r="J204" s="27"/>
      <c r="K204" s="27"/>
      <c r="L204" s="27"/>
      <c r="M204" s="27"/>
      <c r="N204" s="76"/>
      <c r="R204" s="27"/>
      <c r="S204" s="27"/>
    </row>
    <row r="205" spans="1:41" x14ac:dyDescent="0.3">
      <c r="T205" s="54">
        <f>SUMIFS(T7:T194,$C$7:$C$194,"Chq Bk")+SUMIFS(T7:T194,$C$7:$C$194,"Non Chq Bk")++SUMIFS(T7:T194,$C$7:$C$194,"EPA")</f>
        <v>8598384.2277894784</v>
      </c>
      <c r="W205" s="27" t="s">
        <v>384</v>
      </c>
      <c r="X205" s="52">
        <f>SUMIFS(X7:X194,$C$7:$C$194,"Chq Bk")+SUMIFS(X7:X194,$C$7:$C$194,"Non Chq Bk")++SUMIFS(X7:X194,$C$7:$C$194,"EPA")</f>
        <v>6908999.8453894742</v>
      </c>
    </row>
    <row r="206" spans="1:41" x14ac:dyDescent="0.3">
      <c r="T206" s="54">
        <f>SUMIFS(T8:T195,$C$8:$C$195,$W$206)</f>
        <v>4454936.7350526331</v>
      </c>
      <c r="W206" s="27" t="s">
        <v>49</v>
      </c>
      <c r="X206" s="77">
        <f>SUMIFS(X8:X195,$C$8:$C$195,$W$206)</f>
        <v>3564462.8196210531</v>
      </c>
    </row>
    <row r="207" spans="1:41" x14ac:dyDescent="0.3">
      <c r="X207" s="52">
        <f>SUM(X205:X206)</f>
        <v>10473462.665010527</v>
      </c>
    </row>
    <row r="208" spans="1:41" x14ac:dyDescent="0.3">
      <c r="X208" s="52">
        <f>X207-X196</f>
        <v>0</v>
      </c>
    </row>
    <row r="210" spans="18:24" x14ac:dyDescent="0.3">
      <c r="X210" s="52">
        <f>X206-X134-X154</f>
        <v>3502808.4996210528</v>
      </c>
    </row>
    <row r="212" spans="18:24" x14ac:dyDescent="0.3">
      <c r="R212" s="40"/>
    </row>
    <row r="214" spans="18:24" x14ac:dyDescent="0.3">
      <c r="R214" s="439"/>
    </row>
  </sheetData>
  <autoFilter ref="A6:AO194" xr:uid="{00000000-0001-0000-0100-000000000000}"/>
  <pageMargins left="0.7" right="0.7" top="0.75" bottom="0.75" header="0.3" footer="0.3"/>
  <headerFooter>
    <oddFooter>&amp;C_x000D_&amp;1#&amp;"Calibri"&amp;10&amp;K000000 OFFICIAL</oddFoot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18E088D61435D429F53A8D9D38B3C75" ma:contentTypeVersion="16" ma:contentTypeDescription="Create a new document." ma:contentTypeScope="" ma:versionID="0ee016c213831f11d2b4e95e468c41a1">
  <xsd:schema xmlns:xsd="http://www.w3.org/2001/XMLSchema" xmlns:xs="http://www.w3.org/2001/XMLSchema" xmlns:p="http://schemas.microsoft.com/office/2006/metadata/properties" xmlns:ns2="1ce9011b-86f1-4b85-8468-bde8c49fc6b6" xmlns:ns3="db86872e-852c-4ba3-99d1-10e4e0767240" targetNamespace="http://schemas.microsoft.com/office/2006/metadata/properties" ma:root="true" ma:fieldsID="9e929d65f03da8fc8d266048adf3402f" ns2:_="" ns3:_="">
    <xsd:import namespace="1ce9011b-86f1-4b85-8468-bde8c49fc6b6"/>
    <xsd:import namespace="db86872e-852c-4ba3-99d1-10e4e076724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e9011b-86f1-4b85-8468-bde8c49fc6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7eb6393-bae5-439c-9df7-ed1047f92241"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86872e-852c-4ba3-99d1-10e4e0767240"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70b6b83-76f1-4f83-84ac-1b0750170f81}" ma:internalName="TaxCatchAll" ma:showField="CatchAllData" ma:web="db86872e-852c-4ba3-99d1-10e4e07672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ce9011b-86f1-4b85-8468-bde8c49fc6b6">
      <Terms xmlns="http://schemas.microsoft.com/office/infopath/2007/PartnerControls"/>
    </lcf76f155ced4ddcb4097134ff3c332f>
    <TaxCatchAll xmlns="db86872e-852c-4ba3-99d1-10e4e0767240" xsi:nil="true"/>
  </documentManagement>
</p:properties>
</file>

<file path=customXml/itemProps1.xml><?xml version="1.0" encoding="utf-8"?>
<ds:datastoreItem xmlns:ds="http://schemas.openxmlformats.org/officeDocument/2006/customXml" ds:itemID="{AA82B39A-E93F-401D-8E4F-A10A26BE49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e9011b-86f1-4b85-8468-bde8c49fc6b6"/>
    <ds:schemaRef ds:uri="db86872e-852c-4ba3-99d1-10e4e07672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16878A-1A37-4C1D-9334-5296F8ECF198}">
  <ds:schemaRefs>
    <ds:schemaRef ds:uri="http://schemas.microsoft.com/sharepoint/v3/contenttype/forms"/>
  </ds:schemaRefs>
</ds:datastoreItem>
</file>

<file path=customXml/itemProps3.xml><?xml version="1.0" encoding="utf-8"?>
<ds:datastoreItem xmlns:ds="http://schemas.openxmlformats.org/officeDocument/2006/customXml" ds:itemID="{A2C22AD0-6E55-4C50-91D9-7D5C48FA6AC4}">
  <ds:schemaRefs>
    <ds:schemaRef ds:uri="http://schemas.microsoft.com/office/2006/metadata/properties"/>
    <ds:schemaRef ds:uri="db86872e-852c-4ba3-99d1-10e4e0767240"/>
    <ds:schemaRef ds:uri="http://purl.org/dc/elements/1.1/"/>
    <ds:schemaRef ds:uri="http://schemas.microsoft.com/office/2006/documentManagement/types"/>
    <ds:schemaRef ds:uri="http://schemas.microsoft.com/office/infopath/2007/PartnerControls"/>
    <ds:schemaRef ds:uri="http://purl.org/dc/terms/"/>
    <ds:schemaRef ds:uri="http://purl.org/dc/dcmitype/"/>
    <ds:schemaRef ds:uri="http://schemas.openxmlformats.org/package/2006/metadata/core-properties"/>
    <ds:schemaRef ds:uri="1ce9011b-86f1-4b85-8468-bde8c49fc6b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Instructions </vt:lpstr>
      <vt:lpstr>EY Funding Notification</vt:lpstr>
      <vt:lpstr>EY Calculator Tool</vt:lpstr>
      <vt:lpstr>Differences Summer Term</vt:lpstr>
      <vt:lpstr>Sheet1</vt:lpstr>
      <vt:lpstr>Summer data team </vt:lpstr>
      <vt:lpstr>EY</vt:lpstr>
      <vt:lpstr>Lookup</vt:lpstr>
      <vt:lpstr>Indic Summer</vt:lpstr>
      <vt:lpstr>Indic Autumn</vt:lpstr>
      <vt:lpstr>Indic Spring</vt:lpstr>
      <vt:lpstr>MNS</vt:lpstr>
      <vt:lpstr>Indic Deprivation</vt:lpstr>
      <vt:lpstr>Actuals Summer</vt:lpstr>
      <vt:lpstr>SU2025_School</vt:lpstr>
      <vt:lpstr>Actuals Dep Summer</vt:lpstr>
    </vt:vector>
  </TitlesOfParts>
  <Company>Birmingham City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Early Years Funding Notification and Calculator</dc:title>
  <dc:creator>Harmanjot Kaur</dc:creator>
  <cp:lastModifiedBy>Becky Shergill</cp:lastModifiedBy>
  <dcterms:created xsi:type="dcterms:W3CDTF">2025-09-26T08:57:22Z</dcterms:created>
  <dcterms:modified xsi:type="dcterms:W3CDTF">2025-10-16T10:36:45Z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17471b1-27ab-4640-9264-e69a67407ca3_Enabled">
    <vt:lpwstr>true</vt:lpwstr>
  </property>
  <property fmtid="{D5CDD505-2E9C-101B-9397-08002B2CF9AE}" pid="3" name="MSIP_Label_a17471b1-27ab-4640-9264-e69a67407ca3_SetDate">
    <vt:lpwstr>2025-09-26T10:22:14Z</vt:lpwstr>
  </property>
  <property fmtid="{D5CDD505-2E9C-101B-9397-08002B2CF9AE}" pid="4" name="MSIP_Label_a17471b1-27ab-4640-9264-e69a67407ca3_Method">
    <vt:lpwstr>Standard</vt:lpwstr>
  </property>
  <property fmtid="{D5CDD505-2E9C-101B-9397-08002B2CF9AE}" pid="5" name="MSIP_Label_a17471b1-27ab-4640-9264-e69a67407ca3_Name">
    <vt:lpwstr>BCC - OFFICIAL</vt:lpwstr>
  </property>
  <property fmtid="{D5CDD505-2E9C-101B-9397-08002B2CF9AE}" pid="6" name="MSIP_Label_a17471b1-27ab-4640-9264-e69a67407ca3_SiteId">
    <vt:lpwstr>699ace67-d2e4-4bcd-b303-d2bbe2b9bbf1</vt:lpwstr>
  </property>
  <property fmtid="{D5CDD505-2E9C-101B-9397-08002B2CF9AE}" pid="7" name="MSIP_Label_a17471b1-27ab-4640-9264-e69a67407ca3_ActionId">
    <vt:lpwstr>877055e7-bbe5-4572-bdcd-27841a39de76</vt:lpwstr>
  </property>
  <property fmtid="{D5CDD505-2E9C-101B-9397-08002B2CF9AE}" pid="8" name="MSIP_Label_a17471b1-27ab-4640-9264-e69a67407ca3_ContentBits">
    <vt:lpwstr>2</vt:lpwstr>
  </property>
  <property fmtid="{D5CDD505-2E9C-101B-9397-08002B2CF9AE}" pid="9" name="MSIP_Label_a17471b1-27ab-4640-9264-e69a67407ca3_Tag">
    <vt:lpwstr>10, 3, 0, 1</vt:lpwstr>
  </property>
  <property fmtid="{D5CDD505-2E9C-101B-9397-08002B2CF9AE}" pid="10" name="ContentTypeId">
    <vt:lpwstr>0x010100718E088D61435D429F53A8D9D38B3C75</vt:lpwstr>
  </property>
  <property fmtid="{D5CDD505-2E9C-101B-9397-08002B2CF9AE}" pid="11" name="MediaServiceImageTags">
    <vt:lpwstr/>
  </property>
  <property fmtid="{D5CDD505-2E9C-101B-9397-08002B2CF9AE}" pid="12" name="SV_QUERY_LIST_4F35BF76-6C0D-4D9B-82B2-816C12CF3733">
    <vt:lpwstr>empty_477D106A-C0D6-4607-AEBD-E2C9D60EA279</vt:lpwstr>
  </property>
  <property fmtid="{D5CDD505-2E9C-101B-9397-08002B2CF9AE}" pid="13" name="SV_HIDDEN_GRID_QUERY_LIST_4F35BF76-6C0D-4D9B-82B2-816C12CF3733">
    <vt:lpwstr>empty_477D106A-C0D6-4607-AEBD-E2C9D60EA279</vt:lpwstr>
  </property>
  <property fmtid="{D5CDD505-2E9C-101B-9397-08002B2CF9AE}" pid="14" name="CloudStatistics_StoryID">
    <vt:lpwstr>8ade3730-446f-46f7-b02c-5d38b1e2881a</vt:lpwstr>
  </property>
</Properties>
</file>